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autoCompressPictures="0" defaultThemeVersion="124226"/>
  <mc:AlternateContent xmlns:mc="http://schemas.openxmlformats.org/markup-compatibility/2006">
    <mc:Choice Requires="x15">
      <x15ac:absPath xmlns:x15ac="http://schemas.microsoft.com/office/spreadsheetml/2010/11/ac" url="https://aerocivil-my.sharepoint.com/personal/jose_quinche_aerocivil_gov_co/Documents/1. DIRE-INFRA 0/1. PROCESOS/6. IBAGUE - PERALES/3. EVALUACION/"/>
    </mc:Choice>
  </mc:AlternateContent>
  <xr:revisionPtr revIDLastSave="37" documentId="8_{BBD61E7D-D246-40B1-884F-E4C060B1B6AF}" xr6:coauthVersionLast="47" xr6:coauthVersionMax="47" xr10:uidLastSave="{CFE67C7D-A086-4A34-8015-742271048A49}"/>
  <bookViews>
    <workbookView xWindow="-120" yWindow="-120" windowWidth="29040" windowHeight="15840" tabRatio="596" xr2:uid="{00000000-000D-0000-FFFF-FFFF00000000}"/>
  </bookViews>
  <sheets>
    <sheet name="RESUMEN P1" sheetId="480" r:id="rId1"/>
    <sheet name="RESUMEN PT" sheetId="503" r:id="rId2"/>
    <sheet name="RESUMEN 3" sheetId="528" r:id="rId3"/>
    <sheet name="PPTO IBAGUE OFICIAL 2024" sheetId="525" r:id="rId4"/>
    <sheet name="1" sheetId="476" r:id="rId5"/>
    <sheet name="2" sheetId="526" r:id="rId6"/>
    <sheet name="3" sheetId="527" r:id="rId7"/>
    <sheet name="EXP. GENERAL" sheetId="512" r:id="rId8"/>
    <sheet name="EXP. ESPECIFICA" sheetId="513" r:id="rId9"/>
    <sheet name="FACT. CALIDAD" sheetId="516" r:id="rId10"/>
    <sheet name="APOYO IND. NAL" sheetId="514" r:id="rId11"/>
    <sheet name="PERS. DISCAP." sheetId="515" r:id="rId12"/>
    <sheet name="EMP. MUJERES" sheetId="517" r:id="rId13"/>
    <sheet name="MiPYME" sheetId="518" r:id="rId14"/>
    <sheet name="PROP. ECONO" sheetId="519" r:id="rId15"/>
  </sheets>
  <externalReferences>
    <externalReference r:id="rId16"/>
  </externalReferences>
  <definedNames>
    <definedName name="_xlnm._FilterDatabase" localSheetId="4" hidden="1">'1'!$A$1:$R$11</definedName>
    <definedName name="_xlnm._FilterDatabase" localSheetId="5" hidden="1">'2'!$A$1:$R$11</definedName>
    <definedName name="_xlnm._FilterDatabase" localSheetId="6" hidden="1">'3'!$A$1:$R$11</definedName>
    <definedName name="_xlnm.Print_Area" localSheetId="4">'1'!$A$1:$O$68</definedName>
    <definedName name="_xlnm.Print_Area" localSheetId="5">'2'!$A$1:$O$68</definedName>
    <definedName name="_xlnm.Print_Area" localSheetId="6">'3'!$A$1:$O$68</definedName>
    <definedName name="_xlnm.Print_Area" localSheetId="3">'PPTO IBAGUE OFICIAL 2024'!$A$1:$N$53</definedName>
    <definedName name="SMMLV" localSheetId="3">#REF!</definedName>
    <definedName name="SMMLV" localSheetId="2">#REF!</definedName>
    <definedName name="SMMLV">#REF!</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3" i="528" l="1"/>
  <c r="E34" i="528"/>
  <c r="F33" i="528" s="1"/>
  <c r="K35" i="528"/>
  <c r="J35" i="528"/>
  <c r="I35" i="528"/>
  <c r="H35" i="528"/>
  <c r="G35" i="528"/>
  <c r="K34" i="528"/>
  <c r="J34" i="528"/>
  <c r="I34" i="528"/>
  <c r="H34" i="528"/>
  <c r="G34" i="528"/>
  <c r="K33" i="528"/>
  <c r="J33" i="528"/>
  <c r="I33" i="528"/>
  <c r="H33" i="528"/>
  <c r="G33" i="528"/>
  <c r="K29" i="528"/>
  <c r="J29" i="528"/>
  <c r="I29" i="528"/>
  <c r="H29" i="528"/>
  <c r="G29" i="528"/>
  <c r="K28" i="528"/>
  <c r="J28" i="528"/>
  <c r="I28" i="528"/>
  <c r="H28" i="528"/>
  <c r="G28" i="528"/>
  <c r="K27" i="528"/>
  <c r="J27" i="528"/>
  <c r="I27" i="528"/>
  <c r="H27" i="528"/>
  <c r="G27" i="528"/>
  <c r="F29" i="528"/>
  <c r="F27" i="528"/>
  <c r="E26" i="528"/>
  <c r="G21" i="528"/>
  <c r="H21" i="528"/>
  <c r="I21" i="528"/>
  <c r="J21" i="528"/>
  <c r="K21" i="528"/>
  <c r="G20" i="528"/>
  <c r="H20" i="528"/>
  <c r="I20" i="528"/>
  <c r="J20" i="528"/>
  <c r="K20" i="528"/>
  <c r="K19" i="528"/>
  <c r="J19" i="528"/>
  <c r="I19" i="528"/>
  <c r="H19" i="528"/>
  <c r="G19" i="528"/>
  <c r="K13" i="528"/>
  <c r="J13" i="528"/>
  <c r="I13" i="528"/>
  <c r="H13" i="528"/>
  <c r="G13" i="528"/>
  <c r="K14" i="528"/>
  <c r="J14" i="528"/>
  <c r="I14" i="528"/>
  <c r="H14" i="528"/>
  <c r="G14" i="528"/>
  <c r="K15" i="528"/>
  <c r="J15" i="528"/>
  <c r="I15" i="528"/>
  <c r="H15" i="528"/>
  <c r="G15" i="528"/>
  <c r="D35" i="528"/>
  <c r="D34" i="528"/>
  <c r="D33" i="528"/>
  <c r="D29" i="528"/>
  <c r="D28" i="528"/>
  <c r="D27" i="528"/>
  <c r="D21" i="528"/>
  <c r="D20" i="528"/>
  <c r="E20" i="528" s="1"/>
  <c r="F21" i="528" s="1"/>
  <c r="L21" i="528" s="1"/>
  <c r="D19" i="528"/>
  <c r="D13" i="528"/>
  <c r="D14" i="528"/>
  <c r="E14" i="528" s="1"/>
  <c r="F15" i="528" s="1"/>
  <c r="D15" i="528"/>
  <c r="C35" i="528"/>
  <c r="B35" i="528"/>
  <c r="C34" i="528"/>
  <c r="B34" i="528"/>
  <c r="C33" i="528"/>
  <c r="B33" i="528"/>
  <c r="C29" i="528"/>
  <c r="B29" i="528"/>
  <c r="C28" i="528"/>
  <c r="B28" i="528"/>
  <c r="C27" i="528"/>
  <c r="B27" i="528"/>
  <c r="C21" i="528"/>
  <c r="B21" i="528"/>
  <c r="C20" i="528"/>
  <c r="B20" i="528"/>
  <c r="C19" i="528"/>
  <c r="B19" i="528"/>
  <c r="B13" i="528"/>
  <c r="B14" i="528"/>
  <c r="B15" i="528"/>
  <c r="C13" i="528"/>
  <c r="C14" i="528"/>
  <c r="C15" i="528"/>
  <c r="L27" i="528" l="1"/>
  <c r="N22" i="528"/>
  <c r="N23" i="528"/>
  <c r="F19" i="528"/>
  <c r="L19" i="528" s="1"/>
  <c r="N21" i="528"/>
  <c r="F13" i="528"/>
  <c r="L33" i="528"/>
  <c r="L14" i="528"/>
  <c r="L13" i="528"/>
  <c r="L15" i="528"/>
  <c r="F34" i="528"/>
  <c r="L34" i="528" s="1"/>
  <c r="L20" i="528"/>
  <c r="F28" i="528"/>
  <c r="L28" i="528" s="1"/>
  <c r="L29" i="528"/>
  <c r="F35" i="528"/>
  <c r="L35" i="528" s="1"/>
  <c r="F14" i="515" l="1"/>
  <c r="D14" i="515"/>
  <c r="B7" i="515"/>
  <c r="B6" i="503"/>
  <c r="B7" i="503"/>
  <c r="D14" i="519"/>
  <c r="B7" i="519"/>
  <c r="F14" i="518"/>
  <c r="D14" i="518"/>
  <c r="B7" i="518"/>
  <c r="F14" i="517"/>
  <c r="D14" i="517"/>
  <c r="B7" i="517"/>
  <c r="F14" i="514"/>
  <c r="D14" i="514"/>
  <c r="B7" i="514"/>
  <c r="F14" i="516"/>
  <c r="D14" i="516"/>
  <c r="B7" i="516"/>
  <c r="J14" i="513"/>
  <c r="H14" i="513"/>
  <c r="G14" i="513"/>
  <c r="F14" i="513"/>
  <c r="E14" i="513"/>
  <c r="D14" i="513"/>
  <c r="A2" i="527"/>
  <c r="A2" i="526"/>
  <c r="A2" i="476"/>
  <c r="B7" i="513"/>
  <c r="J14" i="512"/>
  <c r="F14" i="512"/>
  <c r="E14" i="512"/>
  <c r="D14" i="512"/>
  <c r="B7" i="512"/>
  <c r="H18" i="480"/>
  <c r="G18" i="480"/>
  <c r="F18" i="480"/>
  <c r="E18" i="480"/>
  <c r="D18" i="480"/>
  <c r="Q13" i="480"/>
  <c r="P13" i="480"/>
  <c r="O13" i="480"/>
  <c r="N13" i="480"/>
  <c r="M13" i="480"/>
  <c r="L13" i="480"/>
  <c r="K13" i="480"/>
  <c r="J13" i="480"/>
  <c r="I13" i="480"/>
  <c r="H13" i="480"/>
  <c r="G13" i="480"/>
  <c r="F13" i="480"/>
  <c r="E13" i="480"/>
  <c r="D13" i="480"/>
  <c r="L31" i="527"/>
  <c r="L30" i="527"/>
  <c r="L29" i="527"/>
  <c r="I29" i="527"/>
  <c r="L28" i="527"/>
  <c r="I28" i="527"/>
  <c r="I27" i="527"/>
  <c r="L19" i="527"/>
  <c r="L18" i="527"/>
  <c r="B4" i="527"/>
  <c r="A4" i="527"/>
  <c r="O31" i="527"/>
  <c r="N31" i="527"/>
  <c r="I31" i="527"/>
  <c r="O30" i="527"/>
  <c r="N30" i="527"/>
  <c r="I30" i="527"/>
  <c r="O29" i="527"/>
  <c r="N29" i="527"/>
  <c r="O28" i="527"/>
  <c r="N28" i="527"/>
  <c r="O27" i="527"/>
  <c r="N27" i="527"/>
  <c r="O19" i="527"/>
  <c r="N19" i="527"/>
  <c r="I19" i="527"/>
  <c r="O18" i="527"/>
  <c r="N18" i="527"/>
  <c r="I18" i="527"/>
  <c r="O17" i="527"/>
  <c r="N17" i="527"/>
  <c r="I17" i="527"/>
  <c r="I11" i="527"/>
  <c r="M11" i="527" s="1"/>
  <c r="O10" i="527"/>
  <c r="A3" i="527"/>
  <c r="D13" i="519"/>
  <c r="F13" i="518"/>
  <c r="D13" i="518"/>
  <c r="F13" i="517"/>
  <c r="D13" i="517"/>
  <c r="F13" i="515"/>
  <c r="D13" i="515"/>
  <c r="F13" i="514"/>
  <c r="D13" i="514"/>
  <c r="F13" i="516"/>
  <c r="D13" i="516"/>
  <c r="J13" i="513"/>
  <c r="H13" i="513"/>
  <c r="G13" i="513"/>
  <c r="F13" i="513"/>
  <c r="E13" i="513"/>
  <c r="D13" i="513"/>
  <c r="J13" i="512"/>
  <c r="F13" i="512"/>
  <c r="E13" i="512"/>
  <c r="D13" i="512"/>
  <c r="H17" i="480"/>
  <c r="G17" i="480"/>
  <c r="F17" i="480"/>
  <c r="E17" i="480"/>
  <c r="D17" i="480"/>
  <c r="Q12" i="480"/>
  <c r="P12" i="480"/>
  <c r="O12" i="480"/>
  <c r="N12" i="480"/>
  <c r="M12" i="480"/>
  <c r="L12" i="480"/>
  <c r="K12" i="480"/>
  <c r="J12" i="480"/>
  <c r="I12" i="480"/>
  <c r="H12" i="480"/>
  <c r="G12" i="480"/>
  <c r="F12" i="480"/>
  <c r="E12" i="480"/>
  <c r="D12" i="480"/>
  <c r="I30" i="526"/>
  <c r="L29" i="526"/>
  <c r="L28" i="526"/>
  <c r="I28" i="526"/>
  <c r="N28" i="526"/>
  <c r="L27" i="526"/>
  <c r="I27" i="526"/>
  <c r="L19" i="526"/>
  <c r="L18" i="526"/>
  <c r="N17" i="526"/>
  <c r="B4" i="526"/>
  <c r="A4" i="526"/>
  <c r="O31" i="526"/>
  <c r="N31" i="526"/>
  <c r="I31" i="526"/>
  <c r="O30" i="526"/>
  <c r="N30" i="526"/>
  <c r="O29" i="526"/>
  <c r="N29" i="526"/>
  <c r="I29" i="526"/>
  <c r="O28" i="526"/>
  <c r="O27" i="526"/>
  <c r="N27" i="526"/>
  <c r="O19" i="526"/>
  <c r="N19" i="526"/>
  <c r="I19" i="526"/>
  <c r="O18" i="526"/>
  <c r="N18" i="526"/>
  <c r="I18" i="526"/>
  <c r="O17" i="526"/>
  <c r="I17" i="526"/>
  <c r="I11" i="526"/>
  <c r="M11" i="526" s="1"/>
  <c r="O10" i="526"/>
  <c r="A3" i="526"/>
  <c r="J11" i="480"/>
  <c r="I30" i="476"/>
  <c r="L29" i="476"/>
  <c r="I29" i="476"/>
  <c r="I28" i="476"/>
  <c r="L28" i="476"/>
  <c r="L19" i="476"/>
  <c r="L18" i="476"/>
  <c r="I18" i="480" l="1"/>
  <c r="N32" i="527"/>
  <c r="N22" i="527"/>
  <c r="O22" i="527"/>
  <c r="A27" i="527"/>
  <c r="A17" i="527"/>
  <c r="I17" i="480"/>
  <c r="A17" i="526"/>
  <c r="A27" i="526"/>
  <c r="N22" i="526"/>
  <c r="O22" i="526" s="1"/>
  <c r="N32" i="526"/>
  <c r="O32" i="526" s="1"/>
  <c r="I11" i="476"/>
  <c r="M11" i="476" s="1"/>
  <c r="O32" i="527" l="1"/>
  <c r="O43" i="525"/>
  <c r="K43" i="525"/>
  <c r="L43" i="525" s="1"/>
  <c r="L44" i="525" s="1"/>
  <c r="G42" i="525"/>
  <c r="O40" i="525"/>
  <c r="L40" i="525"/>
  <c r="K40" i="525"/>
  <c r="O39" i="525"/>
  <c r="K39" i="525" s="1"/>
  <c r="J39" i="525"/>
  <c r="L39" i="525" s="1"/>
  <c r="O38" i="525"/>
  <c r="K38" i="525" s="1"/>
  <c r="L38" i="525" s="1"/>
  <c r="O37" i="525"/>
  <c r="K37" i="525" s="1"/>
  <c r="L37" i="525" s="1"/>
  <c r="J37" i="525"/>
  <c r="O36" i="525"/>
  <c r="K36" i="525" s="1"/>
  <c r="L36" i="525" s="1"/>
  <c r="O35" i="525"/>
  <c r="K35" i="525"/>
  <c r="L35" i="525" s="1"/>
  <c r="J35" i="525"/>
  <c r="O34" i="525"/>
  <c r="K34" i="525"/>
  <c r="L34" i="525" s="1"/>
  <c r="J34" i="525"/>
  <c r="O33" i="525"/>
  <c r="K33" i="525"/>
  <c r="L33" i="525" s="1"/>
  <c r="L41" i="525" s="1"/>
  <c r="J33" i="525"/>
  <c r="O30" i="525"/>
  <c r="K30" i="525" s="1"/>
  <c r="L30" i="525" s="1"/>
  <c r="J30" i="525"/>
  <c r="O29" i="525"/>
  <c r="K29" i="525" s="1"/>
  <c r="L29" i="525" s="1"/>
  <c r="O28" i="525"/>
  <c r="K28" i="525"/>
  <c r="L28" i="525" s="1"/>
  <c r="J28" i="525"/>
  <c r="O27" i="525"/>
  <c r="K27" i="525"/>
  <c r="L27" i="525" s="1"/>
  <c r="J27" i="525"/>
  <c r="O26" i="525"/>
  <c r="K26" i="525"/>
  <c r="L26" i="525" s="1"/>
  <c r="J26" i="525"/>
  <c r="O25" i="525"/>
  <c r="K25" i="525"/>
  <c r="L25" i="525" s="1"/>
  <c r="O24" i="525"/>
  <c r="L24" i="525"/>
  <c r="K24" i="525"/>
  <c r="O23" i="525"/>
  <c r="K23" i="525" s="1"/>
  <c r="L23" i="525" s="1"/>
  <c r="O22" i="525"/>
  <c r="K22" i="525" s="1"/>
  <c r="L22" i="525" s="1"/>
  <c r="J22" i="525"/>
  <c r="O21" i="525"/>
  <c r="K21" i="525" s="1"/>
  <c r="L21" i="525" s="1"/>
  <c r="J21" i="525"/>
  <c r="O20" i="525"/>
  <c r="K20" i="525" s="1"/>
  <c r="L20" i="525" s="1"/>
  <c r="J20" i="525"/>
  <c r="O19" i="525"/>
  <c r="K19" i="525" s="1"/>
  <c r="L19" i="525" s="1"/>
  <c r="O18" i="525"/>
  <c r="K18" i="525"/>
  <c r="L18" i="525" s="1"/>
  <c r="O17" i="525"/>
  <c r="L17" i="525"/>
  <c r="K17" i="525"/>
  <c r="O16" i="525"/>
  <c r="K16" i="525" s="1"/>
  <c r="L16" i="525" s="1"/>
  <c r="O15" i="525"/>
  <c r="K15" i="525" s="1"/>
  <c r="L15" i="525" s="1"/>
  <c r="O14" i="525"/>
  <c r="K14" i="525"/>
  <c r="L14" i="525" s="1"/>
  <c r="J14" i="525"/>
  <c r="O13" i="525"/>
  <c r="K13" i="525"/>
  <c r="L13" i="525" s="1"/>
  <c r="L31" i="525" l="1"/>
  <c r="L46" i="525" s="1"/>
  <c r="L47" i="525" l="1"/>
  <c r="K48" i="525" s="1"/>
  <c r="L51" i="525" s="1"/>
  <c r="D15" i="503" l="1"/>
  <c r="A4" i="476" l="1"/>
  <c r="D12" i="519"/>
  <c r="C14" i="519"/>
  <c r="C13" i="519"/>
  <c r="C12" i="519"/>
  <c r="B6" i="519"/>
  <c r="F12" i="518"/>
  <c r="D12" i="518"/>
  <c r="C14" i="518"/>
  <c r="C13" i="518"/>
  <c r="C12" i="518"/>
  <c r="B6" i="518"/>
  <c r="F12" i="517"/>
  <c r="D12" i="517"/>
  <c r="C14" i="517"/>
  <c r="C13" i="517"/>
  <c r="C12" i="517"/>
  <c r="B6" i="517"/>
  <c r="F12" i="515"/>
  <c r="D12" i="515"/>
  <c r="C14" i="515"/>
  <c r="C13" i="515"/>
  <c r="C12" i="515"/>
  <c r="B6" i="515"/>
  <c r="F12" i="516"/>
  <c r="D12" i="516"/>
  <c r="C14" i="516"/>
  <c r="C13" i="516"/>
  <c r="C12" i="516"/>
  <c r="C13" i="514"/>
  <c r="C12" i="514"/>
  <c r="B6" i="516"/>
  <c r="F12" i="514"/>
  <c r="D12" i="514"/>
  <c r="C14" i="514"/>
  <c r="B6" i="514"/>
  <c r="C14" i="513"/>
  <c r="C13" i="513"/>
  <c r="C12" i="513"/>
  <c r="B6" i="513"/>
  <c r="B6" i="512"/>
  <c r="H15" i="503"/>
  <c r="I15" i="503"/>
  <c r="I14" i="503"/>
  <c r="H14" i="503"/>
  <c r="G14" i="503"/>
  <c r="F14" i="503"/>
  <c r="E14" i="503"/>
  <c r="H16" i="480"/>
  <c r="I13" i="503" s="1"/>
  <c r="G16" i="480"/>
  <c r="H13" i="503" s="1"/>
  <c r="F16" i="480"/>
  <c r="G13" i="503" s="1"/>
  <c r="E16" i="480"/>
  <c r="F13" i="503" s="1"/>
  <c r="D16" i="480"/>
  <c r="E13" i="503" s="1"/>
  <c r="D14" i="503"/>
  <c r="Q11" i="480"/>
  <c r="P11" i="480"/>
  <c r="O11" i="480"/>
  <c r="N11" i="480"/>
  <c r="M11" i="480"/>
  <c r="L11" i="480"/>
  <c r="D13" i="503" s="1"/>
  <c r="K11" i="480"/>
  <c r="I11" i="480"/>
  <c r="H11" i="480"/>
  <c r="G11" i="480"/>
  <c r="F11" i="480"/>
  <c r="B4" i="476"/>
  <c r="J13" i="503" l="1"/>
  <c r="J14" i="503"/>
  <c r="G15" i="503" l="1"/>
  <c r="F15" i="503"/>
  <c r="E15" i="503"/>
  <c r="L31" i="476"/>
  <c r="N31" i="476" s="1"/>
  <c r="I31" i="476"/>
  <c r="O31" i="476"/>
  <c r="H12" i="513" s="1"/>
  <c r="O29" i="476"/>
  <c r="F12" i="513" s="1"/>
  <c r="N29" i="476"/>
  <c r="N28" i="476"/>
  <c r="O28" i="476"/>
  <c r="E12" i="513" s="1"/>
  <c r="L27" i="476"/>
  <c r="N27" i="476" s="1"/>
  <c r="I27" i="476"/>
  <c r="L21" i="476"/>
  <c r="N21" i="476" s="1"/>
  <c r="N19" i="476"/>
  <c r="I21" i="476"/>
  <c r="I20" i="476"/>
  <c r="I19" i="476"/>
  <c r="L17" i="476"/>
  <c r="I18" i="476"/>
  <c r="I17" i="476"/>
  <c r="C14" i="512"/>
  <c r="C13" i="512"/>
  <c r="C12" i="512"/>
  <c r="A3" i="476"/>
  <c r="J15" i="503" l="1"/>
  <c r="I16" i="480"/>
  <c r="C18" i="480" l="1"/>
  <c r="C17" i="480"/>
  <c r="C14" i="503" l="1"/>
  <c r="C15" i="503"/>
  <c r="C16" i="480"/>
  <c r="N18" i="476"/>
  <c r="N17" i="476"/>
  <c r="N30" i="476" l="1"/>
  <c r="N32" i="476" s="1"/>
  <c r="C13" i="503"/>
  <c r="O10" i="476" l="1"/>
  <c r="A17" i="476" l="1"/>
  <c r="A27" i="476"/>
  <c r="O30" i="476"/>
  <c r="G12" i="513" s="1"/>
  <c r="O27" i="476"/>
  <c r="D12" i="513" s="1"/>
  <c r="O18" i="476"/>
  <c r="E12" i="512" s="1"/>
  <c r="O32" i="476" l="1"/>
  <c r="O21" i="476"/>
  <c r="H12" i="512" s="1"/>
  <c r="O20" i="476"/>
  <c r="G12" i="512" s="1"/>
  <c r="N20" i="476"/>
  <c r="O19" i="476"/>
  <c r="F12" i="512" s="1"/>
  <c r="O17" i="476"/>
  <c r="D12" i="512" s="1"/>
  <c r="E11" i="480" l="1"/>
  <c r="J12" i="513"/>
  <c r="N22" i="476"/>
  <c r="O22" i="476" l="1"/>
  <c r="J12" i="512" l="1"/>
  <c r="D11" i="480"/>
</calcChain>
</file>

<file path=xl/sharedStrings.xml><?xml version="1.0" encoding="utf-8"?>
<sst xmlns="http://schemas.openxmlformats.org/spreadsheetml/2006/main" count="796" uniqueCount="282">
  <si>
    <t>OBSERVACIONES</t>
  </si>
  <si>
    <t>No.</t>
  </si>
  <si>
    <t>PROPONENTE</t>
  </si>
  <si>
    <t>EXPERIENCIA GENERAL</t>
  </si>
  <si>
    <t>EXPERIENCIA ESPECIFICA</t>
  </si>
  <si>
    <t>FACTOR DE CALIDAD</t>
  </si>
  <si>
    <t>MIPYME</t>
  </si>
  <si>
    <t>SI</t>
  </si>
  <si>
    <t>CUMPLE</t>
  </si>
  <si>
    <t>% PO</t>
  </si>
  <si>
    <t>APORTANTE DE LA EXPERIENCIA - GENERAL</t>
  </si>
  <si>
    <t>TOTAL</t>
  </si>
  <si>
    <t>PRESUPUESTO A EVALUAR  (P.O)</t>
  </si>
  <si>
    <t>PO SMMLV</t>
  </si>
  <si>
    <t>REQUISITOS HABILITANTES (CUMPLE /NO CUMPLE)</t>
  </si>
  <si>
    <t>CTO´S</t>
  </si>
  <si>
    <t>No. CONSECUTIVO EN EL RUP</t>
  </si>
  <si>
    <t>CONTRATANTE</t>
  </si>
  <si>
    <t>INFO DEL CONTRATO</t>
  </si>
  <si>
    <t>PRESENTA DOCUMENTOS ENLISTADOS</t>
  </si>
  <si>
    <t>CUMPLE EXPERIENCIA?</t>
  </si>
  <si>
    <t>QUIEN APORTA LA EXPERIENCIA?</t>
  </si>
  <si>
    <t>VALOR TOTAL EN PESOS</t>
  </si>
  <si>
    <t>VALOR TOTAL SMMLV - RUP</t>
  </si>
  <si>
    <t>VALOR TOTAL AFECTADO</t>
  </si>
  <si>
    <t>CUMPLE / NO CUMPLE</t>
  </si>
  <si>
    <t>CTO 1</t>
  </si>
  <si>
    <t>CTO 2</t>
  </si>
  <si>
    <t>CTO 3</t>
  </si>
  <si>
    <t>CTO 4</t>
  </si>
  <si>
    <t>CTO 5</t>
  </si>
  <si>
    <t>50% PO</t>
  </si>
  <si>
    <t>PUNTAJE ASIGNADO</t>
  </si>
  <si>
    <t>SERVICIOS NACIONALES</t>
  </si>
  <si>
    <t>PROPONENTE EXTRANJERO PUNTAJE POR TRATO NACIONAL</t>
  </si>
  <si>
    <t>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t>
  </si>
  <si>
    <t>Para los proponentes plurales, la entidad tendrá en cuenta la planta de personal del integrante del proponente plural que aporte como mínimo el cuarenta por ciento (40%) de la experiencia requerida para el proceso de contratación. Este porcentaje de experiencia se tomará sobre el “Valor mínimo a certificar (como % del presupuesto oficial expresado en SMMLV)” de conformidad con el numeral 3.8.1, sin importar si la experiencia es general o específica.</t>
  </si>
  <si>
    <t>N/A</t>
  </si>
  <si>
    <t>CÓDIGOS</t>
  </si>
  <si>
    <t>% PP</t>
  </si>
  <si>
    <t>AÑO DE TERMINACIÓN DEL CONTRATO</t>
  </si>
  <si>
    <t>% PARTICIPACIÓN</t>
  </si>
  <si>
    <t>RESULTADO EVALUACIÓN EXPERIENCIA GENERAL</t>
  </si>
  <si>
    <t>EVALUACIÓN EXPERIENCIA ESPECIFICA PROPONENTE</t>
  </si>
  <si>
    <t xml:space="preserve">EVALUACIÓN EXPERIENCIA GENERAL PROPONENTE </t>
  </si>
  <si>
    <t>UNIDAD ADMINISTRATIVA ESPECIAL DE AERONÁUTICA CIVIL</t>
  </si>
  <si>
    <t>100 % PO</t>
  </si>
  <si>
    <t>RESULTADO EVALUACIÓN EXPERIENCIA ESPECIFICA</t>
  </si>
  <si>
    <t>Para que el Proponente nacional obtenga puntaje por Servicios Nacionales debe presentar, además del Formato 18A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t>
  </si>
  <si>
    <t>RAPIDEXXUS</t>
  </si>
  <si>
    <t>Para esto debe presentar: i) el Formato 22 – Vinculación de personas en condición de discapacidad suscrito por la persona natural, el representante legal o el revisor fiscal, según corresponda en el cual certifique el número total de trabajadores vinculados a la planta de personal del proponente o sus integrantes a la fecha de cierre del proceso de selección, ii) acreditar el número mínimo de personas con discapacidad en su planta de personal, de conformidad con lo señalado en el certificado expedido por el Ministerio de Trabajo, el cual deberá estar vigente a la fecha de cierre del proceso de selección.</t>
  </si>
  <si>
    <t>AIRAVATA S.A.S.</t>
  </si>
  <si>
    <t>INVERSIONES IO S.A.S.</t>
  </si>
  <si>
    <t>SKYTECH S.A.S</t>
  </si>
  <si>
    <t>NOMBRE DEL PROPONENTE</t>
  </si>
  <si>
    <t>MIPYME
(0,25 Pts)</t>
  </si>
  <si>
    <t>EMPRENDIMIENTO
MUJERES
(0,25 Pts)</t>
  </si>
  <si>
    <t>FACTOR
DE
CALIDAD
(18.5 Pts)</t>
  </si>
  <si>
    <t>APOYO A LA INDUSTRIA NACIONAL 
(10 Pts)</t>
  </si>
  <si>
    <t>REPÚBLICA DE COLOMBIA
MINISTERIO DE TRANSPORTE
AERONAUTICA CIVIL</t>
  </si>
  <si>
    <t>EVALUADOR TÉCNICO</t>
  </si>
  <si>
    <t>Formulario 1 - Propuesta económica  - Documento tipo de licitación de obra pública de infraestructura de transporte - versión 3</t>
  </si>
  <si>
    <t>Código</t>
  </si>
  <si>
    <t>CCE-EICP-FM-14</t>
  </si>
  <si>
    <t>Versión</t>
  </si>
  <si>
    <t>FORMULARIO 1</t>
  </si>
  <si>
    <t>PRESUPUESTO OFICIAL</t>
  </si>
  <si>
    <t>Nº</t>
  </si>
  <si>
    <t>APU</t>
  </si>
  <si>
    <t>ÍTEM DE PAGO</t>
  </si>
  <si>
    <t>DESCRIPCIÓN</t>
  </si>
  <si>
    <t>UND.</t>
  </si>
  <si>
    <t>CANTIDAD</t>
  </si>
  <si>
    <t>GENERAL</t>
  </si>
  <si>
    <t>PARTICULAR</t>
  </si>
  <si>
    <t>1.1</t>
  </si>
  <si>
    <t>UND</t>
  </si>
  <si>
    <t>1.2</t>
  </si>
  <si>
    <t>1.3</t>
  </si>
  <si>
    <t>SUBTOTAL</t>
  </si>
  <si>
    <t>2.1</t>
  </si>
  <si>
    <t>2.2</t>
  </si>
  <si>
    <t>IVA</t>
  </si>
  <si>
    <t>VALOR DE LA OFERTA</t>
  </si>
  <si>
    <t>CRITERIOS PONDERABLES</t>
  </si>
  <si>
    <t>VALOR OFERTA</t>
  </si>
  <si>
    <t>PONDERACIÓN OFERTA
(70 PTS)</t>
  </si>
  <si>
    <t>APOYO A LA INDUSTRIA NAL.
(10 PTS)</t>
  </si>
  <si>
    <t>FACTOR DE CALIDAD
(18.5 PTS)</t>
  </si>
  <si>
    <t>PERSONAL CON DISCAPACIDAD
(1 PTS)</t>
  </si>
  <si>
    <t>EMPRENDIMIENTO O EMPRESAS MUJERES
(0.25 PTS)</t>
  </si>
  <si>
    <t>MiPYMES
(0.25 PTS)</t>
  </si>
  <si>
    <t>TOTAL
(100 PTS)</t>
  </si>
  <si>
    <t>MEDIA GEOMETRICA</t>
  </si>
  <si>
    <t>P.O.</t>
  </si>
  <si>
    <t>PONDERACIÓN PROPUESTA ECONOMICA MENOR VALOR</t>
  </si>
  <si>
    <t>MENOR VALOR</t>
  </si>
  <si>
    <t>Para que el proponente extranjero obtenga puntaje por trato nacional debe acreditar que los servicios son originarios de los estados mencionados en la sección de acuerdos comerciales aplicables al presente proceso de contratación, información que se acreditará con los documentos que aporte el proponente extranjero para acreditar su domicilio.
Para asignar el puntaje por servicios nacionales o por trato nacional el proponente nacional o extranjero con trato nacional no deben presentar el Formato 7 – Puntaje de Industria Nacional. 
Únicamente deberán presentar los documentos señalados en esta sección.</t>
  </si>
  <si>
    <r>
      <rPr>
        <b/>
        <sz val="18"/>
        <color theme="1"/>
        <rFont val="Arial Narrow"/>
        <family val="2"/>
      </rPr>
      <t xml:space="preserve">NOTA: </t>
    </r>
    <r>
      <rPr>
        <sz val="18"/>
        <color theme="1"/>
        <rFont val="Arial Narrow"/>
        <family val="2"/>
      </rPr>
      <t xml:space="preserve">La entidad asignará diez (10) puntos a un proponente plural cuando todos sus integrantes cumplan con las anteriores condiciones. Cuando uno de sus integrantes no cumpla con las condiciones descritas no obtendrá puntaje por servicios nacionales o trato Nacional.
El Formato 18B – Puntaje de Industria Nacional únicamente debe ser aportado por los proponentes extranjeros sin derecho a trato nacional que opten por incorporar personal calificado. En el evento que un proponente nacional o extranjero con trato nacional lo presente, no será una razón para no otorgar el puntaje de promoción de servicios nacionales o con trato nacional. </t>
    </r>
  </si>
  <si>
    <t>CONTRATO 1</t>
  </si>
  <si>
    <t>CONTRATO 2</t>
  </si>
  <si>
    <t>CONTRATO 3</t>
  </si>
  <si>
    <t>CONTRATO 4</t>
  </si>
  <si>
    <t>CONTRATO 5</t>
  </si>
  <si>
    <t>REPÚBLICA DE COLOMBIA
MINISTERIO DE TRANSPORTE
AERONÁUTICA CIVIL</t>
  </si>
  <si>
    <t>EVALUACIÓN EXPERIENCIA GENERAL PROPONENTES</t>
  </si>
  <si>
    <t>EVALUACIÓN EXPERIENCIA ESPECIFICA PROPONENTES</t>
  </si>
  <si>
    <t>EVALUACIÓN APOYO A LA INDUSTRIA NACIONAL</t>
  </si>
  <si>
    <t>EVALUACIÓN VINCULACIÓN DE PERSONAS CON DISCAPACIDAD</t>
  </si>
  <si>
    <t>EVALUACIÓN FACTOR DE CALIDAD</t>
  </si>
  <si>
    <t>EVALUACIÓN EMPRENDIMIENTO MUJERES</t>
  </si>
  <si>
    <t>EVALUACIÓN MiPYME</t>
  </si>
  <si>
    <t>EVALUACIÓN PROPUESTA ECONÓMICA</t>
  </si>
  <si>
    <t>RESULTADO EVALUACIÓN</t>
  </si>
  <si>
    <t>ACEPTADA</t>
  </si>
  <si>
    <t>RECHAZADA</t>
  </si>
  <si>
    <t>OBSERVACIONES:</t>
  </si>
  <si>
    <t>PROCESO DE LICITACIÓN PÚBLICA 24001281 H3 2024</t>
  </si>
  <si>
    <t>REALIZAR EL MANTENIMIENTO Y CONSERVACIÓN DE LOS SISTEMAS DE AYUDAS VISUALES Y SISTEMAS
COMPLEMENTARIOS DEL AEROPUERTO INTERNACIONAL EL DORADO DE BOGOTÁ (VF)</t>
  </si>
  <si>
    <t>ESPECIFICACIONES
RAC 14</t>
  </si>
  <si>
    <t>2.3</t>
  </si>
  <si>
    <t>2.4</t>
  </si>
  <si>
    <t>2.5</t>
  </si>
  <si>
    <t>SUMINISTRO E INSTALACIÓN DE BASE POCO PROFUNDA DE 12", L- 868, INCLUYE SELLADO</t>
  </si>
  <si>
    <t>SUMINISTRO E INSTALACIÓN DE CABLE PRIMARIO DE N° 8 AWG, 5 kV XLPE</t>
  </si>
  <si>
    <t>AÑO</t>
  </si>
  <si>
    <t>REALIZAR OBRAS CIVILES Y ELÉCTRICAS PARA LA INSTALACIÓN Y PUESTA EN FUNCIONAMIENTO DE SISTEMAS DE LUCES DE APROXIMACIÓN PARA EL AEROPUERTO DE RIONEGRO</t>
  </si>
  <si>
    <t>VALOR SALARIO</t>
  </si>
  <si>
    <t>OBRAS CIVILES COMPLEMENTARIAS, MANO DE OBRA E INSTALACIÓN DEL SISTEMA DE ILUMINACION DE APROXIMACION PARA EL AEROPUERTO EL DORADO PISTA 13-31L. (Incluyendo suministros conforme a las actas parciales)</t>
  </si>
  <si>
    <t>CONSORCIO INFRAESTRUCTURA RIOHACHA</t>
  </si>
  <si>
    <t>REALIZAR EL SUMINISTRO E INSTALACIÓN DEL SISTEMA DE ILUMINACIÓN DE PISTA, AYUDAS VISUALES, SISTEMA DE APROXIMACIÓN E INFRAESTRUCTURA ELÉCTRICA DE RESPALDO, PARA EL AEROPUERTO ALMIRANTE PADILLA DE RIOHACHA - GUAJIRA</t>
  </si>
  <si>
    <t>FORMATO 8 ESPECIFICACIONES TÉCNICAS</t>
  </si>
  <si>
    <r>
      <t>Con la presentación y firma del “</t>
    </r>
    <r>
      <rPr>
        <b/>
        <i/>
        <sz val="22"/>
        <color theme="1"/>
        <rFont val="Arial Narrow"/>
        <family val="2"/>
      </rPr>
      <t>Formato 14 - Carta de Presentación de la Oferta</t>
    </r>
    <r>
      <rPr>
        <i/>
        <sz val="22"/>
        <color theme="1"/>
        <rFont val="Arial Narrow"/>
        <family val="2"/>
      </rPr>
      <t>”, se entiende que el proponente conoce y acepta todos los requisitos allí establecidos. En tal sentido, no será necesario aportar el “Formato No. 8 – Especificaciones Técnicas” con la propuesta y en consecuencia no será objeto de verificación del comité evaluador</t>
    </r>
  </si>
  <si>
    <t>CERTIFICADO DE GARANTÍA DE LOS BIENES O SERVICIOS</t>
  </si>
  <si>
    <t>El proponente debe anexar junto con la propuesta documento suscrito por el Representante Legal, mediante la cual se compromete, en caso de resultar adjudicatario, a otorgar un tiempo de garantía para los bienes y/o servicios de mínimo un (1) año y bajo las condiciones descritas en el Formato 8 Especificaciones Técnicas</t>
  </si>
  <si>
    <t>CRITERIOS DE EVALUACIÓN</t>
  </si>
  <si>
    <t>PONDERACIÓN PROPUESTA ECONOMICA MEDIANA CON VALOR ABSOLUTO</t>
  </si>
  <si>
    <t>PONDERACIÓN PROPUESTA ECONOMICA MEDIA GEOMÉTRICA</t>
  </si>
  <si>
    <t>PONDERACIÓN PROPUESTA ECONOMICA MEDIA ARITMÉTICA BAJA</t>
  </si>
  <si>
    <t>En todos los casos se tendrá en cuenta hasta el séptimo (7°) decimal del valor obtenido como puntaje y las fórmulas se aplicarán con las propuestas que no han sido rechazadas y se encuentran válidas.
Las propuestas que al aplicar las fórmulas obtengan puntajes negativos obtienen cero (0) puntos en la oferta económica.</t>
  </si>
  <si>
    <t>Para determinar el método de ponderación, la Entidad tomará los centavos de la Tasa de Cambio
Representativa del Mercado (TRM) (certificada por la Superintendencia Financiera de Colombia en su sitio web: https://www.superfinanciera.gov.co/publicacion/60819) que rija el SEGUNDO DÍA HÁBIL SIGUIENTE A LA INSTALACIÓN DE LA AUDIENCIA PÚBLICA DE ADJUDICACIÓN. Esto es, la que la Superintendencia publique en horas de la tarde del día hábil siguiente a la fecha efectiva de instalación de la Audiencia</t>
  </si>
  <si>
    <t>PROPUESTA ECONÓMICA O PRECIO</t>
  </si>
  <si>
    <t>PROPUESTA
ECONÓMICA</t>
  </si>
  <si>
    <t>APOYO A LA INDUSTRIA NACIONAL (MAX 10 PUNTOS)</t>
  </si>
  <si>
    <t>APOYO A LA
INDUSTRIA NACIONAL</t>
  </si>
  <si>
    <t>PROPONENTES CON TRABAJADORES CON DISCAPACIDAD (MAX 1 PUNTO)</t>
  </si>
  <si>
    <t>TRABAJADORES CON DISCAPACIDAD</t>
  </si>
  <si>
    <t>FACTOR DE CALIDAD (MAX 18.5 PUNTOS)</t>
  </si>
  <si>
    <t>EMPRENDIMIENTO Y EMPRESAS DE MUJERES (MAX 0.25 PUNTOS)</t>
  </si>
  <si>
    <t>Para que el Proponente obtenga este puntaje debe diligenciar el Formato 24 – Acreditación de emprendimientos y empresas de mujeres y aportar la documentación requerida.</t>
  </si>
  <si>
    <t>EMPRENDIMIENTO Y EMPRESAS DE MUJERES</t>
  </si>
  <si>
    <t>MiPYME (MAX 0.25 PUNTOS)</t>
  </si>
  <si>
    <t>Tratándose de Proponentes Plurales este puntaje solo se otorgará si por lo menos uno de los integrantes acredita la calidad de emprendimientos y empresas de mujeres y tiene una participación igual o superior al diez por ciento (10 %) en el Consorcio o en la Unión Temporal.</t>
  </si>
  <si>
    <t>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t>
  </si>
  <si>
    <t>Para que el Proponente obtenga este puntaje podrá presentar el “Formato 23 - Acreditación de MiPymes” o certificación con la información y documentación requeridas en el artículo 2.2.1.2.4.2.4 del Decreto 1082 de 2015, o la norma que lo modifique, complemente o sustituya.
En todo caso, las MiPymes también podrán acreditar esta condición con la copia del certificado del Registro Único de Proponentes, el cual deberá encontrarse vigente y en firme al momento de su presentación.
Tratándose de Proponentes Plurales este puntaje se otorgará si por lo menos uno de los integrantes acredita la calidad de Mipyme y tiene una participación igual o superior al diez por ciento (10%) en el consorcio o la unión temporal.</t>
  </si>
  <si>
    <t>El proponente debe anexar junto con la propuesta documento Formato 7 - Propuesta Económica</t>
  </si>
  <si>
    <t>DIRECCION DE INFRAESTRUCTURA Y AYUDAS AEROPORTUARIAS
GRUPO INFRAESTRUCTURA AEROPORTUARIA CENTRO SUR-NOROCCIDENTE</t>
  </si>
  <si>
    <t>UNIDAD ADMINISTRATIVA
ESPECIAL DE AERONÁUTICA
CIVIL - AEROCIVIL</t>
  </si>
  <si>
    <t>OFERTA
ECONÓMICA</t>
  </si>
  <si>
    <t>PUNTAJE TOTAL</t>
  </si>
  <si>
    <t>JOSÉ DANIEL QUINCHE GUERRA</t>
  </si>
  <si>
    <t>SKYTECH</t>
  </si>
  <si>
    <t>REALIZAR EL SUMINISTRO E INSTALACIÓN DE LOS SISTEMAS DE AYUDAS VISUALES Y SUS OBRAS
COMPLEMENTARIAS PARA EL AEROPUERTO PERALES DE IBAGUÉ, TOLIMA (VF)</t>
  </si>
  <si>
    <t>PROCESO DE LICITACIÓN PÚBLICA 24001224 H1 2024</t>
  </si>
  <si>
    <t>REALIZAR EL SUMINISTRO E INSTALACIÓN DE LOS SISTEMAS DE AYUDAS VISUALES Y SUS OBRAS COMPLEMENTARIAS PARA EL AEROPUERTO PERALES DE IBAGUÉ, TOLIMA (VF)”</t>
  </si>
  <si>
    <t xml:space="preserve">VALOR UNITARIO 
</t>
  </si>
  <si>
    <t xml:space="preserve">VALOR TOTAL </t>
  </si>
  <si>
    <t>SUMINISTRO E INSTALACIÓN LUCES PARA AYUDAS VISUALES</t>
  </si>
  <si>
    <t>14.3.5.3.9</t>
  </si>
  <si>
    <t>14.3.5.3.9.8.
14.3.5.3.9.7.</t>
  </si>
  <si>
    <t>SUMINISTRO E INSTALACIÓN DE LUZ DE BORDE DE PISTA ELEVADA [FAA L-862(L)], TIPO LED, 6.6 A. W/W. INCLUYE TRANSFORMADOR DE AISLAMIENTO</t>
  </si>
  <si>
    <t>SUMINISTRO E INSTALACIÓN DE LUZ DE BORDE DE PISTA ELEVADA [FAA L-862(L)], TIPO LED, 6.6 A. W/Y. INCLUYE TRANSFORMADOR DE AISLAMIENTO</t>
  </si>
  <si>
    <t>14.3.5.3.9.7.</t>
  </si>
  <si>
    <t>SUMINISTRO E INSTALACIÓN DE LUZ DE BORDE DE PISTA EMPOTRADA [FAA L-850C(L) BI], TIPO LED, 6.6 A. W/Y. INCLUYE TRANSFORMADOR DE AISLAMIENTO</t>
  </si>
  <si>
    <t>1.4</t>
  </si>
  <si>
    <t>14.3.5.3.10.</t>
  </si>
  <si>
    <t>14.3.5.3.10.4.</t>
  </si>
  <si>
    <t>SUMINISTRO E INSTALACIÓN DE LUZ DE UMBRAL DE PISTA EMPOTRADA [FAA L-850D(L) BI], TIPO LED, 6.6 A. R/G. INCLUYE TRANSFORMADOR DE AISLAMIENTO</t>
  </si>
  <si>
    <t>1.5</t>
  </si>
  <si>
    <t>14.3.5.3.17.</t>
  </si>
  <si>
    <t>14.3.5.3.17.1.
14.3.5.3.17.2.
14.3.5.3.18.1.</t>
  </si>
  <si>
    <t>SUMINISTRO E INSTALACIÓN DE LUZ DE BORDE DE CALLE DE RODAJE ELEVADA [FAA L-861T(L) OMNI], TIPO LED, MEDIA INTENSIDAD, 6.6 A. AZUL. INCLUYE TRANSFORMADOR DE AISLAMIENTO</t>
  </si>
  <si>
    <t>1.6</t>
  </si>
  <si>
    <t>SUMINISTRO E INSTALACIÓN DE LUZ DE BORDE DE CALLE DE RODAJE ELEVADA [FAA L-861T(L) OMNI], TIPO LED, MEDIA INTENSIDAD, 6.6 A. ROJA. INCLUYE TRANSFORMADOR DE AISLAMIENTO</t>
  </si>
  <si>
    <t>1.7</t>
  </si>
  <si>
    <t>14.3.2.12.
14.3.5.3.4.2.
14.3.5.3.5.</t>
  </si>
  <si>
    <t>14.3.5.3.5.2.</t>
  </si>
  <si>
    <t>SUMINISTRO E INSTALACIÓN DE LUCES PAPI [FAA L-880(L)], TIPO LED, 6.6 A. CONFORMADAS POR 4 UNIDADES. INCLUYE TRANSFORMADORES DE AISLAMIENTO</t>
  </si>
  <si>
    <t>|</t>
  </si>
  <si>
    <t>1.8</t>
  </si>
  <si>
    <t>14.3.5.3.1.10.</t>
  </si>
  <si>
    <t>SUMINISTRO E INSTALACIÓN DE REGULADOR DE CORRIENTE CONSTANTE POTENCIA 2 kW FERRORESONANTE</t>
  </si>
  <si>
    <t>1.9</t>
  </si>
  <si>
    <t>SUMINISTRO E INSTALACIÓN DE REGULADOR DE CORRIENTE CONSTANTE POTENCIA 4 kW FERRORESONANTE</t>
  </si>
  <si>
    <t>1.10</t>
  </si>
  <si>
    <t>SUMINISTRO E INSTALACIÓN DE REGULADOR DE CORRIENTE CONSTANTE POTENCIA 7.5 kW FERRORESONANTE</t>
  </si>
  <si>
    <t>1.11</t>
  </si>
  <si>
    <t>14.3.5.4.</t>
  </si>
  <si>
    <t>14.3.5.4.2.</t>
  </si>
  <si>
    <t>SUMINISTRO E INSTALACIÓN DE LETRERO DE 1 CUERPO</t>
  </si>
  <si>
    <t>1.12</t>
  </si>
  <si>
    <t>SUMINISTRO E INSTALACIÓN DE LETRERO DE 2 CUERPOS</t>
  </si>
  <si>
    <t>1.13</t>
  </si>
  <si>
    <t>14.3.5.1.1</t>
  </si>
  <si>
    <t>SUMINISTRO E INSTALACIÓN DE INDICADOR DE LA DIRECCIÓN DEL VIENTO CON ALIMENTACIÓN SOLAR</t>
  </si>
  <si>
    <t>1.14</t>
  </si>
  <si>
    <t>AC
150/5345-26E</t>
  </si>
  <si>
    <t>SUMINISTRO E INSTALACIÓN DE JUEGO CONECTORES PRIMARIOS FAA L-823</t>
  </si>
  <si>
    <t>1.15</t>
  </si>
  <si>
    <t>SUMINISTRO E INSTALACIÓN DE JUEGO CONECTORES SECUNDARIOS FAA L-823</t>
  </si>
  <si>
    <t>1.16</t>
  </si>
  <si>
    <t xml:space="preserve"> AC
150/5340-26</t>
  </si>
  <si>
    <t>1.17</t>
  </si>
  <si>
    <t>RANURADO EN ASFALTO Y SELLADO PARA INSTALACIÓN DE ACOMETIDA A LUCES EMPOTRADAS</t>
  </si>
  <si>
    <t>ML</t>
  </si>
  <si>
    <t>1.18</t>
  </si>
  <si>
    <t>BASE CILINDRO DE CONCRETO (BASE ESTABILIZADORA) DE 3000 PSI DE 30 CM DE DIÁMETRO POR 40 CM DE ALTO, CON TUBO ACODADO Y ACOPLE DE 2” EN ALUMINIO O MATERIAL GALVANIZADO NO CORROSIBLE, PARA INSTALACIÓN ROSCADA DE LA LUZ</t>
  </si>
  <si>
    <t>CANALIZACIONES Y CABLEADO</t>
  </si>
  <si>
    <t>AC 
150/5340-30J</t>
  </si>
  <si>
    <t>7.5.4.8.4</t>
  </si>
  <si>
    <t>11.3.2.6</t>
  </si>
  <si>
    <t>SUMINISTRO E INSTALACIÓN DE CABLE SECUNDARIO 2x10 AWG THHN-TWH</t>
  </si>
  <si>
    <t>CS-203</t>
  </si>
  <si>
    <t>BANCO DE DUCTOS EN ZONA VERDE 4Ø4", TUBERÍA PVC CORRUGADA TDP, NORMA CODENSA CS-217. INCLUYE COMPACTACIÓN Y RECONFORMACIÓN</t>
  </si>
  <si>
    <t>12.5.1</t>
  </si>
  <si>
    <t>CABLE DESNUDO Cu, 7 HILOS PARA PUESTA A TIERRA, N° 6 AWG</t>
  </si>
  <si>
    <t>SUMINISTRO E INSTALACIÓN VARILLA COOPERWELD 2.4 M. INCLUYE SOLDADURA EXOTÉRMICA VARILLA - CABLE N° 6 AWG O CONECTOR CERTIFICADO RETIE</t>
  </si>
  <si>
    <t>2.6</t>
  </si>
  <si>
    <t>SUMINISTRO E INSTALACIÓN TABLERO GENERAL DISTRIBUCIÓN PARA LOS REGULADORES AUTOSOPORTADO DE 12 CIRCUITOS, CON PROTECCIONES, TOTALIZADOR Y DPS</t>
  </si>
  <si>
    <t>2.7</t>
  </si>
  <si>
    <t>ENEL 3.2.1.</t>
  </si>
  <si>
    <t>CAJA DE INSPECCIÓN ELÉCTRICA NORMA CODENSA CS- 274. INCLUYE DRENAJE EN DIAM 4" CON VÁLVULA CHEQUE A DRENAJE MÁS CERCANO</t>
  </si>
  <si>
    <t>2.8</t>
  </si>
  <si>
    <t>CAJA DE INSPECCIÓN ELÉCTRICA NORMA CODENSA CS- 275. INCLUYE DRENAJE EN DIAM 4" CON VÁLVULA CHEQUE A DRENAJE MÁS CERCANO</t>
  </si>
  <si>
    <t>SISTEMA DE CONTROL</t>
  </si>
  <si>
    <t>3.2</t>
  </si>
  <si>
    <t>AC
150/5345-56B</t>
  </si>
  <si>
    <t>SUMINISTRO E INSTALACIÓN DE SISTEMA DE CONTROL CERTIFICADO L-890 PARA AYUDAS VISUALES. INCLUYE PLC, MÓDULOS DE I/O, SWITCHS ETHERNET/F.O., FUENTES, PROTECCIONES, MONITOR (HDMI) HMI TOUCH SCREEN EN TWR, MONITOR (HDMI) HMI EN SALA TÉCNICA, CONEXIÓN A CCRS, RED LAN ETHERNET, RED DE FIBRA ÓPTICA EN ANILLO, PERIFÉRICOS Y SENSORES DE MONITOREO PARA CCR'S, SOFTWARE Y LICENCIAS</t>
  </si>
  <si>
    <t>GL</t>
  </si>
  <si>
    <t xml:space="preserve">COSTO DIRECTO </t>
  </si>
  <si>
    <t>TOTAL OBRA</t>
  </si>
  <si>
    <t>(5) contratos registrados en el RUP e identificados en al menos en uno (1) de los códigos UNSPSC requeridos y que, sumados su valor total, expresado en SMMLV, sea igual o mayor al cien por ciento (100%) del presupuesto oficial</t>
  </si>
  <si>
    <t>81101700
39111600
72151500</t>
  </si>
  <si>
    <r>
      <t xml:space="preserve">CUMPLE CÓDIGOS
</t>
    </r>
    <r>
      <rPr>
        <b/>
        <sz val="14"/>
        <color rgb="FFFF0000"/>
        <rFont val="Arial Narrow"/>
        <family val="2"/>
      </rPr>
      <t>81101700
39111600
72151500</t>
    </r>
  </si>
  <si>
    <t>UNIDAD ADMINISTRATIVA ESPECIAL AERONÁUTICA CIVIL</t>
  </si>
  <si>
    <t>CONTRATAR EL MANTENIMIENTO, INSTALACIÓN Y ADECUACIÓN DE LOS SISTEMAS DE AYUDAS VISUALES DEL AEROPUERTO SIMON BOLIVAR DE LA CIUDAD DE SANTA MARTA</t>
  </si>
  <si>
    <t>UNIDAD ADMINISTRATIVA ESPECIAL AERONÁUTICA CIVIL
RAPIDEXXUS S.A.</t>
  </si>
  <si>
    <t>OBRAS CIVILES COMPLEMENTARIAS, MANO DE OBRA E INSTALACIÓN DEL SISTEMA DE ILUMINACIÓN DE PISTA Y SISTEMA DE APROXIMACIÓN PARA EL AEROPUERTO DE SAN ANDRÉS</t>
  </si>
  <si>
    <t>(5) certificaciones de contratos o actas de liquidación o actas de terminación de contratos celebrados con entidades públicas o privadas, ejecutados y terminados; debidamente registrados en el RUP e identificados en al menos en uno (1) de los códigos UNSPSC requeridos en la experiencia general; que sumados su valor total, expresado en SMMLV, sea igual o mayor al cincuenta por ciento (50%) del presupuesto oficial</t>
  </si>
  <si>
    <t>SUMINISTRO Y/O ADQUISICIÓN Y/O INSTALACIÓN Y/O PUESTA EN FUNCIONAMIENTO DE SISTEMAS DE AYUDAS VISUALES</t>
  </si>
  <si>
    <t>El proponente debe anexar certificación del fabricante donde manifieste que los equipos ofertados poseen fecha de fabricación mínimo del año 2024, garantizando adicionalmente que son equipos nuevos, no remanufacturados o renovados</t>
  </si>
  <si>
    <t>DISPONIBILIDAD DE REPUESTOS POR 10 AÑOS</t>
  </si>
  <si>
    <t>El proponente debe garantizar la disponibilidad de repuestos por un tiempo mínimo de diez (10) años certificados por el fabricante, contados a partir de la fecha de acta de recibo final</t>
  </si>
  <si>
    <t>CERTIFICADO DE REPRESENTACIÓN</t>
  </si>
  <si>
    <t>El proponente debe anexar junto con la propuesta el Certificado de Representación y/o Agenciamiento y/o Distribución Autorizada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tres (3) meses anteriores a la fecha de cierre del presente proceso de contratación</t>
  </si>
  <si>
    <t>El proponente debe anexar junto con la propuesta las fichas técnicas del fabricante, documento con el cual la Entidad verifica y corrobora el cumplimiento de las especificaciones técnicas de los equipos ofertados; no se aceptarán fichas técnicas elaboradas por el proponente a menos que el proponente sea el mismo fabricante. ANEXO No 3.</t>
  </si>
  <si>
    <t>Suministro de luces adicionales.
El proponente obtendrá los puntos del factor de calidad si ofrece las siguientes luces adicionales para destinarlas
para stock de repuestos de las ayudas visuales.
En caso de no ofrecer las luces adicionales obtendrá cero (0) puntos</t>
  </si>
  <si>
    <t>CARTA DE
PRESENTACIÓN FORMATO 8 ESPECIFICACIONES TÉCNICAS</t>
  </si>
  <si>
    <t>RAPIDEXXUS S.A.S</t>
  </si>
  <si>
    <t>AERONÁUTICA CIVIL</t>
  </si>
  <si>
    <t>MANTENIMIENTO Y CONSERVACION DE LOS SISTEMAS
DE AYUDA VISUALES Y SISTEMAS DE AYUDAS VISUALES Y
SISTEMAS COMPLEMENTARIOS PARA EL LADO AIRE DEL
AEROPUERTO INTERNACIONAL EL DORADO DE BOGOTA
INCLUYENDO INSUMOS Y MANO DE OBRA</t>
  </si>
  <si>
    <t>CONTRATAR LA ADQUISICIÓN Y PUESTA EN SERVICIO DE
LOS SISTEMAS DE ILUMINACIÓN DE PISTA AEROPUERTO
DE TOLU-SUCRE</t>
  </si>
  <si>
    <t>ADQUISICIÓN , INSTALACIÓN , Y PUESTA EN
FUNCIONAMIENTO DE SISTEMAS DE LUCES DE
APROXIMACIÓN PARA EL AEROPUERTO CAMILO DAZA
DE LA CIUDAD DE CUCUTA</t>
  </si>
  <si>
    <t>ADQUIRIR INSTALAR Y PONER EN SERVICIO SISTEMAS DE
ILUMINACION DE APROXIMACION PARA EL AEROPUERTO
EL DORADO PISTA 13R-31L</t>
  </si>
  <si>
    <t>AEROPUERTO INTERNACIONAL
SANTA ANA</t>
  </si>
  <si>
    <t>SUMINISTROS, INSTALACION Y PUESTA EN
FUNCIONAMIENTO DEL SISTEMAS DE ILUMINACION DE
PISTA DEL AEROPUERTO INTERNACIONAL SANTA ANA
S.A DE CARTAGO DE VALLE</t>
  </si>
  <si>
    <t>ADJUDICACION PARCIAL ITEMS 2 Y 3 ADQUISICION,
INSTALACION Y PUESTA ENSERVICIO DE LOS SISTEMAS
DE ILUMINACION PARA LA PISTA DE LOS AEROPUERTOS
DE LETICIA Y APARTADO</t>
  </si>
  <si>
    <t>DISEÑO, SUMINISTRO, INSTALACIÓN,
AUTOMATIZACIÓN Y PUESTA EN
FUNCIONAMIENTO DE SISTEMA DE CONTROL Y
MONITOREO DE LA ILUMINACIÓN CATEGORÍA 3
PARA EL AEROPUERTO EL DORADO DE BOGOTÁ</t>
  </si>
  <si>
    <t>ADQUISICIÓN, INSTALACIÓN Y PUESTA EN
SERVICIO DE SISTEMAS DE ILUMINACIÓN
CATEGORÍA 3 PARA LA PISTA NORTE 13L-31R DEL
AEROPUERTO EL DORADO</t>
  </si>
  <si>
    <t>AEROPUERTO DE MATECAÑA</t>
  </si>
  <si>
    <t>ADQUIRIR E INSTALAR Y PONER EN SERVICIO EL
SISTEMA SENCILLO DE LUCES DE APROXIMACIÓN
SSALS PARA EL AEROPUERTO INTERNACIONAL
MATECAÑA DE PEREIRA</t>
  </si>
  <si>
    <t>MINISTERIO DE DEFENSA
NACIONAL-EJÉRCITO NACIONAL -
CENAC AVIACIÓN</t>
  </si>
  <si>
    <t>SUMINISTRO, INSTALACIÓN Y PUESTA EN
FUNCIONAMIENTO LUCES DE BORDE DE PISTA
TECNOLOGÍA LED Y LUCES EJE DE PISTA TECNOLOGÍA
LED DEL AERÓDROMO DE TOLEMAIDA A EJECUTAR EN
LA VIGENCIA 2021</t>
  </si>
  <si>
    <t>DIRECCIÓN DE INFRAESTRUCTURA Y AYUDAS AEROPORTUARIAS
GRUPO INFRAESTRUCTURA AEROPORTUARIA CENTRO SUR-NOROCCIDENTE</t>
  </si>
  <si>
    <t>CERTIFICACIÓN DEL FABRICANTE FABRICACIÓN MÍNIMO 2024</t>
  </si>
  <si>
    <t>FICHAS TÉCNICAS DEL FABRICANTE</t>
  </si>
  <si>
    <t>CONSORCIO ILUMINACIÓN IBE24</t>
  </si>
  <si>
    <t>VINCULACIÓN
DE PERSONAS
CON DISCAPACIDAD
(1 Pts)</t>
  </si>
  <si>
    <t>MEDIANA</t>
  </si>
  <si>
    <t>MEDIA ARITMETICA BAJA</t>
  </si>
  <si>
    <t>Xb</t>
  </si>
  <si>
    <t xml:space="preserve">OBSERVACIONES: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</si>
</sst>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_);\(&quot;$&quot;#,##0\)"/>
    <numFmt numFmtId="165" formatCode="_(* #,##0.00_);_(* \(#,##0.00\);_(* &quot;-&quot;??_);_(@_)"/>
    <numFmt numFmtId="166" formatCode="_-&quot;$&quot;* #,##0_-;\-&quot;$&quot;* #,##0_-;_-&quot;$&quot;* &quot;-&quot;_-;_-@_-"/>
    <numFmt numFmtId="167" formatCode="_-&quot;$&quot;* #,##0.00_-;\-&quot;$&quot;* #,##0.00_-;_-&quot;$&quot;* &quot;-&quot;??_-;_-@_-"/>
    <numFmt numFmtId="168" formatCode="_-* #,##0.00\ &quot;€&quot;_-;\-* #,##0.00\ &quot;€&quot;_-;_-* &quot;-&quot;??\ &quot;€&quot;_-;_-@_-"/>
    <numFmt numFmtId="169" formatCode="_(&quot;$&quot;\ * #,##0.00_);_(&quot;$&quot;\ * \(#,##0.00\);_(&quot;$&quot;\ * &quot;-&quot;??_);_(@_)"/>
    <numFmt numFmtId="170" formatCode="_([$€]* #,##0.00_);_([$€]* \(#,##0.00\);_([$€]* &quot;-&quot;??_);_(@_)"/>
    <numFmt numFmtId="171" formatCode="_ * #,##0.00_ ;_ * \-#,##0.00_ ;_ * &quot;-&quot;??_ ;_ @_ "/>
    <numFmt numFmtId="172" formatCode="_(* #.##0.00_);_(* \(#.##0.00\);_(* &quot;-&quot;??_);_(@_)"/>
    <numFmt numFmtId="173" formatCode="_-* #,##0.00\ &quot;Pts&quot;_-;\-* #,##0.00\ &quot;Pts&quot;_-;_-* &quot;-&quot;??\ &quot;Pts&quot;_-;_-@_-"/>
    <numFmt numFmtId="174" formatCode="_ &quot;$&quot;\ * #,##0.00_ ;_ &quot;$&quot;\ * \-#,##0.00_ ;_ &quot;$&quot;\ * &quot;-&quot;??_ ;_ @_ "/>
    <numFmt numFmtId="175" formatCode="_-&quot;$&quot;* #.##0.00_-;\-&quot;$&quot;* #.##0.00_-;_-&quot;$&quot;* &quot;-&quot;??_-;_-@_-"/>
    <numFmt numFmtId="176" formatCode="_ * #,##0_ ;_ * \-#,##0_ ;_ * &quot;-&quot;_ ;_ @_ "/>
    <numFmt numFmtId="177" formatCode="&quot;$&quot;#.00"/>
    <numFmt numFmtId="178" formatCode="m\o\n\th\ d\,\ yyyy"/>
    <numFmt numFmtId="179" formatCode="#.00"/>
    <numFmt numFmtId="180" formatCode="#."/>
    <numFmt numFmtId="181" formatCode="_-* #,##0\ _P_t_s_-;\-* #,##0\ _P_t_s_-;_-* &quot;-&quot;\ _P_t_s_-;_-@_-"/>
    <numFmt numFmtId="182" formatCode="#,##0.00_ ;\-#,##0.00\ "/>
    <numFmt numFmtId="183" formatCode="_(* #,##0_);_(* \(#,##0\);_(* &quot;-&quot;??_);_(@_)"/>
    <numFmt numFmtId="184" formatCode="_([$$-409]* #,##0.00_);_([$$-409]* \(#,##0.00\);_([$$-409]* &quot;-&quot;??_);_(@_)"/>
    <numFmt numFmtId="185" formatCode="_-&quot;$&quot;\ * #,##0_-;\-&quot;$&quot;\ * #,##0_-;_-&quot;$&quot;\ * &quot;-&quot;??_-;_-@_-"/>
    <numFmt numFmtId="186" formatCode="&quot;$&quot;\ #,##0.00"/>
    <numFmt numFmtId="187" formatCode="_ &quot;$&quot;\ * #,##0_ ;_ &quot;$&quot;\ * \-#,##0_ ;_ &quot;$&quot;\ * &quot;-&quot;_ ;_ @_ "/>
    <numFmt numFmtId="188" formatCode="&quot;$&quot;\ #,##0"/>
    <numFmt numFmtId="189" formatCode="&quot;$&quot;#,##0"/>
    <numFmt numFmtId="190" formatCode="_-* #,##0.00\ _P_t_s_-;\-* #,##0.00\ _P_t_s_-;_-* &quot;-&quot;??\ _P_t_s_-;_-@_-"/>
    <numFmt numFmtId="191" formatCode="0.000%"/>
    <numFmt numFmtId="192" formatCode="_-&quot;$&quot;\ * #,##0.00_-;\-&quot;$&quot;\ * #,##0.00_-;_-&quot;$&quot;\ * &quot;-&quot;_-;_-@_-"/>
  </numFmts>
  <fonts count="94">
    <font>
      <sz val="11"/>
      <color theme="1"/>
      <name val="Calibri"/>
      <family val="2"/>
      <scheme val="minor"/>
    </font>
    <font>
      <sz val="11"/>
      <color theme="1"/>
      <name val="Calibri"/>
      <family val="2"/>
      <scheme val="minor"/>
    </font>
    <font>
      <sz val="10"/>
      <name val="Arial"/>
      <family val="2"/>
    </font>
    <font>
      <b/>
      <sz val="18"/>
      <name val="Arial"/>
      <family val="2"/>
    </font>
    <font>
      <sz val="11"/>
      <color indexed="8"/>
      <name val="Calibri"/>
      <family val="2"/>
    </font>
    <font>
      <u/>
      <sz val="11"/>
      <color theme="10"/>
      <name val="Calibri"/>
      <family val="2"/>
      <scheme val="minor"/>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sz val="11"/>
      <color indexed="60"/>
      <name val="Calibri"/>
      <family val="2"/>
    </font>
    <font>
      <sz val="10"/>
      <color indexed="64"/>
      <name val="Arial"/>
      <family val="2"/>
    </font>
    <font>
      <sz val="10"/>
      <color indexed="8"/>
      <name val="MS Sans Serif"/>
      <family val="2"/>
    </font>
    <font>
      <sz val="10"/>
      <name val="Century Gothic"/>
      <family val="2"/>
    </font>
    <font>
      <b/>
      <sz val="11"/>
      <color indexed="63"/>
      <name val="Calibri"/>
      <family val="2"/>
    </font>
    <font>
      <sz val="11"/>
      <color indexed="10"/>
      <name val="Calibri"/>
      <family val="2"/>
    </font>
    <font>
      <b/>
      <sz val="18"/>
      <color indexed="56"/>
      <name val="Cambria"/>
      <family val="2"/>
    </font>
    <font>
      <b/>
      <sz val="11"/>
      <color indexed="8"/>
      <name val="Calibri"/>
      <family val="2"/>
    </font>
    <font>
      <sz val="8"/>
      <name val="Arial"/>
      <family val="2"/>
    </font>
    <font>
      <sz val="10"/>
      <name val="MS Sans Serif"/>
      <family val="2"/>
    </font>
    <font>
      <sz val="1"/>
      <color indexed="8"/>
      <name val="Courier"/>
      <family val="3"/>
    </font>
    <font>
      <sz val="10"/>
      <name val="Helv"/>
      <charset val="204"/>
    </font>
    <font>
      <b/>
      <sz val="1"/>
      <color indexed="8"/>
      <name val="Courier"/>
      <family val="3"/>
    </font>
    <font>
      <u/>
      <sz val="10"/>
      <color indexed="12"/>
      <name val="Arial"/>
      <family val="2"/>
    </font>
    <font>
      <b/>
      <sz val="12"/>
      <name val="Arial"/>
      <family val="2"/>
    </font>
    <font>
      <i/>
      <sz val="1"/>
      <color indexed="8"/>
      <name val="Courier"/>
      <family val="3"/>
    </font>
    <font>
      <sz val="11"/>
      <color theme="1"/>
      <name val="Arial"/>
      <family val="2"/>
    </font>
    <font>
      <sz val="11"/>
      <color theme="1"/>
      <name val="Arial Narrow"/>
      <family val="2"/>
    </font>
    <font>
      <b/>
      <sz val="11"/>
      <color theme="1"/>
      <name val="Arial Narrow"/>
      <family val="2"/>
    </font>
    <font>
      <b/>
      <sz val="22"/>
      <color theme="0"/>
      <name val="Arial Narrow"/>
      <family val="2"/>
    </font>
    <font>
      <sz val="14"/>
      <color theme="1"/>
      <name val="Arial Narrow"/>
      <family val="2"/>
    </font>
    <font>
      <b/>
      <sz val="18"/>
      <color theme="0"/>
      <name val="Arial Narrow"/>
      <family val="2"/>
    </font>
    <font>
      <sz val="48"/>
      <color theme="1"/>
      <name val="Arial Narrow"/>
      <family val="2"/>
    </font>
    <font>
      <b/>
      <sz val="22"/>
      <color theme="1"/>
      <name val="Arial Narrow"/>
      <family val="2"/>
    </font>
    <font>
      <b/>
      <sz val="12"/>
      <color theme="1"/>
      <name val="Arial Narrow"/>
      <family val="2"/>
    </font>
    <font>
      <sz val="12"/>
      <color theme="1"/>
      <name val="Arial Narrow"/>
      <family val="2"/>
    </font>
    <font>
      <b/>
      <sz val="18"/>
      <color theme="1"/>
      <name val="Arial Narrow"/>
      <family val="2"/>
    </font>
    <font>
      <b/>
      <sz val="11"/>
      <color rgb="FFFF0000"/>
      <name val="Arial Narrow"/>
      <family val="2"/>
    </font>
    <font>
      <b/>
      <sz val="14"/>
      <color theme="1"/>
      <name val="Arial Narrow"/>
      <family val="2"/>
    </font>
    <font>
      <sz val="22"/>
      <name val="Arial Narrow"/>
      <family val="2"/>
    </font>
    <font>
      <u/>
      <sz val="14"/>
      <color theme="10"/>
      <name val="Arial Narrow"/>
      <family val="2"/>
    </font>
    <font>
      <sz val="9"/>
      <color theme="1"/>
      <name val="Arial Narrow"/>
      <family val="2"/>
    </font>
    <font>
      <b/>
      <sz val="12"/>
      <name val="Arial Narrow"/>
      <family val="2"/>
    </font>
    <font>
      <b/>
      <sz val="14"/>
      <name val="Arial Narrow"/>
      <family val="2"/>
    </font>
    <font>
      <b/>
      <sz val="12"/>
      <color rgb="FFFF0000"/>
      <name val="Arial Narrow"/>
      <family val="2"/>
    </font>
    <font>
      <u/>
      <sz val="20"/>
      <color theme="10"/>
      <name val="Arial Narrow"/>
      <family val="2"/>
    </font>
    <font>
      <sz val="12"/>
      <name val="Arial Narrow"/>
      <family val="2"/>
    </font>
    <font>
      <b/>
      <sz val="26"/>
      <color rgb="FF002060"/>
      <name val="Arial Narrow"/>
      <family val="2"/>
    </font>
    <font>
      <b/>
      <sz val="20"/>
      <color rgb="FF002060"/>
      <name val="Arial Narrow"/>
      <family val="2"/>
    </font>
    <font>
      <b/>
      <sz val="14"/>
      <color rgb="FFFF0000"/>
      <name val="Arial Narrow"/>
      <family val="2"/>
    </font>
    <font>
      <i/>
      <sz val="22"/>
      <color theme="1"/>
      <name val="Arial Narrow"/>
      <family val="2"/>
    </font>
    <font>
      <b/>
      <sz val="20"/>
      <color theme="1"/>
      <name val="Arial Narrow"/>
      <family val="2"/>
    </font>
    <font>
      <b/>
      <sz val="24"/>
      <color theme="1"/>
      <name val="Arial Narrow"/>
      <family val="2"/>
    </font>
    <font>
      <sz val="11"/>
      <color theme="0"/>
      <name val="Arial Narrow"/>
      <family val="2"/>
    </font>
    <font>
      <sz val="18"/>
      <color theme="1"/>
      <name val="Arial Narrow"/>
      <family val="2"/>
    </font>
    <font>
      <b/>
      <sz val="16"/>
      <color theme="1"/>
      <name val="Arial Narrow"/>
      <family val="2"/>
    </font>
    <font>
      <b/>
      <sz val="20"/>
      <color rgb="FFFF0000"/>
      <name val="Arial Narrow"/>
      <family val="2"/>
    </font>
    <font>
      <b/>
      <sz val="10"/>
      <color rgb="FF000000"/>
      <name val="Arial Narrow"/>
      <family val="2"/>
    </font>
    <font>
      <b/>
      <sz val="20"/>
      <color theme="0"/>
      <name val="Arial Narrow"/>
      <family val="2"/>
    </font>
    <font>
      <sz val="16"/>
      <color theme="1"/>
      <name val="Arial Narrow"/>
      <family val="2"/>
    </font>
    <font>
      <b/>
      <sz val="12"/>
      <color theme="0"/>
      <name val="Arial Narrow"/>
      <family val="2"/>
    </font>
    <font>
      <b/>
      <sz val="22"/>
      <name val="Arial Narrow"/>
      <family val="2"/>
    </font>
    <font>
      <sz val="11"/>
      <name val="Arial Narrow"/>
      <family val="2"/>
    </font>
    <font>
      <sz val="9"/>
      <name val="Arial Narrow"/>
      <family val="2"/>
    </font>
    <font>
      <b/>
      <sz val="8"/>
      <name val="Arial"/>
      <family val="2"/>
      <charset val="1"/>
    </font>
    <font>
      <sz val="8"/>
      <name val="Arial"/>
      <family val="2"/>
      <charset val="1"/>
    </font>
    <font>
      <b/>
      <sz val="14"/>
      <name val="Arial"/>
      <family val="2"/>
    </font>
    <font>
      <b/>
      <sz val="11"/>
      <name val="Arial"/>
      <family val="2"/>
    </font>
    <font>
      <sz val="10"/>
      <color theme="1"/>
      <name val="Arial Narrow"/>
      <family val="2"/>
    </font>
    <font>
      <sz val="10"/>
      <name val="Arial Narrow"/>
      <family val="2"/>
    </font>
    <font>
      <b/>
      <sz val="16"/>
      <name val="Arial Narrow"/>
      <family val="2"/>
    </font>
    <font>
      <b/>
      <sz val="14"/>
      <color theme="1"/>
      <name val="Arial"/>
      <family val="2"/>
    </font>
    <font>
      <b/>
      <sz val="11"/>
      <name val="Arial Narrow"/>
      <family val="2"/>
    </font>
    <font>
      <b/>
      <sz val="11"/>
      <color theme="0"/>
      <name val="Arial Narrow"/>
      <family val="2"/>
    </font>
    <font>
      <b/>
      <i/>
      <sz val="11"/>
      <color theme="1"/>
      <name val="Arial Narrow"/>
      <family val="2"/>
    </font>
    <font>
      <sz val="8"/>
      <color theme="1"/>
      <name val="Arial Narrow"/>
      <family val="2"/>
    </font>
    <font>
      <b/>
      <sz val="9"/>
      <color theme="1"/>
      <name val="Arial Narrow"/>
      <family val="2"/>
    </font>
    <font>
      <b/>
      <sz val="8"/>
      <color theme="1"/>
      <name val="Arial Narrow"/>
      <family val="2"/>
    </font>
    <font>
      <b/>
      <sz val="10"/>
      <name val="Arial Narrow"/>
      <family val="2"/>
    </font>
    <font>
      <b/>
      <sz val="10"/>
      <color theme="2" tint="-0.89999084444715716"/>
      <name val="Arial Narrow"/>
      <family val="2"/>
    </font>
    <font>
      <b/>
      <sz val="14"/>
      <color theme="0"/>
      <name val="Arial"/>
      <family val="2"/>
    </font>
    <font>
      <sz val="12"/>
      <color rgb="FFFF00FF"/>
      <name val="Arial Narrow"/>
      <family val="2"/>
    </font>
    <font>
      <b/>
      <sz val="12"/>
      <color theme="9" tint="-0.249977111117893"/>
      <name val="Arial Narrow"/>
      <family val="2"/>
    </font>
    <font>
      <b/>
      <sz val="26"/>
      <color theme="0"/>
      <name val="Arial Narrow"/>
      <family val="2"/>
    </font>
    <font>
      <b/>
      <i/>
      <sz val="22"/>
      <color theme="1"/>
      <name val="Arial Narrow"/>
      <family val="2"/>
    </font>
    <font>
      <sz val="8"/>
      <name val="Arial Narrow"/>
      <family val="2"/>
    </font>
    <font>
      <sz val="14"/>
      <name val="Arial Narrow"/>
      <family val="2"/>
    </font>
  </fonts>
  <fills count="54">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249977111117893"/>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1"/>
        <bgColor indexed="64"/>
      </patternFill>
    </fill>
    <fill>
      <patternFill patternType="solid">
        <fgColor rgb="FF50F828"/>
        <bgColor indexed="64"/>
      </patternFill>
    </fill>
    <fill>
      <patternFill patternType="solid">
        <fgColor rgb="FF002060"/>
        <bgColor indexed="64"/>
      </patternFill>
    </fill>
    <fill>
      <patternFill patternType="solid">
        <fgColor theme="8" tint="0.59999389629810485"/>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C000"/>
        <bgColor indexed="64"/>
      </patternFill>
    </fill>
    <fill>
      <patternFill patternType="solid">
        <fgColor theme="8" tint="0.39997558519241921"/>
        <bgColor indexed="64"/>
      </patternFill>
    </fill>
    <fill>
      <patternFill patternType="solid">
        <fgColor rgb="FF8496B0"/>
        <bgColor rgb="FF8496B0"/>
      </patternFill>
    </fill>
    <fill>
      <patternFill patternType="solid">
        <fgColor rgb="FFFFFF00"/>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6" tint="-0.499984740745262"/>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7" tint="-0.249977111117893"/>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8" tint="-0.249977111117893"/>
        <bgColor indexed="64"/>
      </patternFill>
    </fill>
    <fill>
      <patternFill patternType="solid">
        <fgColor theme="6"/>
        <bgColor indexed="64"/>
      </patternFill>
    </fill>
    <fill>
      <patternFill patternType="solid">
        <fgColor theme="0" tint="-0.34998626667073579"/>
        <bgColor indexed="64"/>
      </patternFill>
    </fill>
    <fill>
      <patternFill patternType="solid">
        <fgColor theme="1" tint="0.499984740745262"/>
        <bgColor indexed="64"/>
      </patternFill>
    </fill>
    <fill>
      <patternFill patternType="solid">
        <fgColor theme="0"/>
        <bgColor rgb="FF8496B0"/>
      </patternFill>
    </fill>
  </fills>
  <borders count="45">
    <border>
      <left/>
      <right/>
      <top/>
      <bottom/>
      <diagonal/>
    </border>
    <border>
      <left style="thin">
        <color auto="1"/>
      </left>
      <right/>
      <top/>
      <bottom/>
      <diagonal/>
    </border>
    <border>
      <left style="thin">
        <color auto="1"/>
      </left>
      <right style="thin">
        <color auto="1"/>
      </right>
      <top/>
      <bottom style="thin">
        <color auto="1"/>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auto="1"/>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style="thin">
        <color indexed="64"/>
      </bottom>
      <diagonal/>
    </border>
    <border>
      <left/>
      <right/>
      <top/>
      <bottom style="double">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style="thin">
        <color auto="1"/>
      </top>
      <bottom/>
      <diagonal/>
    </border>
    <border>
      <left/>
      <right style="thin">
        <color auto="1"/>
      </right>
      <top style="thin">
        <color auto="1"/>
      </top>
      <bottom/>
      <diagonal/>
    </border>
    <border>
      <left style="double">
        <color auto="1"/>
      </left>
      <right/>
      <top/>
      <bottom style="double">
        <color auto="1"/>
      </bottom>
      <diagonal/>
    </border>
    <border>
      <left/>
      <right style="double">
        <color auto="1"/>
      </right>
      <top/>
      <bottom style="double">
        <color auto="1"/>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bottom/>
      <diagonal/>
    </border>
    <border>
      <left style="thin">
        <color rgb="FF000000"/>
      </left>
      <right/>
      <top/>
      <bottom style="thin">
        <color indexed="64"/>
      </bottom>
      <diagonal/>
    </border>
    <border>
      <left/>
      <right style="thin">
        <color rgb="FF000000"/>
      </right>
      <top/>
      <bottom style="thin">
        <color indexed="64"/>
      </bottom>
      <diagonal/>
    </border>
  </borders>
  <cellStyleXfs count="311">
    <xf numFmtId="0" fontId="0" fillId="0" borderId="0"/>
    <xf numFmtId="9" fontId="1" fillId="0" borderId="0" applyFont="0" applyFill="0" applyBorder="0" applyAlignment="0" applyProtection="0"/>
    <xf numFmtId="0" fontId="2" fillId="0" borderId="0"/>
    <xf numFmtId="165" fontId="4" fillId="0" borderId="0" applyFont="0" applyFill="0" applyBorder="0" applyAlignment="0" applyProtection="0"/>
    <xf numFmtId="0" fontId="5" fillId="0" borderId="0" applyNumberFormat="0" applyFill="0" applyBorder="0" applyAlignment="0" applyProtection="0"/>
    <xf numFmtId="0" fontId="2" fillId="0" borderId="0"/>
    <xf numFmtId="0" fontId="2" fillId="0" borderId="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6" borderId="0" applyNumberFormat="0" applyBorder="0" applyAlignment="0" applyProtection="0"/>
    <xf numFmtId="0" fontId="4" fillId="9" borderId="0" applyNumberFormat="0" applyBorder="0" applyAlignment="0" applyProtection="0"/>
    <xf numFmtId="0" fontId="4" fillId="12"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3"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0" borderId="0" applyNumberFormat="0" applyBorder="0" applyAlignment="0" applyProtection="0"/>
    <xf numFmtId="0" fontId="7" fillId="4" borderId="0" applyNumberFormat="0" applyBorder="0" applyAlignment="0" applyProtection="0"/>
    <xf numFmtId="0" fontId="8" fillId="5" borderId="0" applyNumberFormat="0" applyBorder="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9" fillId="21" borderId="6" applyNumberFormat="0" applyAlignment="0" applyProtection="0"/>
    <xf numFmtId="0" fontId="10" fillId="22" borderId="7" applyNumberFormat="0" applyAlignment="0" applyProtection="0"/>
    <xf numFmtId="0" fontId="11" fillId="0" borderId="8" applyNumberFormat="0" applyFill="0" applyAlignment="0" applyProtection="0"/>
    <xf numFmtId="0" fontId="10" fillId="22" borderId="7" applyNumberFormat="0" applyAlignment="0" applyProtection="0"/>
    <xf numFmtId="0" fontId="12" fillId="0" borderId="0" applyNumberFormat="0" applyFill="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20" borderId="0" applyNumberFormat="0" applyBorder="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170" fontId="2" fillId="0" borderId="0" applyFont="0" applyFill="0" applyBorder="0" applyAlignment="0" applyProtection="0"/>
    <xf numFmtId="0" fontId="14" fillId="0" borderId="0" applyNumberFormat="0" applyFill="0" applyBorder="0" applyAlignment="0" applyProtection="0"/>
    <xf numFmtId="0" fontId="8" fillId="5" borderId="0" applyNumberFormat="0" applyBorder="0" applyAlignment="0" applyProtection="0"/>
    <xf numFmtId="0" fontId="15" fillId="0" borderId="9" applyNumberFormat="0" applyFill="0" applyAlignment="0" applyProtection="0"/>
    <xf numFmtId="0" fontId="16" fillId="0" borderId="10" applyNumberFormat="0" applyFill="0" applyAlignment="0" applyProtection="0"/>
    <xf numFmtId="0" fontId="12" fillId="0" borderId="11" applyNumberFormat="0" applyFill="0" applyAlignment="0" applyProtection="0"/>
    <xf numFmtId="0" fontId="12" fillId="0" borderId="0" applyNumberFormat="0" applyFill="0" applyBorder="0" applyAlignment="0" applyProtection="0"/>
    <xf numFmtId="0" fontId="7" fillId="4" borderId="0" applyNumberFormat="0" applyBorder="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3" fillId="8" borderId="6" applyNumberFormat="0" applyAlignment="0" applyProtection="0"/>
    <xf numFmtId="0" fontId="11" fillId="0" borderId="8" applyNumberFormat="0" applyFill="0" applyAlignment="0" applyProtection="0"/>
    <xf numFmtId="165" fontId="2" fillId="0" borderId="0" applyFont="0" applyFill="0" applyBorder="0" applyAlignment="0" applyProtection="0"/>
    <xf numFmtId="171" fontId="2"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1" fontId="2" fillId="0" borderId="0" applyFont="0" applyFill="0" applyBorder="0" applyAlignment="0" applyProtection="0"/>
    <xf numFmtId="0" fontId="2" fillId="0" borderId="0" applyFont="0" applyFill="0" applyBorder="0" applyAlignment="0" applyProtection="0"/>
    <xf numFmtId="166" fontId="2" fillId="0" borderId="0" applyFont="0" applyFill="0" applyBorder="0" applyAlignment="0" applyProtection="0"/>
    <xf numFmtId="43" fontId="2" fillId="0" borderId="0" applyFont="0" applyFill="0" applyBorder="0" applyAlignment="0" applyProtection="0"/>
    <xf numFmtId="171" fontId="2" fillId="0" borderId="0" applyFont="0" applyFill="0" applyBorder="0" applyAlignment="0" applyProtection="0"/>
    <xf numFmtId="172"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2"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169" fontId="4" fillId="0" borderId="0" applyFont="0" applyFill="0" applyBorder="0" applyAlignment="0" applyProtection="0"/>
    <xf numFmtId="168" fontId="2" fillId="0" borderId="0" applyFont="0" applyFill="0" applyBorder="0" applyAlignment="0" applyProtection="0"/>
    <xf numFmtId="168" fontId="4" fillId="0" borderId="0" applyFont="0" applyFill="0" applyBorder="0" applyAlignment="0" applyProtection="0"/>
    <xf numFmtId="173" fontId="2" fillId="0" borderId="0" applyFont="0" applyFill="0" applyBorder="0" applyAlignment="0" applyProtection="0"/>
    <xf numFmtId="168" fontId="4" fillId="0" borderId="0" applyFont="0" applyFill="0" applyBorder="0" applyAlignment="0" applyProtection="0"/>
    <xf numFmtId="174" fontId="2" fillId="0" borderId="0" applyFont="0" applyFill="0" applyBorder="0" applyAlignment="0" applyProtection="0"/>
    <xf numFmtId="175" fontId="4" fillId="0" borderId="0" applyFont="0" applyFill="0" applyBorder="0" applyAlignment="0" applyProtection="0"/>
    <xf numFmtId="167" fontId="4" fillId="0" borderId="0" applyFont="0" applyFill="0" applyBorder="0" applyAlignment="0" applyProtection="0"/>
    <xf numFmtId="169" fontId="4" fillId="0" borderId="0" applyFont="0" applyFill="0" applyBorder="0" applyAlignment="0" applyProtection="0"/>
    <xf numFmtId="0" fontId="17" fillId="23" borderId="0" applyNumberFormat="0" applyBorder="0" applyAlignment="0" applyProtection="0"/>
    <xf numFmtId="0" fontId="2" fillId="0" borderId="0"/>
    <xf numFmtId="0" fontId="18" fillId="0" borderId="0"/>
    <xf numFmtId="0" fontId="1" fillId="0" borderId="0"/>
    <xf numFmtId="0" fontId="2" fillId="0" borderId="0"/>
    <xf numFmtId="0" fontId="19" fillId="0" borderId="0"/>
    <xf numFmtId="0" fontId="2" fillId="0" borderId="0"/>
    <xf numFmtId="0" fontId="20" fillId="0" borderId="0"/>
    <xf numFmtId="0" fontId="2" fillId="0" borderId="0"/>
    <xf numFmtId="0" fontId="2" fillId="0" borderId="0"/>
    <xf numFmtId="0" fontId="2" fillId="0" borderId="0"/>
    <xf numFmtId="0" fontId="19" fillId="0" borderId="0"/>
    <xf numFmtId="0" fontId="1" fillId="0" borderId="0"/>
    <xf numFmtId="0" fontId="2" fillId="0" borderId="0"/>
    <xf numFmtId="0" fontId="2" fillId="0" borderId="0"/>
    <xf numFmtId="0" fontId="1" fillId="0" borderId="0"/>
    <xf numFmtId="0" fontId="2" fillId="0" borderId="0"/>
    <xf numFmtId="0" fontId="1" fillId="0" borderId="0"/>
    <xf numFmtId="0" fontId="19" fillId="0" borderId="0"/>
    <xf numFmtId="0" fontId="1" fillId="0" borderId="0"/>
    <xf numFmtId="0" fontId="2" fillId="0" borderId="0"/>
    <xf numFmtId="0" fontId="2" fillId="0" borderId="0"/>
    <xf numFmtId="0" fontId="19" fillId="0" borderId="0"/>
    <xf numFmtId="0" fontId="2" fillId="0" borderId="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4" fillId="24" borderId="12" applyNumberFormat="0" applyFon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1" fillId="21" borderId="13" applyNumberFormat="0" applyAlignment="0" applyProtection="0"/>
    <xf numFmtId="0" fontId="22" fillId="0" borderId="0" applyNumberFormat="0" applyFill="0" applyBorder="0" applyAlignment="0" applyProtection="0"/>
    <xf numFmtId="0" fontId="14" fillId="0" borderId="0" applyNumberFormat="0" applyFill="0" applyBorder="0" applyAlignment="0" applyProtection="0"/>
    <xf numFmtId="0" fontId="23" fillId="0" borderId="0" applyNumberFormat="0" applyFill="0" applyBorder="0" applyAlignment="0" applyProtection="0"/>
    <xf numFmtId="0" fontId="15" fillId="0" borderId="9" applyNumberFormat="0" applyFill="0" applyAlignment="0" applyProtection="0"/>
    <xf numFmtId="0" fontId="16" fillId="0" borderId="10" applyNumberFormat="0" applyFill="0" applyAlignment="0" applyProtection="0"/>
    <xf numFmtId="0" fontId="12" fillId="0" borderId="11" applyNumberFormat="0" applyFill="0" applyAlignment="0" applyProtection="0"/>
    <xf numFmtId="0" fontId="23" fillId="0" borderId="0" applyNumberFormat="0" applyFill="0" applyBorder="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4" fillId="0" borderId="14" applyNumberFormat="0" applyFill="0" applyAlignment="0" applyProtection="0"/>
    <xf numFmtId="0" fontId="22" fillId="0" borderId="0" applyNumberFormat="0" applyFill="0" applyBorder="0" applyAlignment="0" applyProtection="0"/>
    <xf numFmtId="4" fontId="27" fillId="0" borderId="0">
      <protection locked="0"/>
    </xf>
    <xf numFmtId="177" fontId="27" fillId="0" borderId="0">
      <protection locked="0"/>
    </xf>
    <xf numFmtId="178" fontId="27" fillId="0" borderId="0">
      <protection locked="0"/>
    </xf>
    <xf numFmtId="0" fontId="3" fillId="0" borderId="0" applyNumberFormat="0" applyFill="0" applyBorder="0" applyAlignment="0" applyProtection="0"/>
    <xf numFmtId="0" fontId="31" fillId="0" borderId="0" applyNumberFormat="0" applyFill="0" applyBorder="0" applyAlignment="0" applyProtection="0"/>
    <xf numFmtId="0" fontId="28" fillId="0" borderId="0"/>
    <xf numFmtId="170" fontId="2" fillId="0" borderId="0" applyFont="0" applyFill="0" applyBorder="0" applyAlignment="0" applyProtection="0"/>
    <xf numFmtId="0" fontId="27" fillId="0" borderId="0">
      <protection locked="0"/>
    </xf>
    <xf numFmtId="0" fontId="27" fillId="0" borderId="0">
      <protection locked="0"/>
    </xf>
    <xf numFmtId="0" fontId="32" fillId="0" borderId="0">
      <protection locked="0"/>
    </xf>
    <xf numFmtId="0" fontId="27" fillId="0" borderId="0">
      <protection locked="0"/>
    </xf>
    <xf numFmtId="0" fontId="27" fillId="0" borderId="0">
      <protection locked="0"/>
    </xf>
    <xf numFmtId="0" fontId="27" fillId="0" borderId="0">
      <protection locked="0"/>
    </xf>
    <xf numFmtId="0" fontId="32" fillId="0" borderId="0">
      <protection locked="0"/>
    </xf>
    <xf numFmtId="0"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2" fontId="2" fillId="0" borderId="0" applyFont="0" applyFill="0" applyBorder="0" applyAlignment="0" applyProtection="0"/>
    <xf numFmtId="179" fontId="27" fillId="0" borderId="0">
      <protection locked="0"/>
    </xf>
    <xf numFmtId="180" fontId="29" fillId="0" borderId="0">
      <protection locked="0"/>
    </xf>
    <xf numFmtId="180" fontId="29" fillId="0" borderId="0">
      <protection locked="0"/>
    </xf>
    <xf numFmtId="0" fontId="30" fillId="0" borderId="0" applyNumberFormat="0" applyFill="0" applyBorder="0" applyAlignment="0" applyProtection="0">
      <alignment vertical="top"/>
      <protection locked="0"/>
    </xf>
    <xf numFmtId="176" fontId="25" fillId="0" borderId="0" applyFont="0" applyFill="0" applyBorder="0" applyAlignment="0" applyProtection="0"/>
    <xf numFmtId="43" fontId="2" fillId="0" borderId="0" applyFont="0" applyFill="0" applyBorder="0" applyAlignment="0" applyProtection="0"/>
    <xf numFmtId="165" fontId="2" fillId="0" borderId="0" applyFont="0" applyFill="0" applyBorder="0" applyAlignment="0" applyProtection="0"/>
    <xf numFmtId="165" fontId="4"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5" fontId="4" fillId="0" borderId="0" applyFont="0" applyFill="0" applyBorder="0" applyAlignment="0" applyProtection="0"/>
    <xf numFmtId="171" fontId="20" fillId="0" borderId="0" applyFont="0" applyFill="0" applyBorder="0" applyAlignment="0" applyProtection="0"/>
    <xf numFmtId="165" fontId="2" fillId="0" borderId="0" applyFont="0" applyFill="0" applyBorder="0" applyAlignment="0" applyProtection="0"/>
    <xf numFmtId="181" fontId="2" fillId="0" borderId="0" applyFont="0" applyFill="0" applyBorder="0" applyAlignment="0" applyProtection="0"/>
    <xf numFmtId="169" fontId="1" fillId="0" borderId="0" applyFont="0" applyFill="0" applyBorder="0" applyAlignment="0" applyProtection="0"/>
    <xf numFmtId="17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6" fillId="0" borderId="0"/>
    <xf numFmtId="0" fontId="1" fillId="0" borderId="0"/>
    <xf numFmtId="0" fontId="2" fillId="0" borderId="0"/>
    <xf numFmtId="0" fontId="25" fillId="0" borderId="0"/>
    <xf numFmtId="0" fontId="2" fillId="0" borderId="0"/>
    <xf numFmtId="0" fontId="2" fillId="0" borderId="0"/>
    <xf numFmtId="0" fontId="20" fillId="0" borderId="0"/>
    <xf numFmtId="0" fontId="4" fillId="0" borderId="0"/>
    <xf numFmtId="0" fontId="4" fillId="0" borderId="0"/>
    <xf numFmtId="0" fontId="25" fillId="0" borderId="0"/>
    <xf numFmtId="0" fontId="25" fillId="0" borderId="0"/>
    <xf numFmtId="9" fontId="1" fillId="0" borderId="0" applyFont="0" applyFill="0" applyBorder="0" applyAlignment="0" applyProtection="0"/>
    <xf numFmtId="9" fontId="2" fillId="0" borderId="0" applyFont="0" applyFill="0" applyBorder="0" applyAlignment="0" applyProtection="0"/>
    <xf numFmtId="9" fontId="25" fillId="0" borderId="0" applyFont="0" applyFill="0" applyBorder="0" applyAlignment="0" applyProtection="0"/>
    <xf numFmtId="3" fontId="2" fillId="0" borderId="0" applyFont="0" applyFill="0" applyBorder="0" applyAlignment="0" applyProtection="0"/>
    <xf numFmtId="3" fontId="2" fillId="0" borderId="0" applyFont="0" applyFill="0" applyBorder="0" applyAlignment="0" applyProtection="0"/>
    <xf numFmtId="0" fontId="2" fillId="0" borderId="0"/>
    <xf numFmtId="41"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0" borderId="0" applyNumberForma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174" fontId="2" fillId="0" borderId="0" applyFont="0" applyFill="0" applyBorder="0" applyAlignment="0" applyProtection="0"/>
    <xf numFmtId="166"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174" fontId="2"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2" fillId="0" borderId="0"/>
    <xf numFmtId="187" fontId="2" fillId="0" borderId="0" applyFont="0" applyFill="0" applyBorder="0" applyAlignment="0" applyProtection="0"/>
    <xf numFmtId="190" fontId="2" fillId="0" borderId="0" applyFont="0" applyFill="0" applyBorder="0" applyAlignment="0" applyProtection="0"/>
    <xf numFmtId="9" fontId="1" fillId="0" borderId="0" applyFont="0" applyFill="0" applyBorder="0" applyAlignment="0" applyProtection="0"/>
  </cellStyleXfs>
  <cellXfs count="349">
    <xf numFmtId="0" fontId="0" fillId="0" borderId="0" xfId="0"/>
    <xf numFmtId="0" fontId="34" fillId="0" borderId="0" xfId="0" applyFont="1" applyAlignment="1">
      <alignment vertical="center"/>
    </xf>
    <xf numFmtId="0" fontId="49" fillId="26" borderId="16" xfId="0" applyFont="1" applyFill="1" applyBorder="1" applyAlignment="1">
      <alignment horizontal="center" vertical="center" wrapText="1"/>
    </xf>
    <xf numFmtId="0" fontId="42" fillId="2" borderId="16" xfId="0" applyFont="1" applyFill="1" applyBorder="1" applyAlignment="1">
      <alignment horizontal="center" vertical="center" wrapText="1"/>
    </xf>
    <xf numFmtId="183" fontId="55" fillId="2" borderId="16" xfId="0" applyNumberFormat="1" applyFont="1" applyFill="1" applyBorder="1" applyAlignment="1">
      <alignment vertical="center" wrapText="1"/>
    </xf>
    <xf numFmtId="0" fontId="45" fillId="2" borderId="0" xfId="0" applyFont="1" applyFill="1" applyAlignment="1">
      <alignment vertical="center"/>
    </xf>
    <xf numFmtId="0" fontId="60" fillId="2" borderId="0" xfId="37" applyFont="1" applyFill="1" applyBorder="1" applyAlignment="1">
      <alignment horizontal="center" vertical="center"/>
    </xf>
    <xf numFmtId="0" fontId="34" fillId="2" borderId="0" xfId="0" applyFont="1" applyFill="1" applyAlignment="1">
      <alignment vertical="center"/>
    </xf>
    <xf numFmtId="0" fontId="34" fillId="2" borderId="0" xfId="159" applyFont="1" applyFill="1" applyAlignment="1">
      <alignment horizontal="center" vertical="center"/>
    </xf>
    <xf numFmtId="0" fontId="34" fillId="2" borderId="0" xfId="0" applyFont="1" applyFill="1" applyAlignment="1">
      <alignment vertical="center" wrapText="1"/>
    </xf>
    <xf numFmtId="3" fontId="34" fillId="0" borderId="0" xfId="0" applyNumberFormat="1" applyFont="1" applyAlignment="1">
      <alignment vertical="center"/>
    </xf>
    <xf numFmtId="183" fontId="55" fillId="2" borderId="16" xfId="0" applyNumberFormat="1" applyFont="1" applyFill="1" applyBorder="1" applyAlignment="1">
      <alignment horizontal="center" vertical="center" wrapText="1"/>
    </xf>
    <xf numFmtId="0" fontId="58" fillId="2" borderId="16" xfId="0" applyFont="1" applyFill="1" applyBorder="1" applyAlignment="1">
      <alignment horizontal="center" vertical="center"/>
    </xf>
    <xf numFmtId="0" fontId="45" fillId="2" borderId="16" xfId="0" applyFont="1" applyFill="1" applyBorder="1" applyAlignment="1">
      <alignment horizontal="center" vertical="center" wrapText="1"/>
    </xf>
    <xf numFmtId="9" fontId="66" fillId="35" borderId="16" xfId="1" applyFont="1" applyFill="1" applyBorder="1" applyAlignment="1">
      <alignment horizontal="center" vertical="center"/>
    </xf>
    <xf numFmtId="9" fontId="66" fillId="2" borderId="16" xfId="1" applyFont="1" applyFill="1" applyBorder="1" applyAlignment="1">
      <alignment horizontal="center" vertical="center"/>
    </xf>
    <xf numFmtId="9" fontId="62" fillId="2" borderId="16" xfId="1" applyFont="1" applyFill="1" applyBorder="1" applyAlignment="1">
      <alignment horizontal="center" vertical="center"/>
    </xf>
    <xf numFmtId="0" fontId="50" fillId="26" borderId="16" xfId="0" applyFont="1" applyFill="1" applyBorder="1" applyAlignment="1">
      <alignment horizontal="center" vertical="center" wrapText="1"/>
    </xf>
    <xf numFmtId="6" fontId="34" fillId="2" borderId="0" xfId="293" applyNumberFormat="1" applyFont="1" applyFill="1" applyAlignment="1">
      <alignment horizontal="left" vertical="center"/>
    </xf>
    <xf numFmtId="0" fontId="34" fillId="2" borderId="0" xfId="0" applyFont="1" applyFill="1" applyAlignment="1">
      <alignment horizontal="left" vertical="center"/>
    </xf>
    <xf numFmtId="0" fontId="34" fillId="2" borderId="0" xfId="0" applyFont="1" applyFill="1" applyAlignment="1">
      <alignment horizontal="center" vertical="center" wrapText="1"/>
    </xf>
    <xf numFmtId="6" fontId="34" fillId="2" borderId="0" xfId="0" applyNumberFormat="1" applyFont="1" applyFill="1" applyAlignment="1">
      <alignment horizontal="left" vertical="center"/>
    </xf>
    <xf numFmtId="42" fontId="34" fillId="2" borderId="0" xfId="293" applyFont="1" applyFill="1" applyAlignment="1">
      <alignment vertical="center"/>
    </xf>
    <xf numFmtId="0" fontId="64" fillId="2" borderId="0" xfId="0" applyFont="1" applyFill="1" applyAlignment="1">
      <alignment horizontal="left" vertical="center" readingOrder="1"/>
    </xf>
    <xf numFmtId="184" fontId="34" fillId="2" borderId="0" xfId="0" applyNumberFormat="1" applyFont="1" applyFill="1" applyAlignment="1">
      <alignment vertical="center"/>
    </xf>
    <xf numFmtId="0" fontId="51" fillId="2" borderId="0" xfId="0" applyFont="1" applyFill="1" applyAlignment="1">
      <alignment vertical="center" wrapText="1"/>
    </xf>
    <xf numFmtId="44" fontId="51" fillId="2" borderId="0" xfId="304" applyFont="1" applyFill="1" applyAlignment="1">
      <alignment vertical="center" wrapText="1"/>
    </xf>
    <xf numFmtId="0" fontId="43" fillId="2" borderId="0" xfId="0" applyFont="1" applyFill="1" applyAlignment="1">
      <alignment vertical="center"/>
    </xf>
    <xf numFmtId="0" fontId="34" fillId="0" borderId="16" xfId="0" applyFont="1" applyBorder="1" applyAlignment="1">
      <alignment horizontal="center" vertical="center"/>
    </xf>
    <xf numFmtId="0" fontId="34" fillId="0" borderId="16" xfId="0" applyFont="1" applyBorder="1" applyAlignment="1">
      <alignment vertical="center"/>
    </xf>
    <xf numFmtId="0" fontId="35" fillId="0" borderId="16" xfId="0" applyFont="1" applyBorder="1" applyAlignment="1">
      <alignment horizontal="left" vertical="center"/>
    </xf>
    <xf numFmtId="0" fontId="35" fillId="34" borderId="16" xfId="0" applyFont="1" applyFill="1" applyBorder="1" applyAlignment="1">
      <alignment horizontal="left" vertical="center"/>
    </xf>
    <xf numFmtId="44" fontId="69" fillId="2" borderId="26" xfId="304" applyFont="1" applyFill="1" applyBorder="1" applyAlignment="1">
      <alignment vertical="center"/>
    </xf>
    <xf numFmtId="44" fontId="69" fillId="2" borderId="0" xfId="304" applyFont="1" applyFill="1" applyAlignment="1">
      <alignment vertical="center"/>
    </xf>
    <xf numFmtId="44" fontId="69" fillId="2" borderId="29" xfId="304" applyFont="1" applyFill="1" applyBorder="1" applyAlignment="1">
      <alignment vertical="center"/>
    </xf>
    <xf numFmtId="44" fontId="69" fillId="2" borderId="34" xfId="304" applyFont="1" applyFill="1" applyBorder="1" applyAlignment="1">
      <alignment vertical="center"/>
    </xf>
    <xf numFmtId="0" fontId="71" fillId="2" borderId="35" xfId="0" applyFont="1" applyFill="1" applyBorder="1" applyAlignment="1">
      <alignment horizontal="left" vertical="center"/>
    </xf>
    <xf numFmtId="0" fontId="72" fillId="2" borderId="35" xfId="0" applyFont="1" applyFill="1" applyBorder="1" applyAlignment="1">
      <alignment horizontal="left" vertical="center"/>
    </xf>
    <xf numFmtId="44" fontId="69" fillId="2" borderId="34" xfId="304" applyFont="1" applyFill="1" applyBorder="1" applyAlignment="1">
      <alignment vertical="center" wrapText="1"/>
    </xf>
    <xf numFmtId="44" fontId="69" fillId="2" borderId="0" xfId="304" applyFont="1" applyFill="1" applyAlignment="1">
      <alignment vertical="center" wrapText="1"/>
    </xf>
    <xf numFmtId="0" fontId="53" fillId="2" borderId="0" xfId="148" applyFont="1" applyFill="1" applyAlignment="1">
      <alignment vertical="center"/>
    </xf>
    <xf numFmtId="44" fontId="33" fillId="2" borderId="34" xfId="304" applyFont="1" applyFill="1" applyBorder="1" applyAlignment="1">
      <alignment vertical="center"/>
    </xf>
    <xf numFmtId="0" fontId="33" fillId="2" borderId="0" xfId="0" applyFont="1" applyFill="1" applyAlignment="1">
      <alignment vertical="center"/>
    </xf>
    <xf numFmtId="0" fontId="33" fillId="0" borderId="0" xfId="0" applyFont="1" applyAlignment="1">
      <alignment vertical="center"/>
    </xf>
    <xf numFmtId="44" fontId="60" fillId="2" borderId="34" xfId="304" applyFont="1" applyFill="1" applyBorder="1" applyAlignment="1">
      <alignment vertical="center"/>
    </xf>
    <xf numFmtId="0" fontId="78" fillId="2" borderId="0" xfId="0" applyFont="1" applyFill="1" applyAlignment="1">
      <alignment horizontal="right" vertical="center"/>
    </xf>
    <xf numFmtId="188" fontId="78" fillId="2" borderId="0" xfId="304" applyNumberFormat="1" applyFont="1" applyFill="1" applyBorder="1" applyAlignment="1">
      <alignment horizontal="center" vertical="center"/>
    </xf>
    <xf numFmtId="44" fontId="60" fillId="2" borderId="39" xfId="304" applyFont="1" applyFill="1" applyBorder="1" applyAlignment="1">
      <alignment vertical="center"/>
    </xf>
    <xf numFmtId="44" fontId="69" fillId="0" borderId="0" xfId="304" applyFont="1" applyAlignment="1">
      <alignment vertical="center"/>
    </xf>
    <xf numFmtId="0" fontId="34" fillId="2" borderId="16" xfId="0" applyFont="1" applyFill="1" applyBorder="1" applyAlignment="1">
      <alignment vertical="center"/>
    </xf>
    <xf numFmtId="0" fontId="35" fillId="41" borderId="22" xfId="0" applyFont="1" applyFill="1" applyBorder="1" applyAlignment="1">
      <alignment horizontal="center" vertical="center"/>
    </xf>
    <xf numFmtId="0" fontId="35" fillId="41" borderId="24" xfId="0" applyFont="1" applyFill="1" applyBorder="1" applyAlignment="1">
      <alignment horizontal="center" vertical="center" wrapText="1"/>
    </xf>
    <xf numFmtId="0" fontId="35" fillId="41" borderId="16" xfId="0" applyFont="1" applyFill="1" applyBorder="1" applyAlignment="1">
      <alignment horizontal="center" vertical="center" wrapText="1"/>
    </xf>
    <xf numFmtId="0" fontId="35" fillId="35" borderId="16" xfId="0" applyFont="1" applyFill="1" applyBorder="1" applyAlignment="1">
      <alignment horizontal="center" vertical="center"/>
    </xf>
    <xf numFmtId="0" fontId="41" fillId="35" borderId="16" xfId="0" applyFont="1" applyFill="1" applyBorder="1" applyAlignment="1">
      <alignment horizontal="center" vertical="center" wrapText="1"/>
    </xf>
    <xf numFmtId="0" fontId="35" fillId="35" borderId="16" xfId="0" applyFont="1" applyFill="1" applyBorder="1" applyAlignment="1">
      <alignment horizontal="center" vertical="center" wrapText="1"/>
    </xf>
    <xf numFmtId="0" fontId="35" fillId="2" borderId="16" xfId="0" applyFont="1" applyFill="1" applyBorder="1" applyAlignment="1">
      <alignment vertical="center"/>
    </xf>
    <xf numFmtId="0" fontId="35" fillId="0" borderId="16" xfId="0" applyFont="1" applyBorder="1" applyAlignment="1">
      <alignment vertical="center"/>
    </xf>
    <xf numFmtId="44" fontId="34" fillId="0" borderId="16" xfId="0" applyNumberFormat="1" applyFont="1" applyBorder="1" applyAlignment="1">
      <alignment vertical="center"/>
    </xf>
    <xf numFmtId="0" fontId="35" fillId="44" borderId="16" xfId="0" applyFont="1" applyFill="1" applyBorder="1" applyAlignment="1">
      <alignment horizontal="center" vertical="center"/>
    </xf>
    <xf numFmtId="0" fontId="41" fillId="44" borderId="16" xfId="0" applyFont="1" applyFill="1" applyBorder="1" applyAlignment="1">
      <alignment horizontal="center" vertical="center" wrapText="1"/>
    </xf>
    <xf numFmtId="0" fontId="35" fillId="44" borderId="16" xfId="0" applyFont="1" applyFill="1" applyBorder="1" applyAlignment="1">
      <alignment horizontal="center" vertical="center" wrapText="1"/>
    </xf>
    <xf numFmtId="44" fontId="34" fillId="43" borderId="16" xfId="0" applyNumberFormat="1" applyFont="1" applyFill="1" applyBorder="1" applyAlignment="1">
      <alignment vertical="center"/>
    </xf>
    <xf numFmtId="0" fontId="35" fillId="0" borderId="0" xfId="0" applyFont="1" applyAlignment="1">
      <alignment horizontal="center" vertical="center"/>
    </xf>
    <xf numFmtId="44" fontId="34" fillId="2" borderId="0" xfId="0" applyNumberFormat="1" applyFont="1" applyFill="1" applyAlignment="1">
      <alignment vertical="center"/>
    </xf>
    <xf numFmtId="0" fontId="34" fillId="2" borderId="16" xfId="0" applyFont="1" applyFill="1" applyBorder="1" applyAlignment="1">
      <alignment horizontal="center" vertical="center"/>
    </xf>
    <xf numFmtId="0" fontId="35" fillId="0" borderId="23" xfId="0" applyFont="1" applyBorder="1" applyAlignment="1">
      <alignment horizontal="center" vertical="center"/>
    </xf>
    <xf numFmtId="0" fontId="35" fillId="34" borderId="22" xfId="0" applyFont="1" applyFill="1" applyBorder="1" applyAlignment="1">
      <alignment horizontal="center" vertical="center"/>
    </xf>
    <xf numFmtId="0" fontId="34" fillId="30" borderId="16" xfId="0" applyFont="1" applyFill="1" applyBorder="1" applyAlignment="1">
      <alignment horizontal="center" vertical="center"/>
    </xf>
    <xf numFmtId="0" fontId="34" fillId="46" borderId="16" xfId="0" applyFont="1" applyFill="1" applyBorder="1" applyAlignment="1">
      <alignment horizontal="center" vertical="center"/>
    </xf>
    <xf numFmtId="0" fontId="35" fillId="41" borderId="23" xfId="0" applyFont="1" applyFill="1" applyBorder="1" applyAlignment="1">
      <alignment horizontal="center" vertical="center"/>
    </xf>
    <xf numFmtId="0" fontId="35" fillId="41" borderId="42" xfId="0" applyFont="1" applyFill="1" applyBorder="1" applyAlignment="1">
      <alignment horizontal="center" vertical="center" wrapText="1"/>
    </xf>
    <xf numFmtId="0" fontId="84" fillId="41" borderId="42" xfId="0" applyFont="1" applyFill="1" applyBorder="1" applyAlignment="1">
      <alignment horizontal="center" vertical="center" wrapText="1"/>
    </xf>
    <xf numFmtId="0" fontId="35" fillId="2" borderId="22" xfId="0" applyFont="1" applyFill="1" applyBorder="1" applyAlignment="1">
      <alignment horizontal="center" vertical="center"/>
    </xf>
    <xf numFmtId="0" fontId="35" fillId="30" borderId="16" xfId="0" applyFont="1" applyFill="1" applyBorder="1" applyAlignment="1">
      <alignment horizontal="center" vertical="center"/>
    </xf>
    <xf numFmtId="0" fontId="83" fillId="41" borderId="42" xfId="0" applyFont="1" applyFill="1" applyBorder="1" applyAlignment="1">
      <alignment horizontal="center" vertical="center" wrapText="1"/>
    </xf>
    <xf numFmtId="0" fontId="69" fillId="30" borderId="16" xfId="0" applyFont="1" applyFill="1" applyBorder="1" applyAlignment="1">
      <alignment horizontal="center" vertical="center"/>
    </xf>
    <xf numFmtId="0" fontId="34" fillId="30" borderId="16" xfId="0" applyFont="1" applyFill="1" applyBorder="1" applyAlignment="1">
      <alignment vertical="center"/>
    </xf>
    <xf numFmtId="0" fontId="34" fillId="2" borderId="16" xfId="0" applyFont="1" applyFill="1" applyBorder="1" applyAlignment="1">
      <alignment vertical="center"/>
    </xf>
    <xf numFmtId="0" fontId="34" fillId="0" borderId="16" xfId="0" applyFont="1" applyBorder="1" applyAlignment="1">
      <alignment horizontal="center" vertical="center"/>
    </xf>
    <xf numFmtId="0" fontId="58" fillId="2" borderId="16" xfId="0" applyFont="1" applyFill="1" applyBorder="1" applyAlignment="1">
      <alignment horizontal="center" vertical="center" wrapText="1"/>
    </xf>
    <xf numFmtId="0" fontId="53" fillId="2" borderId="0" xfId="306" applyFont="1" applyFill="1" applyAlignment="1">
      <alignment vertical="center"/>
    </xf>
    <xf numFmtId="0" fontId="53" fillId="2" borderId="0" xfId="306" applyFont="1" applyFill="1" applyAlignment="1">
      <alignment vertical="center" wrapText="1"/>
    </xf>
    <xf numFmtId="0" fontId="69" fillId="2" borderId="0" xfId="306" applyFont="1" applyFill="1" applyAlignment="1">
      <alignment vertical="center"/>
    </xf>
    <xf numFmtId="0" fontId="69" fillId="0" borderId="0" xfId="306" applyFont="1" applyAlignment="1">
      <alignment vertical="center"/>
    </xf>
    <xf numFmtId="0" fontId="53" fillId="2" borderId="27" xfId="306" applyFont="1" applyFill="1" applyBorder="1" applyAlignment="1">
      <alignment vertical="center"/>
    </xf>
    <xf numFmtId="0" fontId="53" fillId="2" borderId="28" xfId="306" applyFont="1" applyFill="1" applyBorder="1" applyAlignment="1">
      <alignment vertical="center"/>
    </xf>
    <xf numFmtId="0" fontId="53" fillId="2" borderId="28" xfId="306" applyFont="1" applyFill="1" applyBorder="1" applyAlignment="1">
      <alignment vertical="center" wrapText="1"/>
    </xf>
    <xf numFmtId="0" fontId="53" fillId="2" borderId="30" xfId="306" applyFont="1" applyFill="1" applyBorder="1" applyAlignment="1">
      <alignment vertical="center"/>
    </xf>
    <xf numFmtId="0" fontId="53" fillId="2" borderId="30" xfId="306" applyFont="1" applyFill="1" applyBorder="1" applyAlignment="1">
      <alignment vertical="center" wrapText="1"/>
    </xf>
    <xf numFmtId="4" fontId="69" fillId="2" borderId="0" xfId="306" applyNumberFormat="1" applyFont="1" applyFill="1" applyAlignment="1">
      <alignment vertical="center" wrapText="1"/>
    </xf>
    <xf numFmtId="0" fontId="69" fillId="2" borderId="0" xfId="306" applyFont="1" applyFill="1" applyAlignment="1">
      <alignment vertical="center" wrapText="1"/>
    </xf>
    <xf numFmtId="0" fontId="69" fillId="0" borderId="0" xfId="306" applyFont="1" applyAlignment="1">
      <alignment vertical="center" wrapText="1"/>
    </xf>
    <xf numFmtId="0" fontId="76" fillId="48" borderId="16" xfId="307" applyFont="1" applyFill="1" applyBorder="1" applyAlignment="1">
      <alignment horizontal="justify" vertical="center" wrapText="1"/>
    </xf>
    <xf numFmtId="0" fontId="76" fillId="2" borderId="16" xfId="307" applyFont="1" applyFill="1" applyBorder="1" applyAlignment="1">
      <alignment horizontal="center" vertical="center"/>
    </xf>
    <xf numFmtId="3" fontId="75" fillId="46" borderId="16" xfId="0" applyNumberFormat="1" applyFont="1" applyFill="1" applyBorder="1" applyAlignment="1">
      <alignment horizontal="center" vertical="center"/>
    </xf>
    <xf numFmtId="44" fontId="76" fillId="0" borderId="16" xfId="308" applyNumberFormat="1" applyFont="1" applyBorder="1" applyAlignment="1">
      <alignment horizontal="right" vertical="center" wrapText="1"/>
    </xf>
    <xf numFmtId="0" fontId="67" fillId="33" borderId="16" xfId="307" applyFont="1" applyFill="1" applyBorder="1" applyAlignment="1">
      <alignment horizontal="left" vertical="center" wrapText="1"/>
    </xf>
    <xf numFmtId="0" fontId="67" fillId="33" borderId="16" xfId="307" applyFont="1" applyFill="1" applyBorder="1" applyAlignment="1">
      <alignment horizontal="center" vertical="center" wrapText="1"/>
    </xf>
    <xf numFmtId="4" fontId="67" fillId="33" borderId="16" xfId="308" applyNumberFormat="1" applyFont="1" applyFill="1" applyBorder="1" applyAlignment="1">
      <alignment horizontal="center" vertical="center" wrapText="1"/>
    </xf>
    <xf numFmtId="0" fontId="76" fillId="0" borderId="16" xfId="146" applyFont="1" applyBorder="1" applyAlignment="1">
      <alignment horizontal="center" vertical="center"/>
    </xf>
    <xf numFmtId="0" fontId="76" fillId="0" borderId="16" xfId="307" applyFont="1" applyBorder="1" applyAlignment="1">
      <alignment horizontal="center" vertical="center"/>
    </xf>
    <xf numFmtId="0" fontId="76" fillId="0" borderId="16" xfId="307" applyFont="1" applyBorder="1" applyAlignment="1">
      <alignment horizontal="center" vertical="center" wrapText="1"/>
    </xf>
    <xf numFmtId="186" fontId="49" fillId="0" borderId="16" xfId="308" applyNumberFormat="1" applyFont="1" applyBorder="1" applyAlignment="1">
      <alignment horizontal="center" vertical="center" wrapText="1"/>
    </xf>
    <xf numFmtId="44" fontId="49" fillId="2" borderId="16" xfId="308" applyNumberFormat="1" applyFont="1" applyFill="1" applyBorder="1" applyAlignment="1">
      <alignment horizontal="right" vertical="center" wrapText="1"/>
    </xf>
    <xf numFmtId="3" fontId="76" fillId="46" borderId="16" xfId="0" applyNumberFormat="1" applyFont="1" applyFill="1" applyBorder="1" applyAlignment="1">
      <alignment horizontal="center" vertical="center"/>
    </xf>
    <xf numFmtId="3" fontId="49" fillId="0" borderId="16" xfId="308" applyNumberFormat="1" applyFont="1" applyBorder="1" applyAlignment="1">
      <alignment horizontal="center" vertical="center" wrapText="1"/>
    </xf>
    <xf numFmtId="44" fontId="49" fillId="2" borderId="16" xfId="304" applyFont="1" applyFill="1" applyBorder="1" applyAlignment="1">
      <alignment horizontal="right" vertical="center" wrapText="1"/>
    </xf>
    <xf numFmtId="186" fontId="69" fillId="2" borderId="0" xfId="306" applyNumberFormat="1" applyFont="1" applyFill="1" applyAlignment="1">
      <alignment vertical="center"/>
    </xf>
    <xf numFmtId="9" fontId="69" fillId="2" borderId="0" xfId="306" applyNumberFormat="1" applyFont="1" applyFill="1" applyAlignment="1">
      <alignment vertical="center"/>
    </xf>
    <xf numFmtId="188" fontId="87" fillId="2" borderId="0" xfId="304" applyNumberFormat="1" applyFont="1" applyFill="1" applyBorder="1" applyAlignment="1">
      <alignment horizontal="center" vertical="center"/>
    </xf>
    <xf numFmtId="0" fontId="69" fillId="2" borderId="34" xfId="306" applyFont="1" applyFill="1" applyBorder="1" applyAlignment="1">
      <alignment vertical="center"/>
    </xf>
    <xf numFmtId="0" fontId="69" fillId="2" borderId="38" xfId="306" applyFont="1" applyFill="1" applyBorder="1" applyAlignment="1">
      <alignment vertical="center"/>
    </xf>
    <xf numFmtId="0" fontId="69" fillId="2" borderId="26" xfId="306" applyFont="1" applyFill="1" applyBorder="1" applyAlignment="1">
      <alignment vertical="center"/>
    </xf>
    <xf numFmtId="0" fontId="69" fillId="2" borderId="26" xfId="306" applyFont="1" applyFill="1" applyBorder="1" applyAlignment="1">
      <alignment horizontal="center" vertical="center"/>
    </xf>
    <xf numFmtId="0" fontId="69" fillId="2" borderId="26" xfId="306" applyFont="1" applyFill="1" applyBorder="1" applyAlignment="1">
      <alignment vertical="center" wrapText="1"/>
    </xf>
    <xf numFmtId="0" fontId="69" fillId="2" borderId="0" xfId="306" applyFont="1" applyFill="1" applyAlignment="1">
      <alignment horizontal="center" vertical="center"/>
    </xf>
    <xf numFmtId="189" fontId="69" fillId="2" borderId="0" xfId="306" applyNumberFormat="1" applyFont="1" applyFill="1" applyAlignment="1">
      <alignment vertical="center"/>
    </xf>
    <xf numFmtId="191" fontId="69" fillId="2" borderId="0" xfId="310" applyNumberFormat="1" applyFont="1" applyFill="1" applyAlignment="1">
      <alignment vertical="center"/>
    </xf>
    <xf numFmtId="188" fontId="69" fillId="2" borderId="0" xfId="306" applyNumberFormat="1" applyFont="1" applyFill="1" applyAlignment="1">
      <alignment vertical="center"/>
    </xf>
    <xf numFmtId="0" fontId="69" fillId="0" borderId="0" xfId="306" applyFont="1" applyAlignment="1">
      <alignment horizontal="center" vertical="center"/>
    </xf>
    <xf numFmtId="0" fontId="34" fillId="0" borderId="0" xfId="0" applyFont="1" applyAlignment="1">
      <alignment horizontal="center" vertical="center"/>
    </xf>
    <xf numFmtId="0" fontId="35" fillId="32" borderId="16" xfId="0" applyFont="1" applyFill="1" applyBorder="1" applyAlignment="1">
      <alignment horizontal="center" vertical="center"/>
    </xf>
    <xf numFmtId="0" fontId="35" fillId="32" borderId="16" xfId="0" applyFont="1" applyFill="1" applyBorder="1" applyAlignment="1">
      <alignment horizontal="center" vertical="center" wrapText="1"/>
    </xf>
    <xf numFmtId="0" fontId="89" fillId="40" borderId="16" xfId="0" applyFont="1" applyFill="1" applyBorder="1" applyAlignment="1">
      <alignment horizontal="center" vertical="center" wrapText="1"/>
    </xf>
    <xf numFmtId="3" fontId="88" fillId="2" borderId="16" xfId="0" applyNumberFormat="1" applyFont="1" applyFill="1" applyBorder="1" applyAlignment="1">
      <alignment horizontal="center" vertical="center" wrapText="1"/>
    </xf>
    <xf numFmtId="185" fontId="59" fillId="30" borderId="16" xfId="304" applyNumberFormat="1" applyFont="1" applyFill="1" applyBorder="1" applyAlignment="1">
      <alignment horizontal="right" vertical="center"/>
    </xf>
    <xf numFmtId="0" fontId="50" fillId="2" borderId="16" xfId="0" applyFont="1" applyFill="1" applyBorder="1" applyAlignment="1">
      <alignment horizontal="center" vertical="center" wrapText="1"/>
    </xf>
    <xf numFmtId="182" fontId="50" fillId="28" borderId="16" xfId="0" applyNumberFormat="1" applyFont="1" applyFill="1" applyBorder="1" applyAlignment="1">
      <alignment horizontal="center" vertical="center"/>
    </xf>
    <xf numFmtId="0" fontId="45" fillId="30" borderId="16" xfId="0" applyFont="1" applyFill="1" applyBorder="1" applyAlignment="1">
      <alignment horizontal="center" vertical="center" wrapText="1"/>
    </xf>
    <xf numFmtId="0" fontId="50" fillId="30" borderId="16" xfId="0" applyFont="1" applyFill="1" applyBorder="1" applyAlignment="1">
      <alignment horizontal="center" vertical="center" wrapText="1"/>
    </xf>
    <xf numFmtId="4" fontId="37" fillId="39" borderId="16" xfId="0" applyNumberFormat="1" applyFont="1" applyFill="1" applyBorder="1" applyAlignment="1">
      <alignment horizontal="center" vertical="center" wrapText="1"/>
    </xf>
    <xf numFmtId="4" fontId="37" fillId="30" borderId="16" xfId="0" applyNumberFormat="1" applyFont="1" applyFill="1" applyBorder="1" applyAlignment="1">
      <alignment horizontal="center" vertical="center" wrapText="1"/>
    </xf>
    <xf numFmtId="0" fontId="68" fillId="30" borderId="16" xfId="0" applyFont="1" applyFill="1" applyBorder="1" applyAlignment="1">
      <alignment horizontal="center" vertical="center" wrapText="1"/>
    </xf>
    <xf numFmtId="0" fontId="34" fillId="2" borderId="0" xfId="0" applyFont="1" applyFill="1" applyAlignment="1">
      <alignment horizontal="center" vertical="center"/>
    </xf>
    <xf numFmtId="0" fontId="37" fillId="2" borderId="0" xfId="0" applyFont="1" applyFill="1" applyAlignment="1">
      <alignment vertical="center"/>
    </xf>
    <xf numFmtId="183" fontId="34" fillId="2" borderId="0" xfId="0" applyNumberFormat="1" applyFont="1" applyFill="1" applyAlignment="1">
      <alignment vertical="center"/>
    </xf>
    <xf numFmtId="0" fontId="47" fillId="2" borderId="0" xfId="292" applyFont="1" applyFill="1" applyAlignment="1">
      <alignment horizontal="center" vertical="center" wrapText="1"/>
    </xf>
    <xf numFmtId="0" fontId="48" fillId="2" borderId="0" xfId="0" applyFont="1" applyFill="1" applyAlignment="1">
      <alignment vertical="center" wrapText="1"/>
    </xf>
    <xf numFmtId="2" fontId="40" fillId="2" borderId="0" xfId="0" applyNumberFormat="1" applyFont="1" applyFill="1" applyAlignment="1">
      <alignment horizontal="center" vertical="center"/>
    </xf>
    <xf numFmtId="0" fontId="47" fillId="2" borderId="0" xfId="292" applyFont="1" applyFill="1" applyBorder="1" applyAlignment="1">
      <alignment horizontal="center" vertical="center" wrapText="1"/>
    </xf>
    <xf numFmtId="0" fontId="52" fillId="2" borderId="0" xfId="292" applyFont="1" applyFill="1" applyBorder="1" applyAlignment="1">
      <alignment horizontal="center" vertical="center" wrapText="1"/>
    </xf>
    <xf numFmtId="42" fontId="47" fillId="2" borderId="0" xfId="292" applyNumberFormat="1" applyFont="1" applyFill="1" applyBorder="1" applyAlignment="1">
      <alignment horizontal="center" vertical="center" wrapText="1"/>
    </xf>
    <xf numFmtId="43" fontId="51" fillId="2" borderId="0" xfId="0" applyNumberFormat="1" applyFont="1" applyFill="1" applyAlignment="1">
      <alignment vertical="center" wrapText="1"/>
    </xf>
    <xf numFmtId="0" fontId="56" fillId="2" borderId="0" xfId="0" applyFont="1" applyFill="1" applyAlignment="1">
      <alignment horizontal="center" vertical="center" wrapText="1"/>
    </xf>
    <xf numFmtId="3" fontId="34" fillId="2" borderId="0" xfId="0" applyNumberFormat="1" applyFont="1" applyFill="1" applyAlignment="1">
      <alignment vertical="center"/>
    </xf>
    <xf numFmtId="0" fontId="44" fillId="2" borderId="16" xfId="0" applyFont="1" applyFill="1" applyBorder="1" applyAlignment="1">
      <alignment horizontal="center" vertical="center"/>
    </xf>
    <xf numFmtId="0" fontId="37" fillId="2" borderId="16" xfId="0" applyFont="1" applyFill="1" applyBorder="1" applyAlignment="1">
      <alignment horizontal="center" vertical="center" wrapText="1"/>
    </xf>
    <xf numFmtId="14" fontId="37" fillId="2" borderId="16" xfId="0" applyNumberFormat="1" applyFont="1" applyFill="1" applyBorder="1" applyAlignment="1">
      <alignment horizontal="center" vertical="center" wrapText="1"/>
    </xf>
    <xf numFmtId="42" fontId="37" fillId="2" borderId="16" xfId="293" applyFont="1" applyFill="1" applyBorder="1" applyAlignment="1">
      <alignment horizontal="center" vertical="center" wrapText="1"/>
    </xf>
    <xf numFmtId="9" fontId="37" fillId="2" borderId="16" xfId="1" applyFont="1" applyFill="1" applyBorder="1" applyAlignment="1">
      <alignment horizontal="center" vertical="center" wrapText="1"/>
    </xf>
    <xf numFmtId="0" fontId="80" fillId="2" borderId="16" xfId="0" applyFont="1" applyFill="1" applyBorder="1" applyAlignment="1">
      <alignment horizontal="center" vertical="center"/>
    </xf>
    <xf numFmtId="0" fontId="34" fillId="2" borderId="16" xfId="0" applyFont="1" applyFill="1" applyBorder="1" applyAlignment="1">
      <alignment vertical="center"/>
    </xf>
    <xf numFmtId="0" fontId="34" fillId="2" borderId="16" xfId="0" applyFont="1" applyFill="1" applyBorder="1" applyAlignment="1">
      <alignment horizontal="center" vertical="center"/>
    </xf>
    <xf numFmtId="4" fontId="37" fillId="2" borderId="16" xfId="0" applyNumberFormat="1" applyFont="1" applyFill="1" applyBorder="1" applyAlignment="1">
      <alignment horizontal="center" vertical="center" wrapText="1"/>
    </xf>
    <xf numFmtId="182" fontId="50" fillId="2" borderId="16" xfId="0" applyNumberFormat="1" applyFont="1" applyFill="1" applyBorder="1" applyAlignment="1">
      <alignment horizontal="center" vertical="center"/>
    </xf>
    <xf numFmtId="0" fontId="34" fillId="0" borderId="16" xfId="0" applyFont="1" applyBorder="1" applyAlignment="1">
      <alignment horizontal="center" vertical="center"/>
    </xf>
    <xf numFmtId="0" fontId="85" fillId="0" borderId="16" xfId="307" applyFont="1" applyBorder="1" applyAlignment="1">
      <alignment horizontal="center" vertical="center" wrapText="1"/>
    </xf>
    <xf numFmtId="0" fontId="74" fillId="33" borderId="16" xfId="146" applyFont="1" applyFill="1" applyBorder="1" applyAlignment="1">
      <alignment horizontal="center" vertical="center"/>
    </xf>
    <xf numFmtId="0" fontId="53" fillId="2" borderId="28" xfId="306" applyFont="1" applyFill="1" applyBorder="1" applyAlignment="1">
      <alignment horizontal="center" vertical="center"/>
    </xf>
    <xf numFmtId="0" fontId="53" fillId="2" borderId="0" xfId="306" applyFont="1" applyFill="1" applyAlignment="1">
      <alignment horizontal="center" vertical="center"/>
    </xf>
    <xf numFmtId="0" fontId="58" fillId="2" borderId="16" xfId="0" applyFont="1" applyFill="1" applyBorder="1" applyAlignment="1">
      <alignment horizontal="center" vertical="center" wrapText="1"/>
    </xf>
    <xf numFmtId="44" fontId="34" fillId="2" borderId="0" xfId="304" applyFont="1" applyFill="1" applyAlignment="1">
      <alignment vertical="center"/>
    </xf>
    <xf numFmtId="0" fontId="67" fillId="33" borderId="16" xfId="146" applyFont="1" applyFill="1" applyBorder="1" applyAlignment="1">
      <alignment horizontal="center" vertical="center" wrapText="1"/>
    </xf>
    <xf numFmtId="0" fontId="76" fillId="50" borderId="16" xfId="146" applyFont="1" applyFill="1" applyBorder="1" applyAlignment="1">
      <alignment horizontal="center" vertical="center"/>
    </xf>
    <xf numFmtId="185" fontId="76" fillId="0" borderId="16" xfId="304" applyNumberFormat="1" applyFont="1" applyBorder="1" applyAlignment="1">
      <alignment horizontal="center" vertical="center" wrapText="1"/>
    </xf>
    <xf numFmtId="185" fontId="69" fillId="2" borderId="0" xfId="306" applyNumberFormat="1" applyFont="1" applyFill="1" applyAlignment="1">
      <alignment vertical="center" wrapText="1"/>
    </xf>
    <xf numFmtId="44" fontId="67" fillId="33" borderId="16" xfId="307" applyNumberFormat="1" applyFont="1" applyFill="1" applyBorder="1" applyAlignment="1">
      <alignment horizontal="center" vertical="center" wrapText="1"/>
    </xf>
    <xf numFmtId="0" fontId="76" fillId="2" borderId="16" xfId="307" applyFont="1" applyFill="1" applyBorder="1" applyAlignment="1">
      <alignment horizontal="justify" vertical="center" wrapText="1"/>
    </xf>
    <xf numFmtId="0" fontId="53" fillId="2" borderId="30" xfId="148" applyFont="1" applyFill="1" applyBorder="1" applyAlignment="1">
      <alignment vertical="center"/>
    </xf>
    <xf numFmtId="0" fontId="53" fillId="51" borderId="16" xfId="148" applyFont="1" applyFill="1" applyBorder="1" applyAlignment="1">
      <alignment vertical="center"/>
    </xf>
    <xf numFmtId="192" fontId="73" fillId="51" borderId="16" xfId="308" applyNumberFormat="1" applyFont="1" applyFill="1" applyBorder="1" applyAlignment="1">
      <alignment horizontal="center" vertical="center" wrapText="1"/>
    </xf>
    <xf numFmtId="44" fontId="92" fillId="2" borderId="34" xfId="304" applyFont="1" applyFill="1" applyBorder="1" applyAlignment="1">
      <alignment vertical="center"/>
    </xf>
    <xf numFmtId="0" fontId="92" fillId="2" borderId="0" xfId="148" applyFont="1" applyFill="1" applyAlignment="1">
      <alignment vertical="center"/>
    </xf>
    <xf numFmtId="0" fontId="92" fillId="0" borderId="0" xfId="148" applyFont="1" applyAlignment="1">
      <alignment vertical="center"/>
    </xf>
    <xf numFmtId="9" fontId="73" fillId="28" borderId="16" xfId="310" applyFont="1" applyFill="1" applyBorder="1" applyAlignment="1">
      <alignment horizontal="center" vertical="center"/>
    </xf>
    <xf numFmtId="192" fontId="93" fillId="0" borderId="16" xfId="293" applyNumberFormat="1" applyFont="1" applyBorder="1" applyAlignment="1">
      <alignment vertical="center"/>
    </xf>
    <xf numFmtId="0" fontId="34" fillId="2" borderId="16" xfId="0" applyFont="1" applyFill="1" applyBorder="1" applyAlignment="1">
      <alignment vertical="center"/>
    </xf>
    <xf numFmtId="0" fontId="35" fillId="0" borderId="16" xfId="0" applyFont="1" applyBorder="1" applyAlignment="1">
      <alignment horizontal="center" vertical="center"/>
    </xf>
    <xf numFmtId="44" fontId="34" fillId="2" borderId="16" xfId="304" applyFont="1" applyFill="1" applyBorder="1" applyAlignment="1">
      <alignment vertical="center"/>
    </xf>
    <xf numFmtId="44" fontId="35" fillId="2" borderId="16" xfId="0" applyNumberFormat="1" applyFont="1" applyFill="1" applyBorder="1" applyAlignment="1">
      <alignment horizontal="center" vertical="center" wrapText="1"/>
    </xf>
    <xf numFmtId="44" fontId="34" fillId="2" borderId="16" xfId="0" applyNumberFormat="1" applyFont="1" applyFill="1" applyBorder="1" applyAlignment="1">
      <alignment horizontal="center" vertical="center"/>
    </xf>
    <xf numFmtId="0" fontId="81" fillId="2" borderId="16" xfId="0" applyFont="1" applyFill="1" applyBorder="1" applyAlignment="1">
      <alignment horizontal="center" vertical="center"/>
    </xf>
    <xf numFmtId="44" fontId="35" fillId="2" borderId="16" xfId="304" applyFont="1" applyFill="1" applyBorder="1" applyAlignment="1">
      <alignment horizontal="center" vertical="center"/>
    </xf>
    <xf numFmtId="0" fontId="69" fillId="2" borderId="0" xfId="0" applyFont="1" applyFill="1"/>
    <xf numFmtId="44" fontId="35" fillId="2" borderId="16" xfId="304" applyFont="1" applyFill="1" applyBorder="1" applyAlignment="1">
      <alignment vertical="center"/>
    </xf>
    <xf numFmtId="44" fontId="35" fillId="0" borderId="16" xfId="0" applyNumberFormat="1" applyFont="1" applyBorder="1" applyAlignment="1">
      <alignment vertical="center"/>
    </xf>
    <xf numFmtId="0" fontId="35" fillId="0" borderId="16" xfId="0" applyFont="1" applyBorder="1" applyAlignment="1">
      <alignment horizontal="center" vertical="center" wrapText="1"/>
    </xf>
    <xf numFmtId="0" fontId="35" fillId="0" borderId="16" xfId="0" applyFont="1" applyBorder="1" applyAlignment="1">
      <alignment horizontal="center" vertical="center"/>
    </xf>
    <xf numFmtId="0" fontId="35" fillId="37" borderId="16" xfId="0" applyFont="1" applyFill="1" applyBorder="1" applyAlignment="1">
      <alignment horizontal="center" vertical="center" wrapText="1"/>
    </xf>
    <xf numFmtId="0" fontId="80" fillId="0" borderId="16" xfId="0" applyFont="1" applyFill="1" applyBorder="1" applyAlignment="1">
      <alignment vertical="center" wrapText="1"/>
    </xf>
    <xf numFmtId="0" fontId="80" fillId="0" borderId="16" xfId="0" applyFont="1" applyFill="1" applyBorder="1" applyAlignment="1">
      <alignment vertical="center"/>
    </xf>
    <xf numFmtId="0" fontId="35" fillId="41" borderId="40" xfId="0" applyFont="1" applyFill="1" applyBorder="1" applyAlignment="1">
      <alignment horizontal="center" vertical="center" wrapText="1"/>
    </xf>
    <xf numFmtId="0" fontId="35" fillId="41" borderId="41" xfId="0" applyFont="1" applyFill="1" applyBorder="1" applyAlignment="1">
      <alignment horizontal="center" vertical="center" wrapText="1"/>
    </xf>
    <xf numFmtId="0" fontId="35" fillId="38" borderId="16" xfId="0" applyFont="1" applyFill="1" applyBorder="1" applyAlignment="1">
      <alignment horizontal="center" vertical="center" wrapText="1"/>
    </xf>
    <xf numFmtId="0" fontId="79" fillId="0" borderId="16" xfId="0" applyFont="1" applyBorder="1"/>
    <xf numFmtId="0" fontId="34" fillId="0" borderId="16" xfId="0" applyFont="1" applyBorder="1" applyAlignment="1">
      <alignment horizontal="center" vertical="center" wrapText="1"/>
    </xf>
    <xf numFmtId="0" fontId="69" fillId="0" borderId="16" xfId="0" applyFont="1" applyBorder="1"/>
    <xf numFmtId="0" fontId="34" fillId="0" borderId="16" xfId="0" applyFont="1" applyBorder="1"/>
    <xf numFmtId="0" fontId="80" fillId="42" borderId="16" xfId="0" applyFont="1" applyFill="1" applyBorder="1" applyAlignment="1">
      <alignment horizontal="center" vertical="center"/>
    </xf>
    <xf numFmtId="44" fontId="35" fillId="30" borderId="19" xfId="304" applyFont="1" applyFill="1" applyBorder="1" applyAlignment="1">
      <alignment horizontal="center" vertical="center"/>
    </xf>
    <xf numFmtId="44" fontId="35" fillId="30" borderId="18" xfId="304" applyFont="1" applyFill="1" applyBorder="1" applyAlignment="1">
      <alignment horizontal="center" vertical="center"/>
    </xf>
    <xf numFmtId="0" fontId="35" fillId="35" borderId="16" xfId="0" applyFont="1" applyFill="1" applyBorder="1" applyAlignment="1">
      <alignment horizontal="center" vertical="center"/>
    </xf>
    <xf numFmtId="44" fontId="34" fillId="0" borderId="16" xfId="304" applyFont="1" applyBorder="1" applyAlignment="1">
      <alignment vertical="center"/>
    </xf>
    <xf numFmtId="44" fontId="34" fillId="2" borderId="16" xfId="304" applyFont="1" applyFill="1" applyBorder="1" applyAlignment="1">
      <alignment vertical="center"/>
    </xf>
    <xf numFmtId="0" fontId="80" fillId="45" borderId="16" xfId="0" applyFont="1" applyFill="1" applyBorder="1" applyAlignment="1">
      <alignment horizontal="center" vertical="center"/>
    </xf>
    <xf numFmtId="0" fontId="34" fillId="2" borderId="16" xfId="0" applyFont="1" applyFill="1" applyBorder="1" applyAlignment="1">
      <alignment horizontal="justify" vertical="center" wrapText="1"/>
    </xf>
    <xf numFmtId="0" fontId="34" fillId="0" borderId="20" xfId="0" applyFont="1" applyBorder="1" applyAlignment="1">
      <alignment horizontal="center" vertical="center"/>
    </xf>
    <xf numFmtId="0" fontId="34" fillId="0" borderId="36" xfId="0" applyFont="1" applyBorder="1" applyAlignment="1">
      <alignment horizontal="center" vertical="center"/>
    </xf>
    <xf numFmtId="0" fontId="34" fillId="0" borderId="37" xfId="0" applyFont="1" applyBorder="1" applyAlignment="1">
      <alignment horizontal="center" vertical="center"/>
    </xf>
    <xf numFmtId="0" fontId="34" fillId="0" borderId="4" xfId="0" applyFont="1" applyBorder="1" applyAlignment="1">
      <alignment horizontal="center" vertical="center"/>
    </xf>
    <xf numFmtId="0" fontId="34" fillId="0" borderId="25" xfId="0" applyFont="1" applyBorder="1" applyAlignment="1">
      <alignment horizontal="center" vertical="center"/>
    </xf>
    <xf numFmtId="0" fontId="34" fillId="0" borderId="5" xfId="0" applyFont="1" applyBorder="1" applyAlignment="1">
      <alignment horizontal="center" vertical="center"/>
    </xf>
    <xf numFmtId="0" fontId="74" fillId="51" borderId="16" xfId="146" applyFont="1" applyFill="1" applyBorder="1" applyAlignment="1">
      <alignment horizontal="center" vertical="center" wrapText="1"/>
    </xf>
    <xf numFmtId="0" fontId="78" fillId="2" borderId="16" xfId="0" applyFont="1" applyFill="1" applyBorder="1" applyAlignment="1">
      <alignment horizontal="right" vertical="center"/>
    </xf>
    <xf numFmtId="0" fontId="78" fillId="52" borderId="16" xfId="0" applyFont="1" applyFill="1" applyBorder="1" applyAlignment="1">
      <alignment horizontal="right" vertical="center"/>
    </xf>
    <xf numFmtId="186" fontId="78" fillId="33" borderId="16" xfId="304" applyNumberFormat="1" applyFont="1" applyFill="1" applyBorder="1" applyAlignment="1">
      <alignment horizontal="center" vertical="center"/>
    </xf>
    <xf numFmtId="0" fontId="67" fillId="33" borderId="19" xfId="146" applyFont="1" applyFill="1" applyBorder="1" applyAlignment="1">
      <alignment horizontal="center" vertical="center" wrapText="1"/>
    </xf>
    <xf numFmtId="0" fontId="67" fillId="33" borderId="17" xfId="146" applyFont="1" applyFill="1" applyBorder="1" applyAlignment="1">
      <alignment horizontal="center" vertical="center" wrapText="1"/>
    </xf>
    <xf numFmtId="0" fontId="67" fillId="33" borderId="18" xfId="146" applyFont="1" applyFill="1" applyBorder="1" applyAlignment="1">
      <alignment horizontal="center" vertical="center" wrapText="1"/>
    </xf>
    <xf numFmtId="0" fontId="49" fillId="0" borderId="16" xfId="146" applyFont="1" applyBorder="1" applyAlignment="1">
      <alignment horizontal="left" vertical="center" wrapText="1"/>
    </xf>
    <xf numFmtId="0" fontId="85" fillId="2" borderId="16" xfId="146" applyFont="1" applyFill="1" applyBorder="1" applyAlignment="1">
      <alignment horizontal="center" vertical="center" wrapText="1"/>
    </xf>
    <xf numFmtId="0" fontId="74" fillId="0" borderId="16" xfId="146" applyFont="1" applyBorder="1" applyAlignment="1">
      <alignment horizontal="center" vertical="center"/>
    </xf>
    <xf numFmtId="0" fontId="67" fillId="33" borderId="19" xfId="307" applyFont="1" applyFill="1" applyBorder="1" applyAlignment="1">
      <alignment horizontal="center" vertical="center" wrapText="1"/>
    </xf>
    <xf numFmtId="0" fontId="67" fillId="33" borderId="17" xfId="307" applyFont="1" applyFill="1" applyBorder="1" applyAlignment="1">
      <alignment horizontal="center" vertical="center" wrapText="1"/>
    </xf>
    <xf numFmtId="0" fontId="67" fillId="33" borderId="18" xfId="307" applyFont="1" applyFill="1" applyBorder="1" applyAlignment="1">
      <alignment horizontal="center" vertical="center" wrapText="1"/>
    </xf>
    <xf numFmtId="0" fontId="85" fillId="0" borderId="16" xfId="307" applyFont="1" applyBorder="1" applyAlignment="1">
      <alignment horizontal="center" vertical="center" wrapText="1"/>
    </xf>
    <xf numFmtId="4" fontId="86" fillId="2" borderId="16" xfId="146" applyNumberFormat="1" applyFont="1" applyFill="1" applyBorder="1" applyAlignment="1">
      <alignment horizontal="center" vertical="center" wrapText="1"/>
    </xf>
    <xf numFmtId="4" fontId="85" fillId="2" borderId="16" xfId="146" applyNumberFormat="1" applyFont="1" applyFill="1" applyBorder="1" applyAlignment="1">
      <alignment horizontal="center" vertical="center" wrapText="1"/>
    </xf>
    <xf numFmtId="0" fontId="74" fillId="33" borderId="16" xfId="146" applyFont="1" applyFill="1" applyBorder="1" applyAlignment="1">
      <alignment horizontal="center" vertical="center"/>
    </xf>
    <xf numFmtId="0" fontId="53" fillId="2" borderId="28" xfId="306" applyFont="1" applyFill="1" applyBorder="1" applyAlignment="1">
      <alignment horizontal="center" vertical="center"/>
    </xf>
    <xf numFmtId="0" fontId="53" fillId="2" borderId="0" xfId="306" applyFont="1" applyFill="1" applyAlignment="1">
      <alignment horizontal="center" vertical="center"/>
    </xf>
    <xf numFmtId="0" fontId="70" fillId="2" borderId="31" xfId="306" applyFont="1" applyFill="1" applyBorder="1" applyAlignment="1">
      <alignment horizontal="center" vertical="center" wrapText="1"/>
    </xf>
    <xf numFmtId="0" fontId="70" fillId="2" borderId="32" xfId="306" applyFont="1" applyFill="1" applyBorder="1" applyAlignment="1">
      <alignment horizontal="center" vertical="center" wrapText="1"/>
    </xf>
    <xf numFmtId="0" fontId="70" fillId="2" borderId="33" xfId="306" applyFont="1" applyFill="1" applyBorder="1" applyAlignment="1">
      <alignment horizontal="center" vertical="center" wrapText="1"/>
    </xf>
    <xf numFmtId="0" fontId="73" fillId="2" borderId="0" xfId="306" applyFont="1" applyFill="1" applyAlignment="1">
      <alignment horizontal="center" vertical="center"/>
    </xf>
    <xf numFmtId="0" fontId="74" fillId="2" borderId="0" xfId="306" applyFont="1" applyFill="1" applyAlignment="1">
      <alignment horizontal="center" vertical="center"/>
    </xf>
    <xf numFmtId="0" fontId="74" fillId="28" borderId="16" xfId="306" applyFont="1" applyFill="1" applyBorder="1" applyAlignment="1">
      <alignment horizontal="center" vertical="center" wrapText="1"/>
    </xf>
    <xf numFmtId="0" fontId="63" fillId="2" borderId="19" xfId="0" applyFont="1" applyFill="1" applyBorder="1" applyAlignment="1">
      <alignment vertical="top" wrapText="1"/>
    </xf>
    <xf numFmtId="0" fontId="63" fillId="2" borderId="17" xfId="0" applyFont="1" applyFill="1" applyBorder="1" applyAlignment="1">
      <alignment vertical="top" wrapText="1"/>
    </xf>
    <xf numFmtId="0" fontId="63" fillId="2" borderId="18" xfId="0" applyFont="1" applyFill="1" applyBorder="1" applyAlignment="1">
      <alignment vertical="top" wrapText="1"/>
    </xf>
    <xf numFmtId="0" fontId="65" fillId="25" borderId="16" xfId="0" applyFont="1" applyFill="1" applyBorder="1" applyAlignment="1">
      <alignment horizontal="center" vertical="center" wrapText="1"/>
    </xf>
    <xf numFmtId="0" fontId="65" fillId="25" borderId="16" xfId="0" applyFont="1" applyFill="1" applyBorder="1" applyAlignment="1">
      <alignment horizontal="center" vertical="center"/>
    </xf>
    <xf numFmtId="0" fontId="61" fillId="2" borderId="16" xfId="0" applyFont="1" applyFill="1" applyBorder="1" applyAlignment="1">
      <alignment horizontal="justify" vertical="center" wrapText="1"/>
    </xf>
    <xf numFmtId="0" fontId="40" fillId="30" borderId="16" xfId="0" applyFont="1" applyFill="1" applyBorder="1" applyAlignment="1">
      <alignment horizontal="center" vertical="center" wrapText="1"/>
    </xf>
    <xf numFmtId="0" fontId="62" fillId="27" borderId="16" xfId="0" applyFont="1" applyFill="1" applyBorder="1" applyAlignment="1">
      <alignment horizontal="center" vertical="center" wrapText="1"/>
    </xf>
    <xf numFmtId="0" fontId="61" fillId="2" borderId="16" xfId="0" applyFont="1" applyFill="1" applyBorder="1" applyAlignment="1">
      <alignment horizontal="center" vertical="center" wrapText="1"/>
    </xf>
    <xf numFmtId="0" fontId="68" fillId="30" borderId="19" xfId="0" applyFont="1" applyFill="1" applyBorder="1" applyAlignment="1">
      <alignment horizontal="center" vertical="center" wrapText="1"/>
    </xf>
    <xf numFmtId="0" fontId="68" fillId="30" borderId="17" xfId="0" applyFont="1" applyFill="1" applyBorder="1" applyAlignment="1">
      <alignment horizontal="center" vertical="center" wrapText="1"/>
    </xf>
    <xf numFmtId="0" fontId="68" fillId="30" borderId="18" xfId="0" applyFont="1" applyFill="1" applyBorder="1" applyAlignment="1">
      <alignment horizontal="center" vertical="center" wrapText="1"/>
    </xf>
    <xf numFmtId="0" fontId="40" fillId="30" borderId="19" xfId="0" applyFont="1" applyFill="1" applyBorder="1" applyAlignment="1">
      <alignment horizontal="center" vertical="center" wrapText="1"/>
    </xf>
    <xf numFmtId="0" fontId="40" fillId="30" borderId="17" xfId="0" applyFont="1" applyFill="1" applyBorder="1" applyAlignment="1">
      <alignment horizontal="center" vertical="center" wrapText="1"/>
    </xf>
    <xf numFmtId="0" fontId="40" fillId="30" borderId="18" xfId="0" applyFont="1" applyFill="1" applyBorder="1" applyAlignment="1">
      <alignment horizontal="center" vertical="center" wrapText="1"/>
    </xf>
    <xf numFmtId="0" fontId="57" fillId="2" borderId="16" xfId="0" applyFont="1" applyFill="1" applyBorder="1" applyAlignment="1">
      <alignment horizontal="center" vertical="center" wrapText="1"/>
    </xf>
    <xf numFmtId="0" fontId="90" fillId="49" borderId="16" xfId="0" applyFont="1" applyFill="1" applyBorder="1" applyAlignment="1">
      <alignment horizontal="center" vertical="center"/>
    </xf>
    <xf numFmtId="0" fontId="59" fillId="2" borderId="20" xfId="0" applyFont="1" applyFill="1" applyBorder="1" applyAlignment="1">
      <alignment horizontal="center" vertical="center"/>
    </xf>
    <xf numFmtId="0" fontId="59" fillId="2" borderId="36" xfId="0" applyFont="1" applyFill="1" applyBorder="1" applyAlignment="1">
      <alignment horizontal="center" vertical="center"/>
    </xf>
    <xf numFmtId="0" fontId="59" fillId="2" borderId="37" xfId="0" applyFont="1" applyFill="1" applyBorder="1" applyAlignment="1">
      <alignment horizontal="center" vertical="center"/>
    </xf>
    <xf numFmtId="0" fontId="59" fillId="2" borderId="1" xfId="0" applyFont="1" applyFill="1" applyBorder="1" applyAlignment="1">
      <alignment horizontal="center" vertical="center"/>
    </xf>
    <xf numFmtId="0" fontId="59" fillId="2" borderId="0" xfId="0" applyFont="1" applyFill="1" applyBorder="1" applyAlignment="1">
      <alignment horizontal="center" vertical="center"/>
    </xf>
    <xf numFmtId="0" fontId="59" fillId="2" borderId="3" xfId="0" applyFont="1" applyFill="1" applyBorder="1" applyAlignment="1">
      <alignment horizontal="center" vertical="center"/>
    </xf>
    <xf numFmtId="0" fontId="59" fillId="2" borderId="4" xfId="0" applyFont="1" applyFill="1" applyBorder="1" applyAlignment="1">
      <alignment horizontal="center" vertical="center"/>
    </xf>
    <xf numFmtId="0" fontId="59" fillId="2" borderId="25" xfId="0" applyFont="1" applyFill="1" applyBorder="1" applyAlignment="1">
      <alignment horizontal="center" vertical="center"/>
    </xf>
    <xf numFmtId="0" fontId="59" fillId="2" borderId="5" xfId="0" applyFont="1" applyFill="1" applyBorder="1" applyAlignment="1">
      <alignment horizontal="center" vertical="center"/>
    </xf>
    <xf numFmtId="0" fontId="46" fillId="2" borderId="16" xfId="0" applyFont="1" applyFill="1" applyBorder="1" applyAlignment="1">
      <alignment horizontal="center" vertical="center" wrapText="1"/>
    </xf>
    <xf numFmtId="165" fontId="54" fillId="26" borderId="16" xfId="0" applyNumberFormat="1" applyFont="1" applyFill="1" applyBorder="1" applyAlignment="1">
      <alignment horizontal="center" vertical="center" textRotation="90" wrapText="1"/>
    </xf>
    <xf numFmtId="165" fontId="77" fillId="26" borderId="16" xfId="0" applyNumberFormat="1" applyFont="1" applyFill="1" applyBorder="1" applyAlignment="1">
      <alignment horizontal="right" vertical="center" wrapText="1"/>
    </xf>
    <xf numFmtId="0" fontId="44" fillId="29" borderId="16" xfId="0" applyFont="1" applyFill="1" applyBorder="1" applyAlignment="1">
      <alignment horizontal="center" vertical="center"/>
    </xf>
    <xf numFmtId="4" fontId="59" fillId="36" borderId="19" xfId="0" applyNumberFormat="1" applyFont="1" applyFill="1" applyBorder="1" applyAlignment="1">
      <alignment horizontal="center" vertical="center"/>
    </xf>
    <xf numFmtId="4" fontId="59" fillId="36" borderId="17" xfId="0" applyNumberFormat="1" applyFont="1" applyFill="1" applyBorder="1" applyAlignment="1">
      <alignment horizontal="center" vertical="center"/>
    </xf>
    <xf numFmtId="4" fontId="59" fillId="36" borderId="18" xfId="0" applyNumberFormat="1" applyFont="1" applyFill="1" applyBorder="1" applyAlignment="1">
      <alignment horizontal="center" vertical="center"/>
    </xf>
    <xf numFmtId="4" fontId="40" fillId="2" borderId="19" xfId="0" applyNumberFormat="1" applyFont="1" applyFill="1" applyBorder="1" applyAlignment="1">
      <alignment horizontal="center" vertical="center"/>
    </xf>
    <xf numFmtId="4" fontId="40" fillId="2" borderId="17" xfId="0" applyNumberFormat="1" applyFont="1" applyFill="1" applyBorder="1" applyAlignment="1">
      <alignment horizontal="center" vertical="center"/>
    </xf>
    <xf numFmtId="4" fontId="40" fillId="2" borderId="18" xfId="0" applyNumberFormat="1" applyFont="1" applyFill="1" applyBorder="1" applyAlignment="1">
      <alignment horizontal="center" vertical="center"/>
    </xf>
    <xf numFmtId="0" fontId="65" fillId="31" borderId="19" xfId="0" applyFont="1" applyFill="1" applyBorder="1" applyAlignment="1">
      <alignment horizontal="center" vertical="center"/>
    </xf>
    <xf numFmtId="0" fontId="65" fillId="31" borderId="17" xfId="0" applyFont="1" applyFill="1" applyBorder="1" applyAlignment="1">
      <alignment horizontal="center" vertical="center"/>
    </xf>
    <xf numFmtId="0" fontId="65" fillId="31" borderId="18" xfId="0" applyFont="1" applyFill="1" applyBorder="1" applyAlignment="1">
      <alignment horizontal="center" vertical="center"/>
    </xf>
    <xf numFmtId="165" fontId="54" fillId="26" borderId="21" xfId="0" applyNumberFormat="1" applyFont="1" applyFill="1" applyBorder="1" applyAlignment="1">
      <alignment horizontal="center" vertical="center" textRotation="90" wrapText="1"/>
    </xf>
    <xf numFmtId="165" fontId="54" fillId="26" borderId="15" xfId="0" applyNumberFormat="1" applyFont="1" applyFill="1" applyBorder="1" applyAlignment="1">
      <alignment horizontal="center" vertical="center" textRotation="90" wrapText="1"/>
    </xf>
    <xf numFmtId="165" fontId="54" fillId="26" borderId="2" xfId="0" applyNumberFormat="1" applyFont="1" applyFill="1" applyBorder="1" applyAlignment="1">
      <alignment horizontal="center" vertical="center" textRotation="90" wrapText="1"/>
    </xf>
    <xf numFmtId="0" fontId="36" fillId="31" borderId="19" xfId="0" applyFont="1" applyFill="1" applyBorder="1" applyAlignment="1">
      <alignment horizontal="center" vertical="center"/>
    </xf>
    <xf numFmtId="0" fontId="36" fillId="31" borderId="17" xfId="0" applyFont="1" applyFill="1" applyBorder="1" applyAlignment="1">
      <alignment horizontal="center" vertical="center"/>
    </xf>
    <xf numFmtId="0" fontId="36" fillId="31" borderId="18" xfId="0" applyFont="1" applyFill="1" applyBorder="1" applyAlignment="1">
      <alignment horizontal="center" vertical="center"/>
    </xf>
    <xf numFmtId="0" fontId="38" fillId="31" borderId="19" xfId="0" applyFont="1" applyFill="1" applyBorder="1" applyAlignment="1">
      <alignment horizontal="center" vertical="center"/>
    </xf>
    <xf numFmtId="0" fontId="38" fillId="31" borderId="17" xfId="0" applyFont="1" applyFill="1" applyBorder="1" applyAlignment="1">
      <alignment horizontal="center" vertical="center"/>
    </xf>
    <xf numFmtId="0" fontId="38" fillId="31" borderId="18" xfId="0" applyFont="1" applyFill="1" applyBorder="1" applyAlignment="1">
      <alignment horizontal="center" vertical="center"/>
    </xf>
    <xf numFmtId="0" fontId="68" fillId="32" borderId="19" xfId="0" applyFont="1" applyFill="1" applyBorder="1" applyAlignment="1">
      <alignment horizontal="center" vertical="center" wrapText="1"/>
    </xf>
    <xf numFmtId="0" fontId="68" fillId="32" borderId="17" xfId="0" applyFont="1" applyFill="1" applyBorder="1" applyAlignment="1">
      <alignment horizontal="center" vertical="center" wrapText="1"/>
    </xf>
    <xf numFmtId="0" fontId="68" fillId="32" borderId="18" xfId="0" applyFont="1" applyFill="1" applyBorder="1" applyAlignment="1">
      <alignment horizontal="center" vertical="center" wrapText="1"/>
    </xf>
    <xf numFmtId="0" fontId="39" fillId="2" borderId="21" xfId="0" applyFont="1" applyFill="1" applyBorder="1" applyAlignment="1">
      <alignment horizontal="center" vertical="center"/>
    </xf>
    <xf numFmtId="0" fontId="39" fillId="2" borderId="15" xfId="0" applyFont="1" applyFill="1" applyBorder="1" applyAlignment="1">
      <alignment horizontal="center" vertical="center"/>
    </xf>
    <xf numFmtId="0" fontId="39" fillId="2" borderId="2" xfId="0" applyFont="1" applyFill="1" applyBorder="1" applyAlignment="1">
      <alignment horizontal="center" vertical="center"/>
    </xf>
    <xf numFmtId="0" fontId="62" fillId="35" borderId="19" xfId="0" applyFont="1" applyFill="1" applyBorder="1" applyAlignment="1">
      <alignment horizontal="center" vertical="center" wrapText="1"/>
    </xf>
    <xf numFmtId="0" fontId="62" fillId="35" borderId="17" xfId="0" applyFont="1" applyFill="1" applyBorder="1" applyAlignment="1">
      <alignment horizontal="center" vertical="center" wrapText="1"/>
    </xf>
    <xf numFmtId="0" fontId="62" fillId="35" borderId="18" xfId="0" applyFont="1" applyFill="1" applyBorder="1" applyAlignment="1">
      <alignment horizontal="center" vertical="center" wrapText="1"/>
    </xf>
    <xf numFmtId="0" fontId="66" fillId="2" borderId="19" xfId="0" applyFont="1" applyFill="1" applyBorder="1" applyAlignment="1">
      <alignment horizontal="center" vertical="center"/>
    </xf>
    <xf numFmtId="0" fontId="66" fillId="2" borderId="17" xfId="0" applyFont="1" applyFill="1" applyBorder="1" applyAlignment="1">
      <alignment horizontal="center" vertical="center"/>
    </xf>
    <xf numFmtId="0" fontId="66" fillId="2" borderId="18" xfId="0" applyFont="1" applyFill="1" applyBorder="1" applyAlignment="1">
      <alignment horizontal="center" vertical="center"/>
    </xf>
    <xf numFmtId="0" fontId="66" fillId="2" borderId="19" xfId="0" applyFont="1" applyFill="1" applyBorder="1" applyAlignment="1">
      <alignment horizontal="center" vertical="center" wrapText="1"/>
    </xf>
    <xf numFmtId="0" fontId="66" fillId="2" borderId="17" xfId="0" applyFont="1" applyFill="1" applyBorder="1" applyAlignment="1">
      <alignment horizontal="center" vertical="center" wrapText="1"/>
    </xf>
    <xf numFmtId="0" fontId="66" fillId="2" borderId="18" xfId="0" applyFont="1" applyFill="1" applyBorder="1" applyAlignment="1">
      <alignment horizontal="center" vertical="center" wrapText="1"/>
    </xf>
    <xf numFmtId="0" fontId="62" fillId="2" borderId="19" xfId="0" applyFont="1" applyFill="1" applyBorder="1" applyAlignment="1">
      <alignment horizontal="center" vertical="center"/>
    </xf>
    <xf numFmtId="0" fontId="62" fillId="2" borderId="17" xfId="0" applyFont="1" applyFill="1" applyBorder="1" applyAlignment="1">
      <alignment horizontal="center" vertical="center"/>
    </xf>
    <xf numFmtId="0" fontId="62" fillId="2" borderId="18" xfId="0" applyFont="1" applyFill="1" applyBorder="1" applyAlignment="1">
      <alignment horizontal="center" vertical="center"/>
    </xf>
    <xf numFmtId="0" fontId="40" fillId="2" borderId="20" xfId="0" applyFont="1" applyFill="1" applyBorder="1" applyAlignment="1">
      <alignment horizontal="center" vertical="center"/>
    </xf>
    <xf numFmtId="0" fontId="40" fillId="2" borderId="36" xfId="0" applyFont="1" applyFill="1" applyBorder="1" applyAlignment="1">
      <alignment horizontal="center" vertical="center"/>
    </xf>
    <xf numFmtId="0" fontId="40" fillId="2" borderId="37" xfId="0" applyFont="1" applyFill="1" applyBorder="1" applyAlignment="1">
      <alignment horizontal="center" vertical="center"/>
    </xf>
    <xf numFmtId="0" fontId="40" fillId="2" borderId="1" xfId="0" applyFont="1" applyFill="1" applyBorder="1" applyAlignment="1">
      <alignment horizontal="center" vertical="center"/>
    </xf>
    <xf numFmtId="0" fontId="40" fillId="2" borderId="0" xfId="0" applyFont="1" applyFill="1" applyBorder="1" applyAlignment="1">
      <alignment horizontal="center" vertical="center"/>
    </xf>
    <xf numFmtId="0" fontId="40" fillId="2" borderId="3" xfId="0" applyFont="1" applyFill="1" applyBorder="1" applyAlignment="1">
      <alignment horizontal="center" vertical="center"/>
    </xf>
    <xf numFmtId="0" fontId="40" fillId="2" borderId="4" xfId="0" applyFont="1" applyFill="1" applyBorder="1" applyAlignment="1">
      <alignment horizontal="center" vertical="center"/>
    </xf>
    <xf numFmtId="0" fontId="40" fillId="2" borderId="25" xfId="0" applyFont="1" applyFill="1" applyBorder="1" applyAlignment="1">
      <alignment horizontal="center" vertical="center"/>
    </xf>
    <xf numFmtId="0" fontId="40" fillId="2" borderId="5" xfId="0" applyFont="1" applyFill="1" applyBorder="1" applyAlignment="1">
      <alignment horizontal="center" vertical="center"/>
    </xf>
    <xf numFmtId="0" fontId="58" fillId="2" borderId="16" xfId="0" applyFont="1" applyFill="1" applyBorder="1" applyAlignment="1">
      <alignment horizontal="center" vertical="center" wrapText="1"/>
    </xf>
    <xf numFmtId="0" fontId="58" fillId="2" borderId="19" xfId="0" applyFont="1" applyFill="1" applyBorder="1" applyAlignment="1">
      <alignment horizontal="center" vertical="center"/>
    </xf>
    <xf numFmtId="0" fontId="58" fillId="2" borderId="17" xfId="0" applyFont="1" applyFill="1" applyBorder="1" applyAlignment="1">
      <alignment horizontal="center" vertical="center"/>
    </xf>
    <xf numFmtId="0" fontId="58" fillId="2" borderId="18" xfId="0" applyFont="1" applyFill="1" applyBorder="1" applyAlignment="1">
      <alignment horizontal="center" vertical="center"/>
    </xf>
    <xf numFmtId="0" fontId="34" fillId="2" borderId="0" xfId="0" applyFont="1" applyFill="1" applyAlignment="1">
      <alignment horizontal="center" vertical="center" wrapText="1"/>
    </xf>
    <xf numFmtId="0" fontId="35" fillId="0" borderId="19"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18" xfId="0" applyFont="1" applyBorder="1" applyAlignment="1">
      <alignment horizontal="center" vertical="center" wrapText="1"/>
    </xf>
    <xf numFmtId="0" fontId="75" fillId="2" borderId="19" xfId="0" applyFont="1" applyFill="1" applyBorder="1" applyAlignment="1">
      <alignment horizontal="justify" vertical="center" wrapText="1"/>
    </xf>
    <xf numFmtId="0" fontId="75" fillId="2" borderId="17" xfId="0" applyFont="1" applyFill="1" applyBorder="1" applyAlignment="1">
      <alignment horizontal="justify" vertical="center" wrapText="1"/>
    </xf>
    <xf numFmtId="0" fontId="75" fillId="2" borderId="18" xfId="0" applyFont="1" applyFill="1" applyBorder="1" applyAlignment="1">
      <alignment horizontal="justify" vertical="center" wrapText="1"/>
    </xf>
    <xf numFmtId="0" fontId="35" fillId="47" borderId="16" xfId="0" applyFont="1" applyFill="1" applyBorder="1" applyAlignment="1">
      <alignment horizontal="center" vertical="center"/>
    </xf>
    <xf numFmtId="0" fontId="35" fillId="2" borderId="36" xfId="0" applyFont="1" applyFill="1" applyBorder="1" applyAlignment="1">
      <alignment horizontal="center" vertical="center" wrapText="1"/>
    </xf>
    <xf numFmtId="0" fontId="35" fillId="2" borderId="0" xfId="0" applyFont="1" applyFill="1" applyBorder="1" applyAlignment="1">
      <alignment horizontal="center" vertical="center" wrapText="1"/>
    </xf>
    <xf numFmtId="0" fontId="35" fillId="41" borderId="43" xfId="0" applyFont="1" applyFill="1" applyBorder="1" applyAlignment="1">
      <alignment horizontal="center" vertical="center" wrapText="1"/>
    </xf>
    <xf numFmtId="0" fontId="35" fillId="41" borderId="25" xfId="0" applyFont="1" applyFill="1" applyBorder="1" applyAlignment="1">
      <alignment horizontal="center" vertical="center" wrapText="1"/>
    </xf>
    <xf numFmtId="0" fontId="35" fillId="41" borderId="44" xfId="0" applyFont="1" applyFill="1" applyBorder="1" applyAlignment="1">
      <alignment horizontal="center" vertical="center" wrapText="1"/>
    </xf>
    <xf numFmtId="0" fontId="34" fillId="0" borderId="19" xfId="0" applyFont="1" applyBorder="1" applyAlignment="1">
      <alignment horizontal="center" vertical="center"/>
    </xf>
    <xf numFmtId="0" fontId="34" fillId="0" borderId="17" xfId="0" applyFont="1" applyBorder="1" applyAlignment="1">
      <alignment horizontal="center" vertical="center"/>
    </xf>
    <xf numFmtId="0" fontId="34" fillId="0" borderId="18" xfId="0" applyFont="1" applyBorder="1" applyAlignment="1">
      <alignment horizontal="center" vertical="center"/>
    </xf>
    <xf numFmtId="0" fontId="82" fillId="0" borderId="19" xfId="0" applyFont="1" applyBorder="1" applyAlignment="1">
      <alignment horizontal="justify" vertical="center" wrapText="1"/>
    </xf>
    <xf numFmtId="0" fontId="82" fillId="0" borderId="17" xfId="0" applyFont="1" applyBorder="1" applyAlignment="1">
      <alignment horizontal="justify" vertical="center" wrapText="1"/>
    </xf>
    <xf numFmtId="0" fontId="82" fillId="0" borderId="18" xfId="0" applyFont="1" applyBorder="1" applyAlignment="1">
      <alignment horizontal="justify" vertical="center" wrapText="1"/>
    </xf>
    <xf numFmtId="0" fontId="69" fillId="0" borderId="16" xfId="0" applyFont="1" applyBorder="1" applyAlignment="1">
      <alignment horizontal="center" vertical="center"/>
    </xf>
    <xf numFmtId="0" fontId="80" fillId="2" borderId="16" xfId="0" applyFont="1" applyFill="1" applyBorder="1" applyAlignment="1">
      <alignment vertical="center" wrapText="1"/>
    </xf>
    <xf numFmtId="0" fontId="80" fillId="2" borderId="16" xfId="0" applyFont="1" applyFill="1" applyBorder="1" applyAlignment="1">
      <alignment vertical="center"/>
    </xf>
    <xf numFmtId="0" fontId="34" fillId="2" borderId="0" xfId="0" applyFont="1" applyFill="1" applyBorder="1" applyAlignment="1">
      <alignment vertical="center"/>
    </xf>
    <xf numFmtId="0" fontId="75" fillId="2" borderId="0" xfId="0" applyFont="1" applyFill="1" applyBorder="1" applyAlignment="1">
      <alignment horizontal="center" vertical="center" wrapText="1"/>
    </xf>
    <xf numFmtId="0" fontId="34" fillId="0" borderId="0" xfId="0" applyFont="1" applyBorder="1" applyAlignment="1">
      <alignment vertical="center"/>
    </xf>
    <xf numFmtId="0" fontId="34" fillId="2" borderId="2" xfId="0" applyFont="1" applyFill="1" applyBorder="1" applyAlignment="1">
      <alignment horizontal="justify" vertical="center" wrapText="1"/>
    </xf>
    <xf numFmtId="0" fontId="34" fillId="2" borderId="0" xfId="0" applyFont="1" applyFill="1" applyBorder="1" applyAlignment="1">
      <alignment horizontal="center" vertical="center"/>
    </xf>
    <xf numFmtId="0" fontId="35" fillId="53" borderId="0" xfId="0" applyFont="1" applyFill="1" applyBorder="1" applyAlignment="1">
      <alignment horizontal="center" vertical="center" wrapText="1"/>
    </xf>
    <xf numFmtId="0" fontId="79" fillId="2" borderId="0" xfId="0" applyFont="1" applyFill="1" applyBorder="1"/>
    <xf numFmtId="0" fontId="34" fillId="2" borderId="0" xfId="0" applyFont="1" applyFill="1" applyBorder="1" applyAlignment="1">
      <alignment horizontal="center" vertical="center" wrapText="1"/>
    </xf>
    <xf numFmtId="0" fontId="69" fillId="2" borderId="0" xfId="0" applyFont="1" applyFill="1" applyBorder="1"/>
    <xf numFmtId="0" fontId="34" fillId="2" borderId="0" xfId="0" applyFont="1" applyFill="1" applyBorder="1"/>
  </cellXfs>
  <cellStyles count="311">
    <cellStyle name="0,0_x000d__x000a_NA_x000d__x000a_" xfId="5" xr:uid="{00000000-0005-0000-0000-000000000000}"/>
    <cellStyle name="0,0_x000d__x000a_NA_x000d__x000a_ 2" xfId="6" xr:uid="{00000000-0005-0000-0000-000001000000}"/>
    <cellStyle name="20% - Accent1" xfId="7" xr:uid="{00000000-0005-0000-0000-000002000000}"/>
    <cellStyle name="20% - Accent2" xfId="8" xr:uid="{00000000-0005-0000-0000-000003000000}"/>
    <cellStyle name="20% - Accent3" xfId="9" xr:uid="{00000000-0005-0000-0000-000004000000}"/>
    <cellStyle name="20% - Accent4" xfId="10" xr:uid="{00000000-0005-0000-0000-000005000000}"/>
    <cellStyle name="20% - Accent5" xfId="11" xr:uid="{00000000-0005-0000-0000-000006000000}"/>
    <cellStyle name="20% - Accent6" xfId="12" xr:uid="{00000000-0005-0000-0000-000007000000}"/>
    <cellStyle name="20% - Énfasis1 2" xfId="13" xr:uid="{00000000-0005-0000-0000-000008000000}"/>
    <cellStyle name="20% - Énfasis2 2" xfId="14" xr:uid="{00000000-0005-0000-0000-000009000000}"/>
    <cellStyle name="20% - Énfasis3 2" xfId="15" xr:uid="{00000000-0005-0000-0000-00000A000000}"/>
    <cellStyle name="20% - Énfasis4 2" xfId="16" xr:uid="{00000000-0005-0000-0000-00000B000000}"/>
    <cellStyle name="20% - Énfasis5 2" xfId="17" xr:uid="{00000000-0005-0000-0000-00000C000000}"/>
    <cellStyle name="20% - Énfasis6 2" xfId="18" xr:uid="{00000000-0005-0000-0000-00000D000000}"/>
    <cellStyle name="40% - Accent1" xfId="19" xr:uid="{00000000-0005-0000-0000-00000E000000}"/>
    <cellStyle name="40% - Accent2" xfId="20" xr:uid="{00000000-0005-0000-0000-00000F000000}"/>
    <cellStyle name="40% - Accent3" xfId="21" xr:uid="{00000000-0005-0000-0000-000010000000}"/>
    <cellStyle name="40% - Accent4" xfId="22" xr:uid="{00000000-0005-0000-0000-000011000000}"/>
    <cellStyle name="40% - Accent5" xfId="23" xr:uid="{00000000-0005-0000-0000-000012000000}"/>
    <cellStyle name="40% - Accent6" xfId="24" xr:uid="{00000000-0005-0000-0000-000013000000}"/>
    <cellStyle name="40% - Énfasis1 2" xfId="25" xr:uid="{00000000-0005-0000-0000-000014000000}"/>
    <cellStyle name="40% - Énfasis2 2" xfId="26" xr:uid="{00000000-0005-0000-0000-000015000000}"/>
    <cellStyle name="40% - Énfasis3 2" xfId="27" xr:uid="{00000000-0005-0000-0000-000016000000}"/>
    <cellStyle name="40% - Énfasis4 2" xfId="28" xr:uid="{00000000-0005-0000-0000-000017000000}"/>
    <cellStyle name="40% - Énfasis5 2" xfId="29" xr:uid="{00000000-0005-0000-0000-000018000000}"/>
    <cellStyle name="40% - Énfasis6 2" xfId="30" xr:uid="{00000000-0005-0000-0000-000019000000}"/>
    <cellStyle name="60% - Accent1" xfId="31" xr:uid="{00000000-0005-0000-0000-00001A000000}"/>
    <cellStyle name="60% - Accent2" xfId="32" xr:uid="{00000000-0005-0000-0000-00001B000000}"/>
    <cellStyle name="60% - Accent3" xfId="33" xr:uid="{00000000-0005-0000-0000-00001C000000}"/>
    <cellStyle name="60% - Accent4" xfId="34" xr:uid="{00000000-0005-0000-0000-00001D000000}"/>
    <cellStyle name="60% - Accent5" xfId="35" xr:uid="{00000000-0005-0000-0000-00001E000000}"/>
    <cellStyle name="60% - Accent6" xfId="36" xr:uid="{00000000-0005-0000-0000-00001F000000}"/>
    <cellStyle name="60% - Énfasis1 2" xfId="37" xr:uid="{00000000-0005-0000-0000-000020000000}"/>
    <cellStyle name="60% - Énfasis2 2" xfId="38" xr:uid="{00000000-0005-0000-0000-000021000000}"/>
    <cellStyle name="60% - Énfasis3 2" xfId="39" xr:uid="{00000000-0005-0000-0000-000022000000}"/>
    <cellStyle name="60% - Énfasis4 2" xfId="40" xr:uid="{00000000-0005-0000-0000-000023000000}"/>
    <cellStyle name="60% - Énfasis5 2" xfId="41" xr:uid="{00000000-0005-0000-0000-000024000000}"/>
    <cellStyle name="60% - Énfasis6 2" xfId="42" xr:uid="{00000000-0005-0000-0000-000025000000}"/>
    <cellStyle name="Accent1" xfId="43" xr:uid="{00000000-0005-0000-0000-000026000000}"/>
    <cellStyle name="Accent2" xfId="44" xr:uid="{00000000-0005-0000-0000-000027000000}"/>
    <cellStyle name="Accent3" xfId="45" xr:uid="{00000000-0005-0000-0000-000028000000}"/>
    <cellStyle name="Accent4" xfId="46" xr:uid="{00000000-0005-0000-0000-000029000000}"/>
    <cellStyle name="Accent5" xfId="47" xr:uid="{00000000-0005-0000-0000-00002A000000}"/>
    <cellStyle name="Accent6" xfId="48" xr:uid="{00000000-0005-0000-0000-00002B000000}"/>
    <cellStyle name="Bad" xfId="49" xr:uid="{00000000-0005-0000-0000-00002C000000}"/>
    <cellStyle name="Buena 2" xfId="50" xr:uid="{00000000-0005-0000-0000-00002D000000}"/>
    <cellStyle name="Calculation" xfId="51" xr:uid="{00000000-0005-0000-0000-00002E000000}"/>
    <cellStyle name="Calculation 2" xfId="52" xr:uid="{00000000-0005-0000-0000-00002F000000}"/>
    <cellStyle name="Calculation 3" xfId="53" xr:uid="{00000000-0005-0000-0000-000030000000}"/>
    <cellStyle name="Calculation 4" xfId="54" xr:uid="{00000000-0005-0000-0000-000031000000}"/>
    <cellStyle name="Calculation 5" xfId="55" xr:uid="{00000000-0005-0000-0000-000032000000}"/>
    <cellStyle name="Calculation 6" xfId="56" xr:uid="{00000000-0005-0000-0000-000033000000}"/>
    <cellStyle name="Calculation 7" xfId="57" xr:uid="{00000000-0005-0000-0000-000034000000}"/>
    <cellStyle name="Calculation 8" xfId="58" xr:uid="{00000000-0005-0000-0000-000035000000}"/>
    <cellStyle name="Calculation 9" xfId="59" xr:uid="{00000000-0005-0000-0000-000036000000}"/>
    <cellStyle name="Cálculo 2" xfId="60" xr:uid="{00000000-0005-0000-0000-000037000000}"/>
    <cellStyle name="Cálculo 2 2" xfId="61" xr:uid="{00000000-0005-0000-0000-000038000000}"/>
    <cellStyle name="Cálculo 2 3" xfId="62" xr:uid="{00000000-0005-0000-0000-000039000000}"/>
    <cellStyle name="Cálculo 2 4" xfId="63" xr:uid="{00000000-0005-0000-0000-00003A000000}"/>
    <cellStyle name="Cálculo 2 5" xfId="64" xr:uid="{00000000-0005-0000-0000-00003B000000}"/>
    <cellStyle name="Cálculo 2 6" xfId="65" xr:uid="{00000000-0005-0000-0000-00003C000000}"/>
    <cellStyle name="Cálculo 2 7" xfId="66" xr:uid="{00000000-0005-0000-0000-00003D000000}"/>
    <cellStyle name="Cálculo 2 8" xfId="67" xr:uid="{00000000-0005-0000-0000-00003E000000}"/>
    <cellStyle name="Cálculo 2 9" xfId="68" xr:uid="{00000000-0005-0000-0000-00003F000000}"/>
    <cellStyle name="Celda de comprobación 2" xfId="69" xr:uid="{00000000-0005-0000-0000-000040000000}"/>
    <cellStyle name="Celda vinculada 2" xfId="70" xr:uid="{00000000-0005-0000-0000-000041000000}"/>
    <cellStyle name="Check Cell" xfId="71" xr:uid="{00000000-0005-0000-0000-000042000000}"/>
    <cellStyle name="Comma" xfId="231" xr:uid="{00000000-0005-0000-0000-000043000000}"/>
    <cellStyle name="Currency" xfId="232" xr:uid="{00000000-0005-0000-0000-000044000000}"/>
    <cellStyle name="Date" xfId="233" xr:uid="{00000000-0005-0000-0000-000045000000}"/>
    <cellStyle name="Encabezado 1" xfId="234" xr:uid="{00000000-0005-0000-0000-000046000000}"/>
    <cellStyle name="Encabezado 2" xfId="235" xr:uid="{00000000-0005-0000-0000-000047000000}"/>
    <cellStyle name="Encabezado 4 2" xfId="72" xr:uid="{00000000-0005-0000-0000-000048000000}"/>
    <cellStyle name="Énfasis1 2" xfId="73" xr:uid="{00000000-0005-0000-0000-000049000000}"/>
    <cellStyle name="Énfasis2 2" xfId="74" xr:uid="{00000000-0005-0000-0000-00004A000000}"/>
    <cellStyle name="Énfasis3 2" xfId="75" xr:uid="{00000000-0005-0000-0000-00004B000000}"/>
    <cellStyle name="Énfasis4 2" xfId="76" xr:uid="{00000000-0005-0000-0000-00004C000000}"/>
    <cellStyle name="Énfasis5 2" xfId="77" xr:uid="{00000000-0005-0000-0000-00004D000000}"/>
    <cellStyle name="Énfasis6 2" xfId="78" xr:uid="{00000000-0005-0000-0000-00004E000000}"/>
    <cellStyle name="Entrada 2" xfId="79" xr:uid="{00000000-0005-0000-0000-00004F000000}"/>
    <cellStyle name="Entrada 2 2" xfId="80" xr:uid="{00000000-0005-0000-0000-000050000000}"/>
    <cellStyle name="Entrada 2 3" xfId="81" xr:uid="{00000000-0005-0000-0000-000051000000}"/>
    <cellStyle name="Entrada 2 4" xfId="82" xr:uid="{00000000-0005-0000-0000-000052000000}"/>
    <cellStyle name="Entrada 2 5" xfId="83" xr:uid="{00000000-0005-0000-0000-000053000000}"/>
    <cellStyle name="Entrada 2 6" xfId="84" xr:uid="{00000000-0005-0000-0000-000054000000}"/>
    <cellStyle name="Entrada 2 7" xfId="85" xr:uid="{00000000-0005-0000-0000-000055000000}"/>
    <cellStyle name="Entrada 2 8" xfId="86" xr:uid="{00000000-0005-0000-0000-000056000000}"/>
    <cellStyle name="Entrada 2 9" xfId="87" xr:uid="{00000000-0005-0000-0000-000057000000}"/>
    <cellStyle name="Estilo 1" xfId="236" xr:uid="{00000000-0005-0000-0000-000058000000}"/>
    <cellStyle name="Euro" xfId="88" xr:uid="{00000000-0005-0000-0000-000059000000}"/>
    <cellStyle name="Euro 2" xfId="237" xr:uid="{00000000-0005-0000-0000-00005A000000}"/>
    <cellStyle name="Explanatory Text" xfId="89" xr:uid="{00000000-0005-0000-0000-00005B000000}"/>
    <cellStyle name="F2" xfId="238" xr:uid="{00000000-0005-0000-0000-00005C000000}"/>
    <cellStyle name="F3" xfId="239" xr:uid="{00000000-0005-0000-0000-00005D000000}"/>
    <cellStyle name="F4" xfId="240" xr:uid="{00000000-0005-0000-0000-00005E000000}"/>
    <cellStyle name="F5" xfId="241" xr:uid="{00000000-0005-0000-0000-00005F000000}"/>
    <cellStyle name="F6" xfId="242" xr:uid="{00000000-0005-0000-0000-000060000000}"/>
    <cellStyle name="F7" xfId="243" xr:uid="{00000000-0005-0000-0000-000061000000}"/>
    <cellStyle name="F8" xfId="244" xr:uid="{00000000-0005-0000-0000-000062000000}"/>
    <cellStyle name="Fecha" xfId="245" xr:uid="{00000000-0005-0000-0000-000063000000}"/>
    <cellStyle name="Fecha 2" xfId="246" xr:uid="{00000000-0005-0000-0000-000064000000}"/>
    <cellStyle name="Fijo" xfId="247" xr:uid="{00000000-0005-0000-0000-000065000000}"/>
    <cellStyle name="Fijo 2" xfId="248" xr:uid="{00000000-0005-0000-0000-000066000000}"/>
    <cellStyle name="Fixed" xfId="249" xr:uid="{00000000-0005-0000-0000-000067000000}"/>
    <cellStyle name="Good" xfId="90" xr:uid="{00000000-0005-0000-0000-000068000000}"/>
    <cellStyle name="Heading 1" xfId="91" xr:uid="{00000000-0005-0000-0000-000069000000}"/>
    <cellStyle name="Heading 2" xfId="92" xr:uid="{00000000-0005-0000-0000-00006A000000}"/>
    <cellStyle name="Heading 3" xfId="93" xr:uid="{00000000-0005-0000-0000-00006B000000}"/>
    <cellStyle name="Heading 4" xfId="94" xr:uid="{00000000-0005-0000-0000-00006C000000}"/>
    <cellStyle name="Heading1" xfId="250" xr:uid="{00000000-0005-0000-0000-00006D000000}"/>
    <cellStyle name="Heading2" xfId="251" xr:uid="{00000000-0005-0000-0000-00006E000000}"/>
    <cellStyle name="Hipervínculo" xfId="292" builtinId="8"/>
    <cellStyle name="Hipervínculo 2" xfId="4" xr:uid="{00000000-0005-0000-0000-000070000000}"/>
    <cellStyle name="Hipervínculo 2 2" xfId="252" xr:uid="{00000000-0005-0000-0000-000071000000}"/>
    <cellStyle name="Incorrecto 2" xfId="95" xr:uid="{00000000-0005-0000-0000-000072000000}"/>
    <cellStyle name="Input" xfId="96" xr:uid="{00000000-0005-0000-0000-000073000000}"/>
    <cellStyle name="Input 2" xfId="97" xr:uid="{00000000-0005-0000-0000-000074000000}"/>
    <cellStyle name="Input 3" xfId="98" xr:uid="{00000000-0005-0000-0000-000075000000}"/>
    <cellStyle name="Input 4" xfId="99" xr:uid="{00000000-0005-0000-0000-000076000000}"/>
    <cellStyle name="Input 5" xfId="100" xr:uid="{00000000-0005-0000-0000-000077000000}"/>
    <cellStyle name="Input 6" xfId="101" xr:uid="{00000000-0005-0000-0000-000078000000}"/>
    <cellStyle name="Input 7" xfId="102" xr:uid="{00000000-0005-0000-0000-000079000000}"/>
    <cellStyle name="Input 8" xfId="103" xr:uid="{00000000-0005-0000-0000-00007A000000}"/>
    <cellStyle name="Input 9" xfId="104" xr:uid="{00000000-0005-0000-0000-00007B000000}"/>
    <cellStyle name="Linked Cell" xfId="105" xr:uid="{00000000-0005-0000-0000-00007C000000}"/>
    <cellStyle name="Millares [0] 2" xfId="253" xr:uid="{00000000-0005-0000-0000-00007E000000}"/>
    <cellStyle name="Millares [0] 3" xfId="288" xr:uid="{00000000-0005-0000-0000-00007F000000}"/>
    <cellStyle name="Millares 10" xfId="290" xr:uid="{00000000-0005-0000-0000-000080000000}"/>
    <cellStyle name="Millares 11" xfId="294" xr:uid="{00000000-0005-0000-0000-000081000000}"/>
    <cellStyle name="Millares 12" xfId="291" xr:uid="{00000000-0005-0000-0000-000082000000}"/>
    <cellStyle name="Millares 13" xfId="309" xr:uid="{4D172506-021D-45EB-BCF5-874099F98D28}"/>
    <cellStyle name="Millares 2" xfId="106" xr:uid="{00000000-0005-0000-0000-000083000000}"/>
    <cellStyle name="Millares 2 2" xfId="3" xr:uid="{00000000-0005-0000-0000-000084000000}"/>
    <cellStyle name="Millares 2 2 2" xfId="107" xr:uid="{00000000-0005-0000-0000-000085000000}"/>
    <cellStyle name="Millares 2 2 3" xfId="254" xr:uid="{00000000-0005-0000-0000-000086000000}"/>
    <cellStyle name="Millares 2 3" xfId="108" xr:uid="{00000000-0005-0000-0000-000087000000}"/>
    <cellStyle name="Millares 2 3 2" xfId="255" xr:uid="{00000000-0005-0000-0000-000088000000}"/>
    <cellStyle name="Millares 2 4" xfId="109" xr:uid="{00000000-0005-0000-0000-000089000000}"/>
    <cellStyle name="Millares 2 5" xfId="110" xr:uid="{00000000-0005-0000-0000-00008A000000}"/>
    <cellStyle name="Millares 2 6" xfId="111" xr:uid="{00000000-0005-0000-0000-00008B000000}"/>
    <cellStyle name="Millares 2 7" xfId="308" xr:uid="{9B1A59C4-93BD-4AA0-8E96-C1209CB295BE}"/>
    <cellStyle name="Millares 3" xfId="112" xr:uid="{00000000-0005-0000-0000-00008C000000}"/>
    <cellStyle name="Millares 3 2" xfId="113" xr:uid="{00000000-0005-0000-0000-00008D000000}"/>
    <cellStyle name="Millares 3 2 2" xfId="258" xr:uid="{00000000-0005-0000-0000-00008E000000}"/>
    <cellStyle name="Millares 3 2 3" xfId="257" xr:uid="{00000000-0005-0000-0000-00008F000000}"/>
    <cellStyle name="Millares 3 3" xfId="114" xr:uid="{00000000-0005-0000-0000-000090000000}"/>
    <cellStyle name="Millares 3 3 2" xfId="259" xr:uid="{00000000-0005-0000-0000-000091000000}"/>
    <cellStyle name="Millares 3 4" xfId="256" xr:uid="{00000000-0005-0000-0000-000092000000}"/>
    <cellStyle name="Millares 4" xfId="115" xr:uid="{00000000-0005-0000-0000-000093000000}"/>
    <cellStyle name="Millares 4 2" xfId="260" xr:uid="{00000000-0005-0000-0000-000094000000}"/>
    <cellStyle name="Millares 4 2 2" xfId="261" xr:uid="{00000000-0005-0000-0000-000095000000}"/>
    <cellStyle name="Millares 4 3" xfId="262" xr:uid="{00000000-0005-0000-0000-000096000000}"/>
    <cellStyle name="Millares 5" xfId="116" xr:uid="{00000000-0005-0000-0000-000097000000}"/>
    <cellStyle name="Millares 5 2" xfId="117" xr:uid="{00000000-0005-0000-0000-000098000000}"/>
    <cellStyle name="Millares 5 2 2" xfId="264" xr:uid="{00000000-0005-0000-0000-000099000000}"/>
    <cellStyle name="Millares 5 3" xfId="263" xr:uid="{00000000-0005-0000-0000-00009A000000}"/>
    <cellStyle name="Millares 6" xfId="118" xr:uid="{00000000-0005-0000-0000-00009B000000}"/>
    <cellStyle name="Millares 6 2" xfId="265" xr:uid="{00000000-0005-0000-0000-00009C000000}"/>
    <cellStyle name="Millares 7" xfId="119" xr:uid="{00000000-0005-0000-0000-00009D000000}"/>
    <cellStyle name="Millares 8" xfId="120" xr:uid="{00000000-0005-0000-0000-00009E000000}"/>
    <cellStyle name="Millares 9" xfId="289" xr:uid="{00000000-0005-0000-0000-00009F000000}"/>
    <cellStyle name="MillÔres [0]_LISTADO MAESTRO DE DOCUMENTOS" xfId="266" xr:uid="{00000000-0005-0000-0000-0000A0000000}"/>
    <cellStyle name="Moneda" xfId="304" builtinId="4"/>
    <cellStyle name="Moneda [0]" xfId="293" builtinId="7"/>
    <cellStyle name="Moneda [0] 2" xfId="296" xr:uid="{B9C55D7C-8593-4B22-B562-F05C53AF32FD}"/>
    <cellStyle name="Moneda 10" xfId="298" xr:uid="{D3D4799E-DD87-4B9D-AFF6-1802507BB9E9}"/>
    <cellStyle name="Moneda 11" xfId="299" xr:uid="{544FC93C-5E95-41BC-AD61-69E86C72AA99}"/>
    <cellStyle name="Moneda 12" xfId="300" xr:uid="{EA125A65-7310-4190-831B-5EF707EAAA25}"/>
    <cellStyle name="Moneda 13" xfId="297" xr:uid="{B2E49559-5F1A-473F-AA90-5855AFF2FEC6}"/>
    <cellStyle name="Moneda 14" xfId="301" xr:uid="{1B6F5A6D-563A-493E-82D6-1927D044FC3B}"/>
    <cellStyle name="Moneda 15" xfId="302" xr:uid="{A7099941-45B4-4749-A1D7-FEA178B39BF4}"/>
    <cellStyle name="Moneda 16" xfId="303" xr:uid="{62095A01-44EC-4674-9A5E-2FC9A5913B13}"/>
    <cellStyle name="Moneda 2" xfId="121" xr:uid="{00000000-0005-0000-0000-0000A2000000}"/>
    <cellStyle name="Moneda 2 10" xfId="267" xr:uid="{00000000-0005-0000-0000-0000A3000000}"/>
    <cellStyle name="Moneda 2 2" xfId="122" xr:uid="{00000000-0005-0000-0000-0000A4000000}"/>
    <cellStyle name="Moneda 2 2 2" xfId="123" xr:uid="{00000000-0005-0000-0000-0000A5000000}"/>
    <cellStyle name="Moneda 2 2 3" xfId="124" xr:uid="{00000000-0005-0000-0000-0000A6000000}"/>
    <cellStyle name="Moneda 2 2 4" xfId="268" xr:uid="{00000000-0005-0000-0000-0000A7000000}"/>
    <cellStyle name="Moneda 2 3" xfId="125" xr:uid="{00000000-0005-0000-0000-0000A8000000}"/>
    <cellStyle name="Moneda 2 4" xfId="126" xr:uid="{00000000-0005-0000-0000-0000A9000000}"/>
    <cellStyle name="Moneda 2 5" xfId="127" xr:uid="{00000000-0005-0000-0000-0000AA000000}"/>
    <cellStyle name="Moneda 2 6" xfId="128" xr:uid="{00000000-0005-0000-0000-0000AB000000}"/>
    <cellStyle name="Moneda 2 7" xfId="129" xr:uid="{00000000-0005-0000-0000-0000AC000000}"/>
    <cellStyle name="Moneda 2 8" xfId="130" xr:uid="{00000000-0005-0000-0000-0000AD000000}"/>
    <cellStyle name="Moneda 2 8 2" xfId="131" xr:uid="{00000000-0005-0000-0000-0000AE000000}"/>
    <cellStyle name="Moneda 2 9" xfId="132" xr:uid="{00000000-0005-0000-0000-0000AF000000}"/>
    <cellStyle name="Moneda 3" xfId="133" xr:uid="{00000000-0005-0000-0000-0000B0000000}"/>
    <cellStyle name="Moneda 3 2" xfId="134" xr:uid="{00000000-0005-0000-0000-0000B1000000}"/>
    <cellStyle name="Moneda 4" xfId="135" xr:uid="{00000000-0005-0000-0000-0000B2000000}"/>
    <cellStyle name="Moneda 5" xfId="136" xr:uid="{00000000-0005-0000-0000-0000B3000000}"/>
    <cellStyle name="Moneda 6" xfId="137" xr:uid="{00000000-0005-0000-0000-0000B4000000}"/>
    <cellStyle name="Moneda 7" xfId="138" xr:uid="{00000000-0005-0000-0000-0000B5000000}"/>
    <cellStyle name="Moneda 8" xfId="139" xr:uid="{00000000-0005-0000-0000-0000B6000000}"/>
    <cellStyle name="Moneda 9" xfId="295" xr:uid="{AAC996C1-7F45-4859-AD45-701F5A463B91}"/>
    <cellStyle name="Moneda0" xfId="269" xr:uid="{00000000-0005-0000-0000-0000B7000000}"/>
    <cellStyle name="Moneda0 2" xfId="270" xr:uid="{00000000-0005-0000-0000-0000B8000000}"/>
    <cellStyle name="Neutral 2" xfId="140" xr:uid="{00000000-0005-0000-0000-0000B9000000}"/>
    <cellStyle name="Normal" xfId="0" builtinId="0"/>
    <cellStyle name="Normal 10" xfId="141" xr:uid="{00000000-0005-0000-0000-0000BB000000}"/>
    <cellStyle name="Normal 11" xfId="142" xr:uid="{00000000-0005-0000-0000-0000BC000000}"/>
    <cellStyle name="Normal 12" xfId="143" xr:uid="{00000000-0005-0000-0000-0000BD000000}"/>
    <cellStyle name="Normal 12 2" xfId="271" xr:uid="{00000000-0005-0000-0000-0000BE000000}"/>
    <cellStyle name="Normal 13" xfId="144" xr:uid="{00000000-0005-0000-0000-0000BF000000}"/>
    <cellStyle name="Normal 2" xfId="2" xr:uid="{00000000-0005-0000-0000-0000C0000000}"/>
    <cellStyle name="Normal 2 10 3" xfId="307" xr:uid="{3C5D0204-23E6-457F-9C1C-29E99A6B0E3A}"/>
    <cellStyle name="Normal 2 2" xfId="145" xr:uid="{00000000-0005-0000-0000-0000C1000000}"/>
    <cellStyle name="Normal 2 2 2" xfId="146" xr:uid="{00000000-0005-0000-0000-0000C2000000}"/>
    <cellStyle name="Normal 2 2 3" xfId="273" xr:uid="{00000000-0005-0000-0000-0000C3000000}"/>
    <cellStyle name="Normal 2 2 4" xfId="287" xr:uid="{00000000-0005-0000-0000-0000C4000000}"/>
    <cellStyle name="Normal 2 3" xfId="274" xr:uid="{00000000-0005-0000-0000-0000C5000000}"/>
    <cellStyle name="Normal 2 3 2" xfId="275" xr:uid="{00000000-0005-0000-0000-0000C6000000}"/>
    <cellStyle name="Normal 2 4" xfId="276" xr:uid="{00000000-0005-0000-0000-0000C7000000}"/>
    <cellStyle name="Normal 2 5" xfId="272" xr:uid="{00000000-0005-0000-0000-0000C8000000}"/>
    <cellStyle name="Normal 3" xfId="147" xr:uid="{00000000-0005-0000-0000-0000C9000000}"/>
    <cellStyle name="Normal 3 11" xfId="306" xr:uid="{8659604D-EB77-4BC2-AD71-09502B525C76}"/>
    <cellStyle name="Normal 3 2" xfId="148" xr:uid="{00000000-0005-0000-0000-0000CA000000}"/>
    <cellStyle name="Normal 3 2 2" xfId="149" xr:uid="{00000000-0005-0000-0000-0000CB000000}"/>
    <cellStyle name="Normal 3 2 3" xfId="150" xr:uid="{00000000-0005-0000-0000-0000CC000000}"/>
    <cellStyle name="Normal 3 2 4" xfId="277" xr:uid="{00000000-0005-0000-0000-0000CD000000}"/>
    <cellStyle name="Normal 3 3" xfId="305" xr:uid="{19574214-4CB0-4DD5-B645-0EA7DF2E7212}"/>
    <cellStyle name="Normal 4" xfId="151" xr:uid="{00000000-0005-0000-0000-0000CE000000}"/>
    <cellStyle name="Normal 4 2" xfId="152" xr:uid="{00000000-0005-0000-0000-0000CF000000}"/>
    <cellStyle name="Normal 4 2 2" xfId="279" xr:uid="{00000000-0005-0000-0000-0000D0000000}"/>
    <cellStyle name="Normal 4 3" xfId="278" xr:uid="{00000000-0005-0000-0000-0000D1000000}"/>
    <cellStyle name="Normal 5" xfId="153" xr:uid="{00000000-0005-0000-0000-0000D2000000}"/>
    <cellStyle name="Normal 5 2" xfId="154" xr:uid="{00000000-0005-0000-0000-0000D3000000}"/>
    <cellStyle name="Normal 5 2 2" xfId="155" xr:uid="{00000000-0005-0000-0000-0000D4000000}"/>
    <cellStyle name="Normal 5 3" xfId="156" xr:uid="{00000000-0005-0000-0000-0000D5000000}"/>
    <cellStyle name="Normal 5 4" xfId="157" xr:uid="{00000000-0005-0000-0000-0000D6000000}"/>
    <cellStyle name="Normal 5 5" xfId="280" xr:uid="{00000000-0005-0000-0000-0000D7000000}"/>
    <cellStyle name="Normal 6" xfId="158" xr:uid="{00000000-0005-0000-0000-0000D8000000}"/>
    <cellStyle name="Normal 6 2" xfId="159" xr:uid="{00000000-0005-0000-0000-0000D9000000}"/>
    <cellStyle name="Normal 6 3" xfId="281" xr:uid="{00000000-0005-0000-0000-0000DA000000}"/>
    <cellStyle name="Normal 7" xfId="160" xr:uid="{00000000-0005-0000-0000-0000DB000000}"/>
    <cellStyle name="Normal 7 2" xfId="161" xr:uid="{00000000-0005-0000-0000-0000DC000000}"/>
    <cellStyle name="Normal 8" xfId="162" xr:uid="{00000000-0005-0000-0000-0000DD000000}"/>
    <cellStyle name="Normal 9" xfId="163" xr:uid="{00000000-0005-0000-0000-0000DE000000}"/>
    <cellStyle name="Notas 2" xfId="164" xr:uid="{00000000-0005-0000-0000-0000DF000000}"/>
    <cellStyle name="Notas 2 2" xfId="165" xr:uid="{00000000-0005-0000-0000-0000E0000000}"/>
    <cellStyle name="Notas 2 3" xfId="166" xr:uid="{00000000-0005-0000-0000-0000E1000000}"/>
    <cellStyle name="Notas 2 4" xfId="167" xr:uid="{00000000-0005-0000-0000-0000E2000000}"/>
    <cellStyle name="Notas 2 5" xfId="168" xr:uid="{00000000-0005-0000-0000-0000E3000000}"/>
    <cellStyle name="Notas 2 6" xfId="169" xr:uid="{00000000-0005-0000-0000-0000E4000000}"/>
    <cellStyle name="Notas 2 7" xfId="170" xr:uid="{00000000-0005-0000-0000-0000E5000000}"/>
    <cellStyle name="Notas 2 8" xfId="171" xr:uid="{00000000-0005-0000-0000-0000E6000000}"/>
    <cellStyle name="Notas 2 9" xfId="172" xr:uid="{00000000-0005-0000-0000-0000E7000000}"/>
    <cellStyle name="Note" xfId="173" xr:uid="{00000000-0005-0000-0000-0000E8000000}"/>
    <cellStyle name="Note 2" xfId="174" xr:uid="{00000000-0005-0000-0000-0000E9000000}"/>
    <cellStyle name="Note 3" xfId="175" xr:uid="{00000000-0005-0000-0000-0000EA000000}"/>
    <cellStyle name="Note 4" xfId="176" xr:uid="{00000000-0005-0000-0000-0000EB000000}"/>
    <cellStyle name="Note 5" xfId="177" xr:uid="{00000000-0005-0000-0000-0000EC000000}"/>
    <cellStyle name="Note 6" xfId="178" xr:uid="{00000000-0005-0000-0000-0000ED000000}"/>
    <cellStyle name="Note 7" xfId="179" xr:uid="{00000000-0005-0000-0000-0000EE000000}"/>
    <cellStyle name="Note 8" xfId="180" xr:uid="{00000000-0005-0000-0000-0000EF000000}"/>
    <cellStyle name="Note 9" xfId="181" xr:uid="{00000000-0005-0000-0000-0000F0000000}"/>
    <cellStyle name="Output" xfId="182" xr:uid="{00000000-0005-0000-0000-0000F1000000}"/>
    <cellStyle name="Output 2" xfId="183" xr:uid="{00000000-0005-0000-0000-0000F2000000}"/>
    <cellStyle name="Output 3" xfId="184" xr:uid="{00000000-0005-0000-0000-0000F3000000}"/>
    <cellStyle name="Output 4" xfId="185" xr:uid="{00000000-0005-0000-0000-0000F4000000}"/>
    <cellStyle name="Output 5" xfId="186" xr:uid="{00000000-0005-0000-0000-0000F5000000}"/>
    <cellStyle name="Output 6" xfId="187" xr:uid="{00000000-0005-0000-0000-0000F6000000}"/>
    <cellStyle name="Output 7" xfId="188" xr:uid="{00000000-0005-0000-0000-0000F7000000}"/>
    <cellStyle name="Output 8" xfId="189" xr:uid="{00000000-0005-0000-0000-0000F8000000}"/>
    <cellStyle name="Output 9" xfId="190" xr:uid="{00000000-0005-0000-0000-0000F9000000}"/>
    <cellStyle name="Percent" xfId="1" xr:uid="{00000000-0005-0000-0000-0000FA000000}"/>
    <cellStyle name="Porcentaje" xfId="310" builtinId="5"/>
    <cellStyle name="Porcentaje 2" xfId="191" xr:uid="{00000000-0005-0000-0000-0000FC000000}"/>
    <cellStyle name="Porcentaje 2 2" xfId="283" xr:uid="{00000000-0005-0000-0000-0000FD000000}"/>
    <cellStyle name="Porcentaje 2 3" xfId="282" xr:uid="{00000000-0005-0000-0000-0000FE000000}"/>
    <cellStyle name="Porcentaje 3" xfId="192" xr:uid="{00000000-0005-0000-0000-0000FF000000}"/>
    <cellStyle name="Porcentaje 4" xfId="193" xr:uid="{00000000-0005-0000-0000-000000010000}"/>
    <cellStyle name="Porcentual 2" xfId="194" xr:uid="{00000000-0005-0000-0000-000001010000}"/>
    <cellStyle name="Porcentual 2 2" xfId="195" xr:uid="{00000000-0005-0000-0000-000002010000}"/>
    <cellStyle name="Porcentual 2 3" xfId="196" xr:uid="{00000000-0005-0000-0000-000003010000}"/>
    <cellStyle name="Porcentual 2 4" xfId="197" xr:uid="{00000000-0005-0000-0000-000004010000}"/>
    <cellStyle name="Porcentual 2 5" xfId="198" xr:uid="{00000000-0005-0000-0000-000005010000}"/>
    <cellStyle name="Porcentual 2 6" xfId="199" xr:uid="{00000000-0005-0000-0000-000006010000}"/>
    <cellStyle name="Porcentual 2 7" xfId="200" xr:uid="{00000000-0005-0000-0000-000007010000}"/>
    <cellStyle name="Porcentual 2 8" xfId="201" xr:uid="{00000000-0005-0000-0000-000008010000}"/>
    <cellStyle name="Porcentual 3" xfId="202" xr:uid="{00000000-0005-0000-0000-000009010000}"/>
    <cellStyle name="Porcentual 3 2" xfId="284" xr:uid="{00000000-0005-0000-0000-00000A010000}"/>
    <cellStyle name="Porcentual 4" xfId="203" xr:uid="{00000000-0005-0000-0000-00000B010000}"/>
    <cellStyle name="Porcentual 4 2" xfId="204" xr:uid="{00000000-0005-0000-0000-00000C010000}"/>
    <cellStyle name="Punto0" xfId="285" xr:uid="{00000000-0005-0000-0000-00000D010000}"/>
    <cellStyle name="Punto0 2" xfId="286" xr:uid="{00000000-0005-0000-0000-00000E010000}"/>
    <cellStyle name="Salida 2" xfId="205" xr:uid="{00000000-0005-0000-0000-00000F010000}"/>
    <cellStyle name="Salida 2 2" xfId="206" xr:uid="{00000000-0005-0000-0000-000010010000}"/>
    <cellStyle name="Salida 2 3" xfId="207" xr:uid="{00000000-0005-0000-0000-000011010000}"/>
    <cellStyle name="Salida 2 4" xfId="208" xr:uid="{00000000-0005-0000-0000-000012010000}"/>
    <cellStyle name="Salida 2 5" xfId="209" xr:uid="{00000000-0005-0000-0000-000013010000}"/>
    <cellStyle name="Salida 2 6" xfId="210" xr:uid="{00000000-0005-0000-0000-000014010000}"/>
    <cellStyle name="Salida 2 7" xfId="211" xr:uid="{00000000-0005-0000-0000-000015010000}"/>
    <cellStyle name="Salida 2 8" xfId="212" xr:uid="{00000000-0005-0000-0000-000016010000}"/>
    <cellStyle name="Salida 2 9" xfId="213" xr:uid="{00000000-0005-0000-0000-000017010000}"/>
    <cellStyle name="Texto de advertencia 2" xfId="214" xr:uid="{00000000-0005-0000-0000-000018010000}"/>
    <cellStyle name="Texto explicativo 2" xfId="215" xr:uid="{00000000-0005-0000-0000-000019010000}"/>
    <cellStyle name="Title" xfId="216" xr:uid="{00000000-0005-0000-0000-00001A010000}"/>
    <cellStyle name="Título 1 2" xfId="217" xr:uid="{00000000-0005-0000-0000-00001B010000}"/>
    <cellStyle name="Título 2 2" xfId="218" xr:uid="{00000000-0005-0000-0000-00001C010000}"/>
    <cellStyle name="Título 3 2" xfId="219" xr:uid="{00000000-0005-0000-0000-00001D010000}"/>
    <cellStyle name="Título 4" xfId="220" xr:uid="{00000000-0005-0000-0000-00001E010000}"/>
    <cellStyle name="Total 2" xfId="221" xr:uid="{00000000-0005-0000-0000-00001F010000}"/>
    <cellStyle name="Total 2 2" xfId="222" xr:uid="{00000000-0005-0000-0000-000020010000}"/>
    <cellStyle name="Total 2 3" xfId="223" xr:uid="{00000000-0005-0000-0000-000021010000}"/>
    <cellStyle name="Total 2 4" xfId="224" xr:uid="{00000000-0005-0000-0000-000022010000}"/>
    <cellStyle name="Total 2 5" xfId="225" xr:uid="{00000000-0005-0000-0000-000023010000}"/>
    <cellStyle name="Total 2 6" xfId="226" xr:uid="{00000000-0005-0000-0000-000024010000}"/>
    <cellStyle name="Total 2 7" xfId="227" xr:uid="{00000000-0005-0000-0000-000025010000}"/>
    <cellStyle name="Total 2 8" xfId="228" xr:uid="{00000000-0005-0000-0000-000026010000}"/>
    <cellStyle name="Total 2 9" xfId="229" xr:uid="{00000000-0005-0000-0000-000027010000}"/>
    <cellStyle name="Warning Text" xfId="230" xr:uid="{00000000-0005-0000-0000-000028010000}"/>
  </cellStyles>
  <dxfs count="7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0000"/>
        </patternFill>
      </fill>
    </dxf>
  </dxfs>
  <tableStyles count="0" defaultTableStyle="TableStyleMedium2" defaultPivotStyle="PivotStyleLight16"/>
  <colors>
    <mruColors>
      <color rgb="FF50F828"/>
      <color rgb="FF00FFFF"/>
      <color rgb="FFFF00FF"/>
      <color rgb="FF993366"/>
      <color rgb="FF990099"/>
      <color rgb="FF800080"/>
      <color rgb="FF660066"/>
      <color rgb="FFFF66FF"/>
      <color rgb="FFCC00CC"/>
      <color rgb="FF8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jp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139211</xdr:colOff>
      <xdr:row>1</xdr:row>
      <xdr:rowOff>146538</xdr:rowOff>
    </xdr:from>
    <xdr:ext cx="2791558" cy="520211"/>
    <xdr:pic>
      <xdr:nvPicPr>
        <xdr:cNvPr id="2" name="image4.png">
          <a:extLst>
            <a:ext uri="{FF2B5EF4-FFF2-40B4-BE49-F238E27FC236}">
              <a16:creationId xmlns:a16="http://schemas.microsoft.com/office/drawing/2014/main" id="{42CE6C26-8F49-4FB0-A7E5-BDF9074874D2}"/>
            </a:ext>
          </a:extLst>
        </xdr:cNvPr>
        <xdr:cNvPicPr preferRelativeResize="0"/>
      </xdr:nvPicPr>
      <xdr:blipFill>
        <a:blip xmlns:r="http://schemas.openxmlformats.org/officeDocument/2006/relationships" r:embed="rId1" cstate="print"/>
        <a:stretch>
          <a:fillRect/>
        </a:stretch>
      </xdr:blipFill>
      <xdr:spPr>
        <a:xfrm>
          <a:off x="263769" y="359019"/>
          <a:ext cx="2791558" cy="520211"/>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139211</xdr:colOff>
      <xdr:row>1</xdr:row>
      <xdr:rowOff>146538</xdr:rowOff>
    </xdr:from>
    <xdr:ext cx="2791558" cy="520211"/>
    <xdr:pic>
      <xdr:nvPicPr>
        <xdr:cNvPr id="5" name="image4.png">
          <a:extLst>
            <a:ext uri="{FF2B5EF4-FFF2-40B4-BE49-F238E27FC236}">
              <a16:creationId xmlns:a16="http://schemas.microsoft.com/office/drawing/2014/main" id="{7E6DD674-C8C5-4097-8FEF-86FF9DE213EF}"/>
            </a:ext>
          </a:extLst>
        </xdr:cNvPr>
        <xdr:cNvPicPr preferRelativeResize="0"/>
      </xdr:nvPicPr>
      <xdr:blipFill>
        <a:blip xmlns:r="http://schemas.openxmlformats.org/officeDocument/2006/relationships" r:embed="rId1" cstate="print"/>
        <a:stretch>
          <a:fillRect/>
        </a:stretch>
      </xdr:blipFill>
      <xdr:spPr>
        <a:xfrm>
          <a:off x="263036" y="356088"/>
          <a:ext cx="2791558" cy="520211"/>
        </a:xfrm>
        <a:prstGeom prst="rect">
          <a:avLst/>
        </a:prstGeom>
        <a:noFill/>
      </xdr:spPr>
    </xdr:pic>
    <xdr:clientData fLocksWithSheet="0"/>
  </xdr:oneCellAnchor>
  <xdr:twoCellAnchor editAs="oneCell">
    <xdr:from>
      <xdr:col>1</xdr:col>
      <xdr:colOff>552450</xdr:colOff>
      <xdr:row>16</xdr:row>
      <xdr:rowOff>190501</xdr:rowOff>
    </xdr:from>
    <xdr:to>
      <xdr:col>2</xdr:col>
      <xdr:colOff>1581150</xdr:colOff>
      <xdr:row>24</xdr:row>
      <xdr:rowOff>92495</xdr:rowOff>
    </xdr:to>
    <xdr:pic>
      <xdr:nvPicPr>
        <xdr:cNvPr id="8" name="Imagen 7">
          <a:extLst>
            <a:ext uri="{FF2B5EF4-FFF2-40B4-BE49-F238E27FC236}">
              <a16:creationId xmlns:a16="http://schemas.microsoft.com/office/drawing/2014/main" id="{3DF2E397-55B4-A539-10A6-0F98406E597E}"/>
            </a:ext>
          </a:extLst>
        </xdr:cNvPr>
        <xdr:cNvPicPr>
          <a:picLocks noChangeAspect="1"/>
        </xdr:cNvPicPr>
      </xdr:nvPicPr>
      <xdr:blipFill>
        <a:blip xmlns:r="http://schemas.openxmlformats.org/officeDocument/2006/relationships" r:embed="rId2"/>
        <a:stretch>
          <a:fillRect/>
        </a:stretch>
      </xdr:blipFill>
      <xdr:spPr>
        <a:xfrm>
          <a:off x="695325" y="5124451"/>
          <a:ext cx="1790700" cy="15783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139211</xdr:colOff>
      <xdr:row>1</xdr:row>
      <xdr:rowOff>146538</xdr:rowOff>
    </xdr:from>
    <xdr:ext cx="2791558" cy="520211"/>
    <xdr:pic>
      <xdr:nvPicPr>
        <xdr:cNvPr id="2" name="image4.png">
          <a:extLst>
            <a:ext uri="{FF2B5EF4-FFF2-40B4-BE49-F238E27FC236}">
              <a16:creationId xmlns:a16="http://schemas.microsoft.com/office/drawing/2014/main" id="{2ABF52C2-C9DB-4781-9DEE-84F38FD0C3E6}"/>
            </a:ext>
          </a:extLst>
        </xdr:cNvPr>
        <xdr:cNvPicPr preferRelativeResize="0"/>
      </xdr:nvPicPr>
      <xdr:blipFill>
        <a:blip xmlns:r="http://schemas.openxmlformats.org/officeDocument/2006/relationships" r:embed="rId1" cstate="print"/>
        <a:stretch>
          <a:fillRect/>
        </a:stretch>
      </xdr:blipFill>
      <xdr:spPr>
        <a:xfrm>
          <a:off x="320186" y="356088"/>
          <a:ext cx="2791558" cy="520211"/>
        </a:xfrm>
        <a:prstGeom prst="rect">
          <a:avLst/>
        </a:prstGeom>
        <a:noFill/>
      </xdr:spPr>
    </xdr:pic>
    <xdr:clientData fLocksWithSheet="0"/>
  </xdr:oneCellAnchor>
  <xdr:twoCellAnchor editAs="oneCell">
    <xdr:from>
      <xdr:col>12</xdr:col>
      <xdr:colOff>479533</xdr:colOff>
      <xdr:row>7</xdr:row>
      <xdr:rowOff>433108</xdr:rowOff>
    </xdr:from>
    <xdr:to>
      <xdr:col>17</xdr:col>
      <xdr:colOff>10086</xdr:colOff>
      <xdr:row>23</xdr:row>
      <xdr:rowOff>220225</xdr:rowOff>
    </xdr:to>
    <xdr:pic>
      <xdr:nvPicPr>
        <xdr:cNvPr id="3" name="Imagen 2">
          <a:extLst>
            <a:ext uri="{FF2B5EF4-FFF2-40B4-BE49-F238E27FC236}">
              <a16:creationId xmlns:a16="http://schemas.microsoft.com/office/drawing/2014/main" id="{F13E25EA-6EB1-4EB7-9AEB-A97877BDB806}"/>
            </a:ext>
          </a:extLst>
        </xdr:cNvPr>
        <xdr:cNvPicPr>
          <a:picLocks noChangeAspect="1"/>
        </xdr:cNvPicPr>
      </xdr:nvPicPr>
      <xdr:blipFill>
        <a:blip xmlns:r="http://schemas.openxmlformats.org/officeDocument/2006/relationships" r:embed="rId2"/>
        <a:stretch>
          <a:fillRect/>
        </a:stretch>
      </xdr:blipFill>
      <xdr:spPr>
        <a:xfrm>
          <a:off x="14195533" y="2192432"/>
          <a:ext cx="3811200" cy="1333528"/>
        </a:xfrm>
        <a:prstGeom prst="rect">
          <a:avLst/>
        </a:prstGeom>
      </xdr:spPr>
    </xdr:pic>
    <xdr:clientData/>
  </xdr:twoCellAnchor>
  <xdr:twoCellAnchor editAs="oneCell">
    <xdr:from>
      <xdr:col>1</xdr:col>
      <xdr:colOff>308162</xdr:colOff>
      <xdr:row>39</xdr:row>
      <xdr:rowOff>55229</xdr:rowOff>
    </xdr:from>
    <xdr:to>
      <xdr:col>6</xdr:col>
      <xdr:colOff>940087</xdr:colOff>
      <xdr:row>75</xdr:row>
      <xdr:rowOff>203242</xdr:rowOff>
    </xdr:to>
    <xdr:pic>
      <xdr:nvPicPr>
        <xdr:cNvPr id="5" name="Imagen 4">
          <a:extLst>
            <a:ext uri="{FF2B5EF4-FFF2-40B4-BE49-F238E27FC236}">
              <a16:creationId xmlns:a16="http://schemas.microsoft.com/office/drawing/2014/main" id="{6488BE03-AEBB-A3DD-DD93-88AD863CB7FD}"/>
            </a:ext>
          </a:extLst>
        </xdr:cNvPr>
        <xdr:cNvPicPr>
          <a:picLocks noChangeAspect="1"/>
        </xdr:cNvPicPr>
      </xdr:nvPicPr>
      <xdr:blipFill>
        <a:blip xmlns:r="http://schemas.openxmlformats.org/officeDocument/2006/relationships" r:embed="rId3"/>
        <a:stretch>
          <a:fillRect/>
        </a:stretch>
      </xdr:blipFill>
      <xdr:spPr>
        <a:xfrm>
          <a:off x="487456" y="6330523"/>
          <a:ext cx="7411484" cy="7812837"/>
        </a:xfrm>
        <a:prstGeom prst="rect">
          <a:avLst/>
        </a:prstGeom>
      </xdr:spPr>
    </xdr:pic>
    <xdr:clientData/>
  </xdr:twoCellAnchor>
  <xdr:twoCellAnchor editAs="oneCell">
    <xdr:from>
      <xdr:col>7</xdr:col>
      <xdr:colOff>830035</xdr:colOff>
      <xdr:row>38</xdr:row>
      <xdr:rowOff>12008</xdr:rowOff>
    </xdr:from>
    <xdr:to>
      <xdr:col>11</xdr:col>
      <xdr:colOff>741263</xdr:colOff>
      <xdr:row>47</xdr:row>
      <xdr:rowOff>32677</xdr:rowOff>
    </xdr:to>
    <xdr:pic>
      <xdr:nvPicPr>
        <xdr:cNvPr id="6" name="Imagen 5">
          <a:extLst>
            <a:ext uri="{FF2B5EF4-FFF2-40B4-BE49-F238E27FC236}">
              <a16:creationId xmlns:a16="http://schemas.microsoft.com/office/drawing/2014/main" id="{2AC8A064-7130-1035-D1D1-9B7E11907F13}"/>
            </a:ext>
          </a:extLst>
        </xdr:cNvPr>
        <xdr:cNvPicPr>
          <a:picLocks noChangeAspect="1"/>
        </xdr:cNvPicPr>
      </xdr:nvPicPr>
      <xdr:blipFill>
        <a:blip xmlns:r="http://schemas.openxmlformats.org/officeDocument/2006/relationships" r:embed="rId4"/>
        <a:stretch>
          <a:fillRect/>
        </a:stretch>
      </xdr:blipFill>
      <xdr:spPr>
        <a:xfrm>
          <a:off x="9144800" y="6074390"/>
          <a:ext cx="4550463" cy="19368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761999</xdr:colOff>
      <xdr:row>1</xdr:row>
      <xdr:rowOff>36632</xdr:rowOff>
    </xdr:from>
    <xdr:to>
      <xdr:col>11</xdr:col>
      <xdr:colOff>1016221</xdr:colOff>
      <xdr:row>5</xdr:row>
      <xdr:rowOff>168519</xdr:rowOff>
    </xdr:to>
    <xdr:pic>
      <xdr:nvPicPr>
        <xdr:cNvPr id="2" name="Imagen 1">
          <a:extLst>
            <a:ext uri="{FF2B5EF4-FFF2-40B4-BE49-F238E27FC236}">
              <a16:creationId xmlns:a16="http://schemas.microsoft.com/office/drawing/2014/main" id="{4F3F626E-2B57-44F1-B115-4A503114929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7865" b="13852"/>
        <a:stretch/>
      </xdr:blipFill>
      <xdr:spPr>
        <a:xfrm>
          <a:off x="12087224" y="255707"/>
          <a:ext cx="1882997" cy="14844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139211</xdr:colOff>
      <xdr:row>1</xdr:row>
      <xdr:rowOff>146538</xdr:rowOff>
    </xdr:from>
    <xdr:ext cx="2791558" cy="520211"/>
    <xdr:pic>
      <xdr:nvPicPr>
        <xdr:cNvPr id="2" name="image4.png">
          <a:extLst>
            <a:ext uri="{FF2B5EF4-FFF2-40B4-BE49-F238E27FC236}">
              <a16:creationId xmlns:a16="http://schemas.microsoft.com/office/drawing/2014/main" id="{C0364189-D172-4AB5-9109-D6A1BA9F484B}"/>
            </a:ext>
          </a:extLst>
        </xdr:cNvPr>
        <xdr:cNvPicPr preferRelativeResize="0"/>
      </xdr:nvPicPr>
      <xdr:blipFill>
        <a:blip xmlns:r="http://schemas.openxmlformats.org/officeDocument/2006/relationships" r:embed="rId1" cstate="print"/>
        <a:stretch>
          <a:fillRect/>
        </a:stretch>
      </xdr:blipFill>
      <xdr:spPr>
        <a:xfrm>
          <a:off x="320186" y="213213"/>
          <a:ext cx="2791558" cy="520211"/>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139211</xdr:colOff>
      <xdr:row>1</xdr:row>
      <xdr:rowOff>146538</xdr:rowOff>
    </xdr:from>
    <xdr:ext cx="2791558" cy="520211"/>
    <xdr:pic>
      <xdr:nvPicPr>
        <xdr:cNvPr id="2" name="image4.png">
          <a:extLst>
            <a:ext uri="{FF2B5EF4-FFF2-40B4-BE49-F238E27FC236}">
              <a16:creationId xmlns:a16="http://schemas.microsoft.com/office/drawing/2014/main" id="{346A86DC-2D1F-4A21-B8E8-3EAD01236B06}"/>
            </a:ext>
          </a:extLst>
        </xdr:cNvPr>
        <xdr:cNvPicPr preferRelativeResize="0"/>
      </xdr:nvPicPr>
      <xdr:blipFill>
        <a:blip xmlns:r="http://schemas.openxmlformats.org/officeDocument/2006/relationships" r:embed="rId1" cstate="print"/>
        <a:stretch>
          <a:fillRect/>
        </a:stretch>
      </xdr:blipFill>
      <xdr:spPr>
        <a:xfrm>
          <a:off x="320186" y="213213"/>
          <a:ext cx="2791558" cy="520211"/>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155777</xdr:colOff>
      <xdr:row>2</xdr:row>
      <xdr:rowOff>14016</xdr:rowOff>
    </xdr:from>
    <xdr:ext cx="1972855" cy="416679"/>
    <xdr:pic>
      <xdr:nvPicPr>
        <xdr:cNvPr id="2" name="image4.png">
          <a:extLst>
            <a:ext uri="{FF2B5EF4-FFF2-40B4-BE49-F238E27FC236}">
              <a16:creationId xmlns:a16="http://schemas.microsoft.com/office/drawing/2014/main" id="{9F89A6AE-6A1D-4151-B246-15E31D69C332}"/>
            </a:ext>
          </a:extLst>
        </xdr:cNvPr>
        <xdr:cNvPicPr preferRelativeResize="0"/>
      </xdr:nvPicPr>
      <xdr:blipFill>
        <a:blip xmlns:r="http://schemas.openxmlformats.org/officeDocument/2006/relationships" r:embed="rId1" cstate="print"/>
        <a:stretch>
          <a:fillRect/>
        </a:stretch>
      </xdr:blipFill>
      <xdr:spPr>
        <a:xfrm>
          <a:off x="336752" y="290241"/>
          <a:ext cx="1972855" cy="416679"/>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155777</xdr:colOff>
      <xdr:row>2</xdr:row>
      <xdr:rowOff>14016</xdr:rowOff>
    </xdr:from>
    <xdr:ext cx="1972855" cy="416679"/>
    <xdr:pic>
      <xdr:nvPicPr>
        <xdr:cNvPr id="2" name="image4.png">
          <a:extLst>
            <a:ext uri="{FF2B5EF4-FFF2-40B4-BE49-F238E27FC236}">
              <a16:creationId xmlns:a16="http://schemas.microsoft.com/office/drawing/2014/main" id="{D55E126B-8FFF-4AE0-9225-5422004A109C}"/>
            </a:ext>
          </a:extLst>
        </xdr:cNvPr>
        <xdr:cNvPicPr preferRelativeResize="0"/>
      </xdr:nvPicPr>
      <xdr:blipFill>
        <a:blip xmlns:r="http://schemas.openxmlformats.org/officeDocument/2006/relationships" r:embed="rId1" cstate="print"/>
        <a:stretch>
          <a:fillRect/>
        </a:stretch>
      </xdr:blipFill>
      <xdr:spPr>
        <a:xfrm>
          <a:off x="337994" y="287342"/>
          <a:ext cx="1972855" cy="416679"/>
        </a:xfrm>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xdr:col>
      <xdr:colOff>155777</xdr:colOff>
      <xdr:row>2</xdr:row>
      <xdr:rowOff>14016</xdr:rowOff>
    </xdr:from>
    <xdr:ext cx="1972855" cy="416679"/>
    <xdr:pic>
      <xdr:nvPicPr>
        <xdr:cNvPr id="2" name="image4.png">
          <a:extLst>
            <a:ext uri="{FF2B5EF4-FFF2-40B4-BE49-F238E27FC236}">
              <a16:creationId xmlns:a16="http://schemas.microsoft.com/office/drawing/2014/main" id="{1610C56A-F1A5-4A5D-B17C-FFD4B2AD3DB2}"/>
            </a:ext>
          </a:extLst>
        </xdr:cNvPr>
        <xdr:cNvPicPr preferRelativeResize="0"/>
      </xdr:nvPicPr>
      <xdr:blipFill>
        <a:blip xmlns:r="http://schemas.openxmlformats.org/officeDocument/2006/relationships" r:embed="rId1" cstate="print"/>
        <a:stretch>
          <a:fillRect/>
        </a:stretch>
      </xdr:blipFill>
      <xdr:spPr>
        <a:xfrm>
          <a:off x="336752" y="290241"/>
          <a:ext cx="1972855" cy="416679"/>
        </a:xfrm>
        <a:prstGeom prst="rect">
          <a:avLst/>
        </a:prstGeom>
        <a:noFill/>
      </xdr:spPr>
    </xdr:pic>
    <xdr:clientData fLocksWithSheet="0"/>
  </xdr:oneCellAnchor>
  <xdr:twoCellAnchor editAs="oneCell">
    <xdr:from>
      <xdr:col>10</xdr:col>
      <xdr:colOff>265043</xdr:colOff>
      <xdr:row>2</xdr:row>
      <xdr:rowOff>115957</xdr:rowOff>
    </xdr:from>
    <xdr:to>
      <xdr:col>19</xdr:col>
      <xdr:colOff>131202</xdr:colOff>
      <xdr:row>7</xdr:row>
      <xdr:rowOff>341044</xdr:rowOff>
    </xdr:to>
    <xdr:pic>
      <xdr:nvPicPr>
        <xdr:cNvPr id="3" name="Imagen 2">
          <a:extLst>
            <a:ext uri="{FF2B5EF4-FFF2-40B4-BE49-F238E27FC236}">
              <a16:creationId xmlns:a16="http://schemas.microsoft.com/office/drawing/2014/main" id="{0AB19591-C9ED-4096-8D97-FA738FB0D990}"/>
            </a:ext>
          </a:extLst>
        </xdr:cNvPr>
        <xdr:cNvPicPr>
          <a:picLocks noChangeAspect="1"/>
        </xdr:cNvPicPr>
      </xdr:nvPicPr>
      <xdr:blipFill>
        <a:blip xmlns:r="http://schemas.openxmlformats.org/officeDocument/2006/relationships" r:embed="rId2"/>
        <a:stretch>
          <a:fillRect/>
        </a:stretch>
      </xdr:blipFill>
      <xdr:spPr>
        <a:xfrm>
          <a:off x="7951304" y="389283"/>
          <a:ext cx="5382376" cy="153373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1</xdr:col>
      <xdr:colOff>155777</xdr:colOff>
      <xdr:row>2</xdr:row>
      <xdr:rowOff>14016</xdr:rowOff>
    </xdr:from>
    <xdr:ext cx="1972855" cy="416679"/>
    <xdr:pic>
      <xdr:nvPicPr>
        <xdr:cNvPr id="2" name="image4.png">
          <a:extLst>
            <a:ext uri="{FF2B5EF4-FFF2-40B4-BE49-F238E27FC236}">
              <a16:creationId xmlns:a16="http://schemas.microsoft.com/office/drawing/2014/main" id="{B6C09671-2747-4830-BD0C-53EFFE06934E}"/>
            </a:ext>
          </a:extLst>
        </xdr:cNvPr>
        <xdr:cNvPicPr preferRelativeResize="0"/>
      </xdr:nvPicPr>
      <xdr:blipFill>
        <a:blip xmlns:r="http://schemas.openxmlformats.org/officeDocument/2006/relationships" r:embed="rId1" cstate="print"/>
        <a:stretch>
          <a:fillRect/>
        </a:stretch>
      </xdr:blipFill>
      <xdr:spPr>
        <a:xfrm>
          <a:off x="336752" y="290241"/>
          <a:ext cx="1972855" cy="416679"/>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1</xdr:col>
      <xdr:colOff>155777</xdr:colOff>
      <xdr:row>2</xdr:row>
      <xdr:rowOff>14016</xdr:rowOff>
    </xdr:from>
    <xdr:ext cx="1972855" cy="416679"/>
    <xdr:pic>
      <xdr:nvPicPr>
        <xdr:cNvPr id="2" name="image4.png">
          <a:extLst>
            <a:ext uri="{FF2B5EF4-FFF2-40B4-BE49-F238E27FC236}">
              <a16:creationId xmlns:a16="http://schemas.microsoft.com/office/drawing/2014/main" id="{761F55A4-9B72-40E0-AB08-15B134E192AF}"/>
            </a:ext>
          </a:extLst>
        </xdr:cNvPr>
        <xdr:cNvPicPr preferRelativeResize="0"/>
      </xdr:nvPicPr>
      <xdr:blipFill>
        <a:blip xmlns:r="http://schemas.openxmlformats.org/officeDocument/2006/relationships" r:embed="rId1" cstate="print"/>
        <a:stretch>
          <a:fillRect/>
        </a:stretch>
      </xdr:blipFill>
      <xdr:spPr>
        <a:xfrm>
          <a:off x="336752" y="290241"/>
          <a:ext cx="1972855" cy="416679"/>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1</xdr:col>
      <xdr:colOff>155777</xdr:colOff>
      <xdr:row>2</xdr:row>
      <xdr:rowOff>14016</xdr:rowOff>
    </xdr:from>
    <xdr:ext cx="1972855" cy="416679"/>
    <xdr:pic>
      <xdr:nvPicPr>
        <xdr:cNvPr id="2" name="image4.png">
          <a:extLst>
            <a:ext uri="{FF2B5EF4-FFF2-40B4-BE49-F238E27FC236}">
              <a16:creationId xmlns:a16="http://schemas.microsoft.com/office/drawing/2014/main" id="{03C1816B-22D2-42C3-8E70-E7209B8724D0}"/>
            </a:ext>
          </a:extLst>
        </xdr:cNvPr>
        <xdr:cNvPicPr preferRelativeResize="0"/>
      </xdr:nvPicPr>
      <xdr:blipFill>
        <a:blip xmlns:r="http://schemas.openxmlformats.org/officeDocument/2006/relationships" r:embed="rId1" cstate="print"/>
        <a:stretch>
          <a:fillRect/>
        </a:stretch>
      </xdr:blipFill>
      <xdr:spPr>
        <a:xfrm>
          <a:off x="336752" y="290241"/>
          <a:ext cx="1972855" cy="416679"/>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jose_quinche_aerocivil_gov_co/Documents/1.%20DIRE-INFRA%200/1.%20PROCESOS/6.%20IBAGUE%20-%20PERALES/2.%20ESTRUCTURACION/4.4%20VERSION%20F/3.%20FORMATO%201%20-%20PRESUPUESTO%20VF%20-%20AV%20IBA%20VER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 Corientizado"/>
      <sheetName val="PPTO IBAGUE Corrientizado"/>
      <sheetName val="CRON. OFI"/>
      <sheetName val="PPTO IBAGUE OFICIAL 2024"/>
      <sheetName val="CALCULO CCR"/>
    </sheetNames>
    <sheetDataSet>
      <sheetData sheetId="0"/>
      <sheetData sheetId="1"/>
      <sheetData sheetId="2"/>
      <sheetData sheetId="3"/>
      <sheetData sheetId="4">
        <row r="6">
          <cell r="Q6">
            <v>2</v>
          </cell>
        </row>
        <row r="7">
          <cell r="Q7">
            <v>2</v>
          </cell>
        </row>
        <row r="8">
          <cell r="Q8">
            <v>2</v>
          </cell>
        </row>
        <row r="9">
          <cell r="Q9">
            <v>2</v>
          </cell>
        </row>
        <row r="10">
          <cell r="Q10">
            <v>1</v>
          </cell>
        </row>
        <row r="11">
          <cell r="E11">
            <v>340</v>
          </cell>
          <cell r="K11">
            <v>63333</v>
          </cell>
          <cell r="M11">
            <v>719.33</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A64C5-6BB1-49D9-81CE-9797ACDCA3B3}">
  <dimension ref="A1:AK46"/>
  <sheetViews>
    <sheetView tabSelected="1" zoomScale="80" zoomScaleNormal="80" workbookViewId="0">
      <selection activeCell="H29" sqref="H29"/>
    </sheetView>
  </sheetViews>
  <sheetFormatPr baseColWidth="10" defaultColWidth="9.140625" defaultRowHeight="16.5"/>
  <cols>
    <col min="1" max="1" width="2.7109375" style="1" customWidth="1"/>
    <col min="2" max="2" width="4.140625" style="1" bestFit="1" customWidth="1"/>
    <col min="3" max="3" width="33" style="1" customWidth="1"/>
    <col min="4" max="4" width="13.7109375" style="1" hidden="1" customWidth="1"/>
    <col min="5" max="5" width="14.42578125" style="1" hidden="1" customWidth="1"/>
    <col min="6" max="6" width="19.7109375" style="1" customWidth="1"/>
    <col min="7" max="7" width="18.42578125" style="1" customWidth="1"/>
    <col min="8" max="8" width="17.85546875" style="1" customWidth="1"/>
    <col min="9" max="10" width="19.7109375" style="1" customWidth="1"/>
    <col min="11" max="11" width="18" style="1" customWidth="1"/>
    <col min="12" max="12" width="13.42578125" style="1" hidden="1" customWidth="1"/>
    <col min="13" max="13" width="13.28515625" style="1" hidden="1" customWidth="1"/>
    <col min="14" max="14" width="14.28515625" style="1" hidden="1" customWidth="1"/>
    <col min="15" max="15" width="16.42578125" style="1" hidden="1" customWidth="1"/>
    <col min="16" max="16" width="18" style="1" hidden="1" customWidth="1"/>
    <col min="17" max="17" width="12.85546875" style="1" hidden="1" customWidth="1"/>
    <col min="18" max="18" width="20.28515625" style="1" customWidth="1"/>
    <col min="19" max="19" width="9.28515625" style="1" customWidth="1"/>
    <col min="20" max="16384" width="9.140625" style="1"/>
  </cols>
  <sheetData>
    <row r="1" spans="1:37" ht="5.25" customHeight="1">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row>
    <row r="2" spans="1:37">
      <c r="A2" s="7"/>
      <c r="B2" s="187" t="s">
        <v>104</v>
      </c>
      <c r="C2" s="188"/>
      <c r="D2" s="188"/>
      <c r="E2" s="188"/>
      <c r="F2" s="188"/>
      <c r="G2" s="188"/>
      <c r="H2" s="188"/>
      <c r="I2" s="188"/>
      <c r="J2" s="188"/>
      <c r="K2" s="188"/>
      <c r="L2" s="188"/>
      <c r="M2" s="188"/>
      <c r="N2" s="188"/>
      <c r="O2" s="188"/>
      <c r="P2" s="188"/>
      <c r="Q2" s="188"/>
      <c r="R2" s="188"/>
      <c r="S2" s="188"/>
      <c r="T2" s="7"/>
      <c r="U2" s="7"/>
      <c r="V2" s="7"/>
      <c r="W2" s="7"/>
      <c r="X2" s="7"/>
      <c r="Y2" s="7"/>
      <c r="Z2" s="7"/>
      <c r="AA2" s="7"/>
      <c r="AB2" s="7"/>
      <c r="AC2" s="7"/>
      <c r="AD2" s="7"/>
      <c r="AE2" s="7"/>
      <c r="AF2" s="7"/>
      <c r="AG2" s="7"/>
      <c r="AH2" s="7"/>
      <c r="AI2" s="7"/>
      <c r="AJ2" s="7"/>
      <c r="AK2" s="7"/>
    </row>
    <row r="3" spans="1:37">
      <c r="A3" s="7"/>
      <c r="B3" s="188"/>
      <c r="C3" s="188"/>
      <c r="D3" s="188"/>
      <c r="E3" s="188"/>
      <c r="F3" s="188"/>
      <c r="G3" s="188"/>
      <c r="H3" s="188"/>
      <c r="I3" s="188"/>
      <c r="J3" s="188"/>
      <c r="K3" s="188"/>
      <c r="L3" s="188"/>
      <c r="M3" s="188"/>
      <c r="N3" s="188"/>
      <c r="O3" s="188"/>
      <c r="P3" s="188"/>
      <c r="Q3" s="188"/>
      <c r="R3" s="188"/>
      <c r="S3" s="188"/>
      <c r="T3" s="7"/>
      <c r="U3" s="7"/>
      <c r="V3" s="7"/>
      <c r="W3" s="7"/>
      <c r="X3" s="7"/>
      <c r="Y3" s="7"/>
      <c r="Z3" s="7"/>
      <c r="AA3" s="7"/>
      <c r="AB3" s="7"/>
      <c r="AC3" s="7"/>
      <c r="AD3" s="7"/>
      <c r="AE3" s="7"/>
      <c r="AF3" s="7"/>
      <c r="AG3" s="7"/>
      <c r="AH3" s="7"/>
      <c r="AI3" s="7"/>
      <c r="AJ3" s="7"/>
      <c r="AK3" s="7"/>
    </row>
    <row r="4" spans="1:37">
      <c r="A4" s="7"/>
      <c r="B4" s="188"/>
      <c r="C4" s="188"/>
      <c r="D4" s="188"/>
      <c r="E4" s="188"/>
      <c r="F4" s="188"/>
      <c r="G4" s="188"/>
      <c r="H4" s="188"/>
      <c r="I4" s="188"/>
      <c r="J4" s="188"/>
      <c r="K4" s="188"/>
      <c r="L4" s="188"/>
      <c r="M4" s="188"/>
      <c r="N4" s="188"/>
      <c r="O4" s="188"/>
      <c r="P4" s="188"/>
      <c r="Q4" s="188"/>
      <c r="R4" s="188"/>
      <c r="S4" s="188"/>
      <c r="T4" s="7"/>
      <c r="U4" s="7"/>
      <c r="V4" s="7"/>
      <c r="W4" s="7"/>
      <c r="X4" s="7"/>
      <c r="Y4" s="7"/>
      <c r="Z4" s="7"/>
      <c r="AA4" s="7"/>
      <c r="AB4" s="7"/>
      <c r="AC4" s="7"/>
      <c r="AD4" s="7"/>
      <c r="AE4" s="7"/>
      <c r="AF4" s="7"/>
      <c r="AG4" s="7"/>
      <c r="AH4" s="7"/>
      <c r="AI4" s="7"/>
      <c r="AJ4" s="7"/>
      <c r="AK4" s="7"/>
    </row>
    <row r="5" spans="1:37">
      <c r="A5" s="7"/>
      <c r="B5" s="188"/>
      <c r="C5" s="188"/>
      <c r="D5" s="188"/>
      <c r="E5" s="188"/>
      <c r="F5" s="188"/>
      <c r="G5" s="188"/>
      <c r="H5" s="188"/>
      <c r="I5" s="188"/>
      <c r="J5" s="188"/>
      <c r="K5" s="188"/>
      <c r="L5" s="188"/>
      <c r="M5" s="188"/>
      <c r="N5" s="188"/>
      <c r="O5" s="188"/>
      <c r="P5" s="188"/>
      <c r="Q5" s="188"/>
      <c r="R5" s="188"/>
      <c r="S5" s="188"/>
      <c r="T5" s="7"/>
      <c r="U5" s="7"/>
      <c r="V5" s="7"/>
      <c r="W5" s="7"/>
      <c r="X5" s="7"/>
      <c r="Y5" s="7"/>
      <c r="Z5" s="7"/>
      <c r="AA5" s="7"/>
      <c r="AB5" s="7"/>
      <c r="AC5" s="7"/>
      <c r="AD5" s="7"/>
      <c r="AE5" s="7"/>
      <c r="AF5" s="7"/>
      <c r="AG5" s="7"/>
      <c r="AH5" s="7"/>
      <c r="AI5" s="7"/>
      <c r="AJ5" s="7"/>
      <c r="AK5" s="7"/>
    </row>
    <row r="6" spans="1:37" ht="37.5" customHeight="1">
      <c r="A6" s="7"/>
      <c r="B6" s="187" t="s">
        <v>162</v>
      </c>
      <c r="C6" s="188"/>
      <c r="D6" s="188"/>
      <c r="E6" s="188"/>
      <c r="F6" s="188"/>
      <c r="G6" s="188"/>
      <c r="H6" s="188"/>
      <c r="I6" s="188"/>
      <c r="J6" s="188"/>
      <c r="K6" s="188"/>
      <c r="L6" s="188"/>
      <c r="M6" s="188"/>
      <c r="N6" s="188"/>
      <c r="O6" s="188"/>
      <c r="P6" s="188"/>
      <c r="Q6" s="188"/>
      <c r="R6" s="188"/>
      <c r="S6" s="188"/>
      <c r="T6" s="7"/>
      <c r="U6" s="7"/>
      <c r="V6" s="7"/>
      <c r="W6" s="7"/>
      <c r="X6" s="7"/>
      <c r="Y6" s="7"/>
      <c r="Z6" s="7"/>
      <c r="AA6" s="7"/>
      <c r="AB6" s="7"/>
      <c r="AC6" s="7"/>
      <c r="AD6" s="7"/>
      <c r="AE6" s="7"/>
      <c r="AF6" s="7"/>
      <c r="AG6" s="7"/>
      <c r="AH6" s="7"/>
      <c r="AI6" s="7"/>
      <c r="AJ6" s="7"/>
      <c r="AK6" s="7"/>
    </row>
    <row r="7" spans="1:37">
      <c r="A7" s="7"/>
      <c r="B7" s="187" t="s">
        <v>163</v>
      </c>
      <c r="C7" s="187"/>
      <c r="D7" s="187"/>
      <c r="E7" s="187"/>
      <c r="F7" s="187"/>
      <c r="G7" s="187"/>
      <c r="H7" s="187"/>
      <c r="I7" s="187"/>
      <c r="J7" s="187"/>
      <c r="K7" s="187"/>
      <c r="L7" s="187"/>
      <c r="M7" s="187"/>
      <c r="N7" s="187"/>
      <c r="O7" s="187"/>
      <c r="P7" s="187"/>
      <c r="Q7" s="187"/>
      <c r="R7" s="187"/>
      <c r="S7" s="187"/>
      <c r="T7" s="7"/>
      <c r="U7" s="7"/>
      <c r="V7" s="7"/>
      <c r="W7" s="7"/>
      <c r="X7" s="7"/>
      <c r="Y7" s="7"/>
      <c r="Z7" s="7"/>
      <c r="AA7" s="7"/>
      <c r="AB7" s="7"/>
      <c r="AC7" s="7"/>
      <c r="AD7" s="7"/>
      <c r="AE7" s="7"/>
      <c r="AF7" s="7"/>
      <c r="AG7" s="7"/>
      <c r="AH7" s="7"/>
      <c r="AI7" s="7"/>
      <c r="AJ7" s="7"/>
      <c r="AK7" s="7"/>
    </row>
    <row r="8" spans="1:37" ht="37.5" customHeight="1">
      <c r="A8" s="7"/>
      <c r="B8" s="189" t="s">
        <v>273</v>
      </c>
      <c r="C8" s="189"/>
      <c r="D8" s="189"/>
      <c r="E8" s="189"/>
      <c r="F8" s="189"/>
      <c r="G8" s="189"/>
      <c r="H8" s="189"/>
      <c r="I8" s="189"/>
      <c r="J8" s="189"/>
      <c r="K8" s="189"/>
      <c r="L8" s="189"/>
      <c r="M8" s="189"/>
      <c r="N8" s="189"/>
      <c r="O8" s="189"/>
      <c r="P8" s="189"/>
      <c r="Q8" s="189"/>
      <c r="R8" s="189"/>
      <c r="S8" s="189"/>
      <c r="T8" s="7"/>
      <c r="U8" s="7"/>
      <c r="V8" s="7"/>
      <c r="W8" s="7"/>
      <c r="X8" s="7"/>
      <c r="Y8" s="7"/>
      <c r="Z8" s="7"/>
      <c r="AA8" s="7"/>
      <c r="AB8" s="7"/>
      <c r="AC8" s="7"/>
      <c r="AD8" s="7"/>
      <c r="AE8" s="7"/>
      <c r="AF8" s="7"/>
      <c r="AG8" s="7"/>
      <c r="AH8" s="7"/>
      <c r="AI8" s="7"/>
      <c r="AJ8" s="7"/>
      <c r="AK8" s="7"/>
    </row>
    <row r="9" spans="1:37">
      <c r="A9" s="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row>
    <row r="10" spans="1:37" ht="81" customHeight="1">
      <c r="A10" s="7"/>
      <c r="B10" s="50" t="s">
        <v>1</v>
      </c>
      <c r="C10" s="50" t="s">
        <v>2</v>
      </c>
      <c r="D10" s="51" t="s">
        <v>3</v>
      </c>
      <c r="E10" s="51" t="s">
        <v>4</v>
      </c>
      <c r="F10" s="51" t="s">
        <v>257</v>
      </c>
      <c r="G10" s="51" t="s">
        <v>274</v>
      </c>
      <c r="H10" s="51" t="s">
        <v>251</v>
      </c>
      <c r="I10" s="51" t="s">
        <v>253</v>
      </c>
      <c r="J10" s="51" t="s">
        <v>275</v>
      </c>
      <c r="K10" s="51" t="s">
        <v>133</v>
      </c>
      <c r="L10" s="51" t="s">
        <v>142</v>
      </c>
      <c r="M10" s="51" t="s">
        <v>5</v>
      </c>
      <c r="N10" s="51" t="s">
        <v>144</v>
      </c>
      <c r="O10" s="51" t="s">
        <v>146</v>
      </c>
      <c r="P10" s="51" t="s">
        <v>150</v>
      </c>
      <c r="Q10" s="51" t="s">
        <v>6</v>
      </c>
      <c r="R10" s="192" t="s">
        <v>0</v>
      </c>
      <c r="S10" s="193"/>
      <c r="T10" s="7"/>
      <c r="U10" s="7"/>
      <c r="V10" s="7"/>
      <c r="W10" s="7"/>
      <c r="X10" s="7"/>
      <c r="Y10" s="7"/>
      <c r="Z10" s="7"/>
      <c r="AA10" s="7"/>
      <c r="AB10" s="7"/>
      <c r="AC10" s="7"/>
      <c r="AD10" s="7"/>
      <c r="AE10" s="7"/>
      <c r="AF10" s="7"/>
      <c r="AG10" s="7"/>
      <c r="AH10" s="7"/>
      <c r="AI10" s="7"/>
      <c r="AJ10" s="7"/>
      <c r="AK10" s="7"/>
    </row>
    <row r="11" spans="1:37">
      <c r="A11" s="7"/>
      <c r="B11" s="66">
        <v>1</v>
      </c>
      <c r="C11" s="30" t="s">
        <v>161</v>
      </c>
      <c r="D11" s="28" t="str">
        <f>'1'!$O$22</f>
        <v>CUMPLE</v>
      </c>
      <c r="E11" s="28" t="str">
        <f>'1'!$O$32</f>
        <v>CUMPLE</v>
      </c>
      <c r="F11" s="156" t="str">
        <f>'1'!$O$34</f>
        <v>CUMPLE</v>
      </c>
      <c r="G11" s="336" t="str">
        <f>'1'!$O$36</f>
        <v>CUMPLE</v>
      </c>
      <c r="H11" s="336" t="str">
        <f>'1'!$O$38</f>
        <v>CUMPLE</v>
      </c>
      <c r="I11" s="336" t="str">
        <f>'1'!$O$40</f>
        <v>CUMPLE</v>
      </c>
      <c r="J11" s="336" t="str">
        <f>'1'!$O$42</f>
        <v>CUMPLE</v>
      </c>
      <c r="K11" s="336" t="str">
        <f>'1'!$O$44</f>
        <v>CUMPLE</v>
      </c>
      <c r="L11" s="79" t="str">
        <f>'1'!$O$47</f>
        <v>CUMPLE</v>
      </c>
      <c r="M11" s="79" t="str">
        <f>'1'!$M$49</f>
        <v>CUMPLE</v>
      </c>
      <c r="N11" s="79" t="str">
        <f>'1'!$M$52</f>
        <v>CUMPLE</v>
      </c>
      <c r="O11" s="28" t="str">
        <f>'1'!$M$60</f>
        <v>CUMPLE</v>
      </c>
      <c r="P11" s="28" t="str">
        <f>'1'!$M$64</f>
        <v>CUMPLE</v>
      </c>
      <c r="Q11" s="28" t="str">
        <f>'1'!$M$67</f>
        <v>CUMPLE</v>
      </c>
      <c r="R11" s="337"/>
      <c r="S11" s="338"/>
      <c r="T11" s="7"/>
      <c r="U11" s="7"/>
      <c r="V11" s="7"/>
      <c r="W11" s="7"/>
      <c r="X11" s="7"/>
      <c r="Y11" s="7"/>
      <c r="Z11" s="7"/>
      <c r="AA11" s="7"/>
      <c r="AB11" s="7"/>
      <c r="AC11" s="7"/>
      <c r="AD11" s="7"/>
      <c r="AE11" s="7"/>
      <c r="AF11" s="7"/>
      <c r="AG11" s="7"/>
      <c r="AH11" s="7"/>
      <c r="AI11" s="7"/>
      <c r="AJ11" s="7"/>
      <c r="AK11" s="7"/>
    </row>
    <row r="12" spans="1:37">
      <c r="A12" s="7"/>
      <c r="B12" s="67">
        <v>2</v>
      </c>
      <c r="C12" s="31" t="s">
        <v>49</v>
      </c>
      <c r="D12" s="156" t="str">
        <f>'2'!$O$22</f>
        <v>CUMPLE</v>
      </c>
      <c r="E12" s="156" t="str">
        <f>'2'!$O$32</f>
        <v>CUMPLE</v>
      </c>
      <c r="F12" s="156" t="str">
        <f>'2'!$O$34</f>
        <v>CUMPLE</v>
      </c>
      <c r="G12" s="156" t="str">
        <f>'2'!$O$36</f>
        <v>CUMPLE</v>
      </c>
      <c r="H12" s="156" t="str">
        <f>'2'!$O$38</f>
        <v>CUMPLE</v>
      </c>
      <c r="I12" s="156" t="str">
        <f>'2'!$O$40</f>
        <v>CUMPLE</v>
      </c>
      <c r="J12" s="156" t="str">
        <f>'2'!$O$42</f>
        <v>CUMPLE</v>
      </c>
      <c r="K12" s="156" t="str">
        <f>'2'!$O$44</f>
        <v>CUMPLE</v>
      </c>
      <c r="L12" s="156" t="str">
        <f>'2'!$O$47</f>
        <v>CUMPLE</v>
      </c>
      <c r="M12" s="156" t="str">
        <f>'2'!$M$49</f>
        <v>CUMPLE</v>
      </c>
      <c r="N12" s="156" t="str">
        <f>'2'!$M$52</f>
        <v>CUMPLE</v>
      </c>
      <c r="O12" s="156" t="str">
        <f>'2'!$M$60</f>
        <v>CUMPLE</v>
      </c>
      <c r="P12" s="156" t="str">
        <f>'2'!$M$64</f>
        <v>CUMPLE</v>
      </c>
      <c r="Q12" s="156" t="str">
        <f>'2'!$M$67</f>
        <v>CUMPLE</v>
      </c>
      <c r="R12" s="190"/>
      <c r="S12" s="191"/>
      <c r="T12" s="7"/>
      <c r="U12" s="7"/>
      <c r="V12" s="7"/>
      <c r="W12" s="7"/>
      <c r="X12" s="7"/>
      <c r="Y12" s="7"/>
      <c r="Z12" s="7"/>
      <c r="AA12" s="7"/>
      <c r="AB12" s="7"/>
      <c r="AC12" s="7"/>
      <c r="AD12" s="7"/>
      <c r="AE12" s="7"/>
      <c r="AF12" s="7"/>
      <c r="AG12" s="7"/>
      <c r="AH12" s="7"/>
      <c r="AI12" s="7"/>
      <c r="AJ12" s="7"/>
      <c r="AK12" s="7"/>
    </row>
    <row r="13" spans="1:37">
      <c r="A13" s="7"/>
      <c r="B13" s="66">
        <v>3</v>
      </c>
      <c r="C13" s="30" t="s">
        <v>276</v>
      </c>
      <c r="D13" s="156" t="str">
        <f>'3'!$O$22</f>
        <v>CUMPLE</v>
      </c>
      <c r="E13" s="156" t="str">
        <f>'3'!$O$32</f>
        <v>CUMPLE</v>
      </c>
      <c r="F13" s="156" t="str">
        <f>'3'!$O$34</f>
        <v>CUMPLE</v>
      </c>
      <c r="G13" s="156" t="str">
        <f>'3'!$O$36</f>
        <v>CUMPLE</v>
      </c>
      <c r="H13" s="156" t="str">
        <f>'3'!$O$38</f>
        <v>CUMPLE</v>
      </c>
      <c r="I13" s="156" t="str">
        <f>'3'!$O$40</f>
        <v>CUMPLE</v>
      </c>
      <c r="J13" s="156" t="str">
        <f>'3'!$O$42</f>
        <v>CUMPLE</v>
      </c>
      <c r="K13" s="156" t="str">
        <f>'3'!$O$44</f>
        <v>CUMPLE</v>
      </c>
      <c r="L13" s="156" t="str">
        <f>'3'!$O$47</f>
        <v>CUMPLE</v>
      </c>
      <c r="M13" s="156" t="str">
        <f>'3'!$M$49</f>
        <v>CUMPLE</v>
      </c>
      <c r="N13" s="156" t="str">
        <f>'3'!$M$52</f>
        <v>CUMPLE</v>
      </c>
      <c r="O13" s="156" t="str">
        <f>'3'!$M$60</f>
        <v>CUMPLE</v>
      </c>
      <c r="P13" s="156" t="str">
        <f>'3'!$M$64</f>
        <v>CUMPLE</v>
      </c>
      <c r="Q13" s="156" t="str">
        <f>'3'!$M$67</f>
        <v>CUMPLE</v>
      </c>
      <c r="R13" s="190"/>
      <c r="S13" s="191"/>
      <c r="T13" s="7"/>
      <c r="U13" s="7"/>
      <c r="V13" s="7"/>
      <c r="W13" s="7"/>
      <c r="X13" s="7"/>
      <c r="Y13" s="7"/>
      <c r="Z13" s="7"/>
      <c r="AA13" s="7"/>
      <c r="AB13" s="7"/>
      <c r="AC13" s="7"/>
      <c r="AD13" s="7"/>
      <c r="AE13" s="7"/>
      <c r="AF13" s="7"/>
      <c r="AG13" s="7"/>
      <c r="AH13" s="7"/>
      <c r="AI13" s="7"/>
      <c r="AJ13" s="7"/>
      <c r="AK13" s="7"/>
    </row>
    <row r="14" spans="1:37">
      <c r="A14" s="7"/>
      <c r="B14" s="7"/>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ht="49.5">
      <c r="A15" s="7"/>
      <c r="B15" s="50" t="s">
        <v>1</v>
      </c>
      <c r="C15" s="50" t="s">
        <v>2</v>
      </c>
      <c r="D15" s="51" t="s">
        <v>5</v>
      </c>
      <c r="E15" s="51" t="s">
        <v>144</v>
      </c>
      <c r="F15" s="51" t="s">
        <v>146</v>
      </c>
      <c r="G15" s="51" t="s">
        <v>150</v>
      </c>
      <c r="H15" s="51" t="s">
        <v>6</v>
      </c>
      <c r="I15" s="52" t="s">
        <v>11</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c r="A16" s="7"/>
      <c r="B16" s="66">
        <v>1</v>
      </c>
      <c r="C16" s="30" t="str">
        <f>C11</f>
        <v>SKYTECH</v>
      </c>
      <c r="D16" s="79">
        <f>'1'!$O$49</f>
        <v>18.5</v>
      </c>
      <c r="E16" s="79">
        <f>'1'!$M$53</f>
        <v>10</v>
      </c>
      <c r="F16" s="79">
        <f>'1'!$M$61</f>
        <v>1</v>
      </c>
      <c r="G16" s="79">
        <f>'1'!$O$64</f>
        <v>0.25</v>
      </c>
      <c r="H16" s="79">
        <f>'1'!$O$67</f>
        <v>0.25</v>
      </c>
      <c r="I16" s="79">
        <f>D16+E16+F16+G16+H16</f>
        <v>30</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c r="A17" s="7"/>
      <c r="B17" s="67">
        <v>2</v>
      </c>
      <c r="C17" s="31" t="str">
        <f>C12</f>
        <v>RAPIDEXXUS</v>
      </c>
      <c r="D17" s="156">
        <f>'2'!$O$49</f>
        <v>18.5</v>
      </c>
      <c r="E17" s="156">
        <f>'2'!$M$53</f>
        <v>10</v>
      </c>
      <c r="F17" s="156">
        <f>'2'!$M$61</f>
        <v>1</v>
      </c>
      <c r="G17" s="156">
        <f>'2'!$O$64</f>
        <v>0.25</v>
      </c>
      <c r="H17" s="156">
        <f>'2'!$O$67</f>
        <v>0.25</v>
      </c>
      <c r="I17" s="156">
        <f>D17+E17+F17+G17+H17</f>
        <v>30</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c r="A18" s="7"/>
      <c r="B18" s="66">
        <v>3</v>
      </c>
      <c r="C18" s="30" t="str">
        <f>C13</f>
        <v>CONSORCIO ILUMINACIÓN IBE24</v>
      </c>
      <c r="D18" s="156">
        <f>'3'!$O$49</f>
        <v>18.5</v>
      </c>
      <c r="E18" s="156">
        <f>'3'!$M$53</f>
        <v>10</v>
      </c>
      <c r="F18" s="156">
        <f>'3'!$M$61</f>
        <v>1</v>
      </c>
      <c r="G18" s="156">
        <f>'3'!$O$64</f>
        <v>0.25</v>
      </c>
      <c r="H18" s="156">
        <f>'3'!$O$67</f>
        <v>0.25</v>
      </c>
      <c r="I18" s="156">
        <f>D18+E18+F18+G18+H18</f>
        <v>30</v>
      </c>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row>
    <row r="33" spans="1:37">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row>
    <row r="34" spans="1:37">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row>
    <row r="35" spans="1:37">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row>
    <row r="36" spans="1:37">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row>
    <row r="37" spans="1:37">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row>
    <row r="38" spans="1:37">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row>
    <row r="39" spans="1:37">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row>
    <row r="40" spans="1:37">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row>
    <row r="41" spans="1:37">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row>
    <row r="42" spans="1:37">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row>
    <row r="43" spans="1:37">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row>
    <row r="44" spans="1:37">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row>
    <row r="45" spans="1:37">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row>
    <row r="46" spans="1:37">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row>
  </sheetData>
  <mergeCells count="8">
    <mergeCell ref="B2:S5"/>
    <mergeCell ref="B8:S8"/>
    <mergeCell ref="R11:S11"/>
    <mergeCell ref="R12:S12"/>
    <mergeCell ref="R13:S13"/>
    <mergeCell ref="R10:S10"/>
    <mergeCell ref="B6:S6"/>
    <mergeCell ref="B7:S7"/>
  </mergeCells>
  <conditionalFormatting sqref="D11:Q13 D16:I18">
    <cfRule type="containsText" dxfId="75" priority="9" operator="containsText" text="NO CUMPLE">
      <formula>NOT(ISERROR(SEARCH("NO CUMPLE",D11)))</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01CA3-1223-4A78-9EE3-49896439C148}">
  <dimension ref="A1:AD48"/>
  <sheetViews>
    <sheetView topLeftCell="A2" zoomScaleNormal="100" workbookViewId="0">
      <selection activeCell="K25" sqref="K25"/>
    </sheetView>
  </sheetViews>
  <sheetFormatPr baseColWidth="10" defaultRowHeight="16.5"/>
  <cols>
    <col min="1" max="1" width="2.7109375" style="1" customWidth="1"/>
    <col min="2" max="2" width="11.42578125" style="1"/>
    <col min="3" max="3" width="32.140625" style="1" customWidth="1"/>
    <col min="4" max="6" width="16.7109375" style="1" customWidth="1"/>
    <col min="7" max="7" width="20.28515625" style="1" customWidth="1"/>
    <col min="8" max="8" width="18" style="1" customWidth="1"/>
    <col min="9" max="10" width="16.7109375" style="1" customWidth="1"/>
    <col min="11" max="11" width="32" style="1" customWidth="1"/>
    <col min="12" max="13" width="11.42578125" style="1"/>
    <col min="14" max="14" width="18.42578125" style="1" bestFit="1" customWidth="1"/>
    <col min="15" max="16384" width="11.42578125" style="1"/>
  </cols>
  <sheetData>
    <row r="1" spans="1:30">
      <c r="A1" s="7"/>
      <c r="B1" s="7"/>
      <c r="C1" s="7"/>
      <c r="D1" s="7"/>
      <c r="E1" s="7"/>
      <c r="F1" s="7"/>
      <c r="G1" s="7"/>
      <c r="H1" s="7"/>
      <c r="I1" s="7"/>
      <c r="J1" s="7"/>
      <c r="K1" s="7"/>
      <c r="L1" s="7"/>
      <c r="M1" s="7"/>
      <c r="N1" s="7"/>
      <c r="O1" s="7"/>
      <c r="P1" s="7"/>
      <c r="Q1" s="7"/>
      <c r="R1" s="7"/>
      <c r="S1" s="7"/>
      <c r="T1" s="7"/>
      <c r="U1" s="7"/>
      <c r="V1" s="7"/>
      <c r="W1" s="7"/>
      <c r="X1" s="7"/>
      <c r="Y1" s="7"/>
      <c r="Z1" s="7"/>
      <c r="AA1" s="7"/>
      <c r="AB1" s="7"/>
      <c r="AC1" s="7"/>
      <c r="AD1" s="7"/>
    </row>
    <row r="2" spans="1:30">
      <c r="A2" s="7"/>
      <c r="B2" s="187" t="s">
        <v>104</v>
      </c>
      <c r="C2" s="188"/>
      <c r="D2" s="188"/>
      <c r="E2" s="188"/>
      <c r="F2" s="188"/>
      <c r="G2" s="188"/>
      <c r="H2" s="188"/>
      <c r="I2" s="188"/>
      <c r="J2" s="188"/>
      <c r="K2" s="188"/>
      <c r="L2" s="188"/>
      <c r="M2" s="7"/>
      <c r="N2" s="7"/>
      <c r="O2" s="7"/>
      <c r="P2" s="7"/>
      <c r="Q2" s="7"/>
      <c r="R2" s="7"/>
      <c r="S2" s="7"/>
      <c r="T2" s="7"/>
      <c r="U2" s="7"/>
      <c r="V2" s="7"/>
      <c r="W2" s="7"/>
      <c r="X2" s="7"/>
      <c r="Y2" s="7"/>
      <c r="Z2" s="7"/>
      <c r="AA2" s="7"/>
      <c r="AB2" s="7"/>
      <c r="AC2" s="7"/>
      <c r="AD2" s="7"/>
    </row>
    <row r="3" spans="1:30">
      <c r="A3" s="7"/>
      <c r="B3" s="188"/>
      <c r="C3" s="188"/>
      <c r="D3" s="188"/>
      <c r="E3" s="188"/>
      <c r="F3" s="188"/>
      <c r="G3" s="188"/>
      <c r="H3" s="188"/>
      <c r="I3" s="188"/>
      <c r="J3" s="188"/>
      <c r="K3" s="188"/>
      <c r="L3" s="188"/>
      <c r="M3" s="7"/>
      <c r="N3" s="7"/>
      <c r="O3" s="7"/>
      <c r="P3" s="7"/>
      <c r="Q3" s="7"/>
      <c r="R3" s="7"/>
      <c r="S3" s="7"/>
      <c r="T3" s="7"/>
      <c r="U3" s="7"/>
      <c r="V3" s="7"/>
      <c r="W3" s="7"/>
      <c r="X3" s="7"/>
      <c r="Y3" s="7"/>
      <c r="Z3" s="7"/>
      <c r="AA3" s="7"/>
      <c r="AB3" s="7"/>
      <c r="AC3" s="7"/>
      <c r="AD3" s="7"/>
    </row>
    <row r="4" spans="1:30">
      <c r="A4" s="7"/>
      <c r="B4" s="188"/>
      <c r="C4" s="188"/>
      <c r="D4" s="188"/>
      <c r="E4" s="188"/>
      <c r="F4" s="188"/>
      <c r="G4" s="188"/>
      <c r="H4" s="188"/>
      <c r="I4" s="188"/>
      <c r="J4" s="188"/>
      <c r="K4" s="188"/>
      <c r="L4" s="188"/>
      <c r="M4" s="7"/>
      <c r="N4" s="7"/>
      <c r="O4" s="7"/>
      <c r="P4" s="7"/>
      <c r="Q4" s="7"/>
      <c r="R4" s="7"/>
      <c r="S4" s="7"/>
      <c r="T4" s="7"/>
      <c r="U4" s="7"/>
      <c r="V4" s="7"/>
      <c r="W4" s="7"/>
      <c r="X4" s="7"/>
      <c r="Y4" s="7"/>
      <c r="Z4" s="7"/>
      <c r="AA4" s="7"/>
      <c r="AB4" s="7"/>
      <c r="AC4" s="7"/>
      <c r="AD4" s="7"/>
    </row>
    <row r="5" spans="1:30">
      <c r="A5" s="7"/>
      <c r="B5" s="188"/>
      <c r="C5" s="188"/>
      <c r="D5" s="188"/>
      <c r="E5" s="188"/>
      <c r="F5" s="188"/>
      <c r="G5" s="188"/>
      <c r="H5" s="188"/>
      <c r="I5" s="188"/>
      <c r="J5" s="188"/>
      <c r="K5" s="188"/>
      <c r="L5" s="188"/>
      <c r="M5" s="7"/>
      <c r="N5" s="7"/>
      <c r="O5" s="7"/>
      <c r="P5" s="7"/>
      <c r="Q5" s="7"/>
      <c r="R5" s="7"/>
      <c r="S5" s="7"/>
      <c r="T5" s="7"/>
      <c r="U5" s="7"/>
      <c r="V5" s="7"/>
      <c r="W5" s="7"/>
      <c r="X5" s="7"/>
      <c r="Y5" s="7"/>
      <c r="Z5" s="7"/>
      <c r="AA5" s="7"/>
      <c r="AB5" s="7"/>
      <c r="AC5" s="7"/>
      <c r="AD5" s="7"/>
    </row>
    <row r="6" spans="1:30" ht="37.5" customHeight="1">
      <c r="A6" s="7"/>
      <c r="B6" s="187" t="str">
        <f>'RESUMEN P1'!B6</f>
        <v>REALIZAR EL SUMINISTRO E INSTALACIÓN DE LOS SISTEMAS DE AYUDAS VISUALES Y SUS OBRAS
COMPLEMENTARIAS PARA EL AEROPUERTO PERALES DE IBAGUÉ, TOLIMA (VF)</v>
      </c>
      <c r="C6" s="188"/>
      <c r="D6" s="188"/>
      <c r="E6" s="188"/>
      <c r="F6" s="188"/>
      <c r="G6" s="188"/>
      <c r="H6" s="188"/>
      <c r="I6" s="188"/>
      <c r="J6" s="188"/>
      <c r="K6" s="188"/>
      <c r="L6" s="188"/>
      <c r="M6" s="7"/>
      <c r="N6" s="7"/>
      <c r="O6" s="7"/>
      <c r="P6" s="7"/>
      <c r="Q6" s="7"/>
      <c r="R6" s="7"/>
      <c r="S6" s="7"/>
      <c r="T6" s="7"/>
      <c r="U6" s="7"/>
      <c r="V6" s="7"/>
      <c r="W6" s="7"/>
      <c r="X6" s="7"/>
      <c r="Y6" s="7"/>
      <c r="Z6" s="7"/>
      <c r="AA6" s="7"/>
      <c r="AB6" s="7"/>
      <c r="AC6" s="7"/>
      <c r="AD6" s="7"/>
    </row>
    <row r="7" spans="1:30">
      <c r="A7" s="7"/>
      <c r="B7" s="187" t="str">
        <f>'RESUMEN P1'!B7</f>
        <v>PROCESO DE LICITACIÓN PÚBLICA 24001224 H1 2024</v>
      </c>
      <c r="C7" s="187"/>
      <c r="D7" s="187"/>
      <c r="E7" s="187"/>
      <c r="F7" s="187"/>
      <c r="G7" s="187"/>
      <c r="H7" s="187"/>
      <c r="I7" s="187"/>
      <c r="J7" s="187"/>
      <c r="K7" s="187"/>
      <c r="L7" s="187"/>
      <c r="M7" s="7"/>
      <c r="N7" s="7"/>
      <c r="O7" s="7"/>
      <c r="P7" s="7"/>
      <c r="Q7" s="7"/>
      <c r="R7" s="7"/>
      <c r="S7" s="7"/>
      <c r="T7" s="7"/>
      <c r="U7" s="7"/>
      <c r="V7" s="7"/>
      <c r="W7" s="7"/>
      <c r="X7" s="7"/>
      <c r="Y7" s="7"/>
      <c r="Z7" s="7"/>
      <c r="AA7" s="7"/>
      <c r="AB7" s="7"/>
      <c r="AC7" s="7"/>
      <c r="AD7" s="7"/>
    </row>
    <row r="8" spans="1:30" ht="37.5" customHeight="1">
      <c r="A8" s="7"/>
      <c r="B8" s="189" t="s">
        <v>273</v>
      </c>
      <c r="C8" s="189"/>
      <c r="D8" s="189"/>
      <c r="E8" s="189"/>
      <c r="F8" s="189"/>
      <c r="G8" s="189"/>
      <c r="H8" s="189"/>
      <c r="I8" s="189"/>
      <c r="J8" s="189"/>
      <c r="K8" s="189"/>
      <c r="L8" s="189"/>
      <c r="M8" s="7"/>
      <c r="N8" s="7"/>
      <c r="O8" s="7"/>
      <c r="P8" s="7"/>
      <c r="Q8" s="7"/>
      <c r="R8" s="7"/>
      <c r="S8" s="7"/>
      <c r="T8" s="7"/>
      <c r="U8" s="7"/>
      <c r="V8" s="7"/>
      <c r="W8" s="7"/>
      <c r="X8" s="7"/>
      <c r="Y8" s="7"/>
      <c r="Z8" s="7"/>
      <c r="AA8" s="7"/>
      <c r="AB8" s="7"/>
      <c r="AC8" s="7"/>
      <c r="AD8" s="7"/>
    </row>
    <row r="9" spans="1:30">
      <c r="A9" s="7"/>
      <c r="B9" s="7"/>
      <c r="C9" s="7"/>
      <c r="D9" s="7"/>
      <c r="E9" s="7"/>
      <c r="F9" s="7"/>
      <c r="G9" s="7"/>
      <c r="H9" s="7"/>
      <c r="I9" s="7"/>
      <c r="J9" s="7"/>
      <c r="K9" s="7"/>
      <c r="L9" s="7"/>
      <c r="M9" s="7"/>
      <c r="N9" s="7"/>
      <c r="O9" s="7"/>
      <c r="P9" s="7"/>
      <c r="Q9" s="7"/>
      <c r="R9" s="7"/>
      <c r="S9" s="7"/>
      <c r="T9" s="7"/>
      <c r="U9" s="7"/>
      <c r="V9" s="7"/>
      <c r="W9" s="7"/>
      <c r="X9" s="7"/>
      <c r="Y9" s="7"/>
      <c r="Z9" s="7"/>
      <c r="AA9" s="7"/>
      <c r="AB9" s="7"/>
      <c r="AC9" s="7"/>
      <c r="AD9" s="7"/>
    </row>
    <row r="10" spans="1:30">
      <c r="A10" s="7"/>
      <c r="B10" s="7"/>
      <c r="C10" s="7"/>
      <c r="D10" s="7"/>
      <c r="E10" s="7"/>
      <c r="F10" s="7"/>
      <c r="G10" s="7"/>
      <c r="H10" s="7"/>
      <c r="I10" s="7"/>
      <c r="J10" s="7"/>
      <c r="K10" s="188" t="s">
        <v>66</v>
      </c>
      <c r="L10" s="188"/>
      <c r="M10" s="7"/>
      <c r="N10" s="7"/>
      <c r="O10" s="7"/>
      <c r="P10" s="7"/>
      <c r="Q10" s="7"/>
      <c r="R10" s="7"/>
      <c r="S10" s="7"/>
      <c r="T10" s="7"/>
      <c r="U10" s="7"/>
      <c r="V10" s="7"/>
      <c r="W10" s="7"/>
      <c r="X10" s="7"/>
      <c r="Y10" s="7"/>
      <c r="Z10" s="7"/>
      <c r="AA10" s="7"/>
      <c r="AB10" s="7"/>
      <c r="AC10" s="7"/>
      <c r="AD10" s="7"/>
    </row>
    <row r="11" spans="1:30">
      <c r="A11" s="7"/>
      <c r="B11" s="7"/>
      <c r="C11" s="7"/>
      <c r="D11" s="199" t="s">
        <v>84</v>
      </c>
      <c r="E11" s="199"/>
      <c r="F11" s="199"/>
      <c r="G11" s="199"/>
      <c r="H11" s="199"/>
      <c r="I11" s="199"/>
      <c r="J11" s="199"/>
      <c r="K11" s="200">
        <v>5493701977</v>
      </c>
      <c r="L11" s="201"/>
      <c r="M11" s="7"/>
      <c r="N11" s="64"/>
      <c r="O11" s="7"/>
      <c r="P11" s="7"/>
      <c r="Q11" s="7"/>
      <c r="R11" s="7"/>
      <c r="S11" s="7"/>
      <c r="T11" s="7"/>
      <c r="U11" s="7"/>
      <c r="V11" s="7"/>
      <c r="W11" s="7"/>
      <c r="X11" s="7"/>
      <c r="Y11" s="7"/>
      <c r="Z11" s="7"/>
      <c r="AA11" s="7"/>
      <c r="AB11" s="7"/>
      <c r="AC11" s="7"/>
      <c r="AD11" s="7"/>
    </row>
    <row r="12" spans="1:30" ht="66">
      <c r="A12" s="7"/>
      <c r="B12" s="53" t="s">
        <v>1</v>
      </c>
      <c r="C12" s="53" t="s">
        <v>54</v>
      </c>
      <c r="D12" s="54" t="s">
        <v>158</v>
      </c>
      <c r="E12" s="55" t="s">
        <v>57</v>
      </c>
      <c r="F12" s="55" t="s">
        <v>58</v>
      </c>
      <c r="G12" s="55" t="s">
        <v>277</v>
      </c>
      <c r="H12" s="55" t="s">
        <v>56</v>
      </c>
      <c r="I12" s="55" t="s">
        <v>55</v>
      </c>
      <c r="J12" s="55" t="s">
        <v>159</v>
      </c>
      <c r="K12" s="202" t="s">
        <v>83</v>
      </c>
      <c r="L12" s="202"/>
      <c r="M12" s="7"/>
      <c r="N12" s="64"/>
      <c r="O12" s="7"/>
      <c r="P12" s="7"/>
      <c r="Q12" s="7"/>
      <c r="R12" s="7"/>
      <c r="S12" s="7"/>
      <c r="T12" s="7"/>
      <c r="U12" s="7"/>
      <c r="V12" s="7"/>
      <c r="W12" s="7"/>
      <c r="X12" s="7"/>
      <c r="Y12" s="7"/>
      <c r="Z12" s="7"/>
      <c r="AA12" s="7"/>
      <c r="AB12" s="7"/>
      <c r="AC12" s="7"/>
      <c r="AD12" s="7"/>
    </row>
    <row r="13" spans="1:30">
      <c r="A13" s="7"/>
      <c r="B13" s="49">
        <v>1</v>
      </c>
      <c r="C13" s="56" t="str">
        <f>'RESUMEN P1'!C16</f>
        <v>SKYTECH</v>
      </c>
      <c r="D13" s="153" t="str">
        <f>'RESUMEN P1'!L11</f>
        <v>CUMPLE</v>
      </c>
      <c r="E13" s="49">
        <f>'RESUMEN P1'!D16</f>
        <v>18.5</v>
      </c>
      <c r="F13" s="49">
        <f>'RESUMEN P1'!E16</f>
        <v>10</v>
      </c>
      <c r="G13" s="49">
        <f>'RESUMEN P1'!F16</f>
        <v>1</v>
      </c>
      <c r="H13" s="49">
        <f>'RESUMEN P1'!G16</f>
        <v>0.25</v>
      </c>
      <c r="I13" s="49">
        <f>'RESUMEN P1'!H16</f>
        <v>0.25</v>
      </c>
      <c r="J13" s="49">
        <f>E13+F13+G13+H13+I13</f>
        <v>30</v>
      </c>
      <c r="K13" s="203">
        <v>5326882680</v>
      </c>
      <c r="L13" s="203"/>
      <c r="M13" s="7"/>
      <c r="N13" s="7"/>
      <c r="O13" s="7"/>
      <c r="P13" s="7"/>
      <c r="Q13" s="7"/>
      <c r="R13" s="7"/>
      <c r="S13" s="7"/>
      <c r="T13" s="7"/>
      <c r="U13" s="7"/>
      <c r="V13" s="7"/>
      <c r="W13" s="7"/>
      <c r="X13" s="7"/>
      <c r="Y13" s="7"/>
      <c r="Z13" s="7"/>
      <c r="AA13" s="7"/>
      <c r="AB13" s="7"/>
      <c r="AC13" s="7"/>
      <c r="AD13" s="7"/>
    </row>
    <row r="14" spans="1:30">
      <c r="A14" s="7"/>
      <c r="B14" s="49">
        <v>2</v>
      </c>
      <c r="C14" s="56" t="str">
        <f>'RESUMEN P1'!C17</f>
        <v>RAPIDEXXUS</v>
      </c>
      <c r="D14" s="153" t="str">
        <f>'RESUMEN P1'!L12</f>
        <v>CUMPLE</v>
      </c>
      <c r="E14" s="78">
        <f>'RESUMEN P1'!D17</f>
        <v>18.5</v>
      </c>
      <c r="F14" s="78">
        <f>'RESUMEN P1'!E17</f>
        <v>10</v>
      </c>
      <c r="G14" s="78">
        <f>'RESUMEN P1'!F17</f>
        <v>1</v>
      </c>
      <c r="H14" s="78">
        <f>'RESUMEN P1'!G17</f>
        <v>0.25</v>
      </c>
      <c r="I14" s="78">
        <f>'RESUMEN P1'!H17</f>
        <v>0.25</v>
      </c>
      <c r="J14" s="152">
        <f>E14+F14+G14+H14+I14</f>
        <v>30</v>
      </c>
      <c r="K14" s="203">
        <v>5400310610</v>
      </c>
      <c r="L14" s="203"/>
      <c r="M14" s="7"/>
      <c r="N14" s="7"/>
      <c r="O14" s="7"/>
      <c r="P14" s="7"/>
      <c r="Q14" s="7"/>
      <c r="R14" s="7"/>
      <c r="S14" s="7"/>
      <c r="T14" s="7"/>
      <c r="U14" s="7"/>
      <c r="V14" s="7"/>
      <c r="W14" s="7"/>
      <c r="X14" s="7"/>
      <c r="Y14" s="7"/>
      <c r="Z14" s="7"/>
      <c r="AA14" s="7"/>
      <c r="AB14" s="7"/>
      <c r="AC14" s="7"/>
      <c r="AD14" s="7"/>
    </row>
    <row r="15" spans="1:30">
      <c r="A15" s="7"/>
      <c r="B15" s="78">
        <v>3</v>
      </c>
      <c r="C15" s="56" t="str">
        <f>'RESUMEN P1'!C18</f>
        <v>CONSORCIO ILUMINACIÓN IBE24</v>
      </c>
      <c r="D15" s="153" t="str">
        <f>'RESUMEN P1'!L13</f>
        <v>CUMPLE</v>
      </c>
      <c r="E15" s="78">
        <f>'RESUMEN P1'!D18</f>
        <v>18.5</v>
      </c>
      <c r="F15" s="78">
        <f>'RESUMEN P1'!E18</f>
        <v>10</v>
      </c>
      <c r="G15" s="78">
        <f>'RESUMEN P1'!F18</f>
        <v>1</v>
      </c>
      <c r="H15" s="78">
        <f>'RESUMEN P1'!G18</f>
        <v>0.25</v>
      </c>
      <c r="I15" s="78">
        <f>'RESUMEN P1'!H18</f>
        <v>0.25</v>
      </c>
      <c r="J15" s="152">
        <f>E15+F15+G15+H15+I15</f>
        <v>30</v>
      </c>
      <c r="K15" s="204">
        <v>5400852624</v>
      </c>
      <c r="L15" s="204"/>
      <c r="M15" s="7"/>
      <c r="N15" s="7"/>
      <c r="O15" s="7"/>
      <c r="P15" s="7"/>
      <c r="Q15" s="7"/>
      <c r="R15" s="7"/>
      <c r="S15" s="7"/>
      <c r="T15" s="7"/>
      <c r="U15" s="7"/>
      <c r="V15" s="7"/>
      <c r="W15" s="7"/>
      <c r="X15" s="7"/>
      <c r="Y15" s="7"/>
      <c r="Z15" s="7"/>
      <c r="AA15" s="7"/>
      <c r="AB15" s="7"/>
      <c r="AC15" s="7"/>
      <c r="AD15" s="7"/>
    </row>
    <row r="16" spans="1:30">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row>
    <row r="17" spans="1:30">
      <c r="A17" s="7"/>
      <c r="B17" s="194" t="s">
        <v>60</v>
      </c>
      <c r="C17" s="195"/>
      <c r="D17" s="7"/>
      <c r="E17" s="7"/>
      <c r="F17" s="7"/>
      <c r="G17" s="7"/>
      <c r="H17" s="7"/>
      <c r="I17" s="7"/>
      <c r="J17" s="7"/>
      <c r="K17" s="7"/>
      <c r="L17" s="7"/>
      <c r="M17" s="7"/>
      <c r="N17" s="7"/>
      <c r="O17" s="7"/>
      <c r="P17" s="7"/>
      <c r="Q17" s="7"/>
      <c r="R17" s="7"/>
      <c r="S17" s="7"/>
      <c r="T17" s="7"/>
      <c r="U17" s="7"/>
      <c r="V17" s="7"/>
      <c r="W17" s="7"/>
      <c r="X17" s="7"/>
      <c r="Y17" s="7"/>
      <c r="Z17" s="7"/>
      <c r="AA17" s="7"/>
      <c r="AB17" s="7"/>
      <c r="AC17" s="7"/>
      <c r="AD17" s="7"/>
    </row>
    <row r="18" spans="1:30">
      <c r="A18" s="7"/>
      <c r="B18" s="196"/>
      <c r="C18" s="197"/>
      <c r="D18" s="7"/>
      <c r="E18" s="7"/>
      <c r="F18" s="7"/>
      <c r="G18" s="7"/>
      <c r="H18" s="7"/>
      <c r="I18" s="7"/>
      <c r="J18" s="7"/>
      <c r="K18" s="7"/>
      <c r="L18" s="7"/>
      <c r="M18" s="7"/>
      <c r="N18" s="7"/>
      <c r="O18" s="7"/>
      <c r="P18" s="7"/>
      <c r="Q18" s="7"/>
      <c r="R18" s="7"/>
      <c r="S18" s="7"/>
      <c r="T18" s="7"/>
      <c r="U18" s="7"/>
      <c r="V18" s="7"/>
      <c r="W18" s="7"/>
      <c r="X18" s="7"/>
      <c r="Y18" s="7"/>
      <c r="Z18" s="7"/>
      <c r="AA18" s="7"/>
      <c r="AB18" s="7"/>
      <c r="AC18" s="7"/>
      <c r="AD18" s="7"/>
    </row>
    <row r="19" spans="1:30">
      <c r="A19" s="7"/>
      <c r="B19" s="197"/>
      <c r="C19" s="198"/>
      <c r="D19" s="7"/>
      <c r="E19" s="7"/>
      <c r="F19" s="7"/>
      <c r="G19" s="7"/>
      <c r="H19" s="7"/>
      <c r="I19" s="7"/>
      <c r="J19" s="7"/>
      <c r="K19" s="7"/>
      <c r="L19" s="7"/>
      <c r="M19" s="7"/>
      <c r="N19" s="7"/>
      <c r="O19" s="7"/>
      <c r="P19" s="7"/>
      <c r="Q19" s="7"/>
      <c r="R19" s="7"/>
      <c r="S19" s="7"/>
      <c r="T19" s="7"/>
      <c r="U19" s="7"/>
      <c r="V19" s="7"/>
      <c r="W19" s="7"/>
      <c r="X19" s="7"/>
      <c r="Y19" s="7"/>
      <c r="Z19" s="7"/>
      <c r="AA19" s="7"/>
      <c r="AB19" s="7"/>
      <c r="AC19" s="7"/>
      <c r="AD19" s="7"/>
    </row>
    <row r="20" spans="1:30">
      <c r="A20" s="7"/>
      <c r="B20" s="197"/>
      <c r="C20" s="198"/>
      <c r="D20" s="7"/>
      <c r="E20" s="7"/>
      <c r="F20" s="7"/>
      <c r="G20" s="7"/>
      <c r="H20" s="7"/>
      <c r="I20" s="7"/>
      <c r="J20" s="7"/>
      <c r="K20" s="7"/>
      <c r="L20" s="7"/>
      <c r="M20" s="7"/>
      <c r="N20" s="7"/>
      <c r="O20" s="7"/>
      <c r="P20" s="7"/>
      <c r="Q20" s="7"/>
      <c r="R20" s="7"/>
      <c r="S20" s="7"/>
      <c r="T20" s="7"/>
      <c r="U20" s="7"/>
      <c r="V20" s="7"/>
      <c r="W20" s="7"/>
      <c r="X20" s="7"/>
      <c r="Y20" s="7"/>
      <c r="Z20" s="7"/>
      <c r="AA20" s="7"/>
      <c r="AB20" s="7"/>
      <c r="AC20" s="7"/>
      <c r="AD20" s="7"/>
    </row>
    <row r="21" spans="1:30">
      <c r="A21" s="7"/>
      <c r="B21" s="197"/>
      <c r="C21" s="198"/>
      <c r="D21" s="7"/>
      <c r="E21" s="7"/>
      <c r="F21" s="7"/>
      <c r="G21" s="7"/>
      <c r="H21" s="7"/>
      <c r="I21" s="7"/>
      <c r="J21" s="7"/>
      <c r="K21" s="7"/>
      <c r="L21" s="7"/>
      <c r="M21" s="7"/>
      <c r="N21" s="7"/>
      <c r="O21" s="7"/>
      <c r="P21" s="7"/>
      <c r="Q21" s="7"/>
      <c r="R21" s="7"/>
      <c r="S21" s="7"/>
      <c r="T21" s="7"/>
      <c r="U21" s="7"/>
      <c r="V21" s="7"/>
      <c r="W21" s="7"/>
      <c r="X21" s="7"/>
      <c r="Y21" s="7"/>
      <c r="Z21" s="7"/>
      <c r="AA21" s="7"/>
      <c r="AB21" s="7"/>
      <c r="AC21" s="7"/>
      <c r="AD21" s="7"/>
    </row>
    <row r="22" spans="1:30">
      <c r="A22" s="7"/>
      <c r="B22" s="197"/>
      <c r="C22" s="197"/>
      <c r="D22" s="7"/>
      <c r="E22" s="7"/>
      <c r="F22" s="7"/>
      <c r="G22" s="7"/>
      <c r="H22" s="7"/>
      <c r="I22" s="7"/>
      <c r="J22" s="7"/>
      <c r="K22" s="7"/>
      <c r="L22" s="7"/>
      <c r="M22" s="7"/>
      <c r="N22" s="7"/>
      <c r="O22" s="7"/>
      <c r="P22" s="7"/>
      <c r="Q22" s="7"/>
      <c r="R22" s="7"/>
      <c r="S22" s="7"/>
      <c r="T22" s="7"/>
      <c r="U22" s="7"/>
      <c r="V22" s="7"/>
      <c r="W22" s="7"/>
      <c r="X22" s="7"/>
      <c r="Y22" s="7"/>
      <c r="Z22" s="7"/>
      <c r="AA22" s="7"/>
      <c r="AB22" s="7"/>
      <c r="AC22" s="7"/>
      <c r="AD22" s="7"/>
    </row>
    <row r="23" spans="1:30">
      <c r="A23" s="7"/>
      <c r="B23" s="196" t="s">
        <v>160</v>
      </c>
      <c r="C23" s="197"/>
      <c r="D23" s="7"/>
      <c r="E23" s="7"/>
      <c r="F23" s="7"/>
      <c r="G23" s="7"/>
      <c r="H23" s="7"/>
      <c r="I23" s="7"/>
      <c r="J23" s="7"/>
      <c r="K23" s="7"/>
      <c r="L23" s="7"/>
      <c r="M23" s="7"/>
      <c r="N23" s="7"/>
      <c r="O23" s="7"/>
      <c r="P23" s="7"/>
      <c r="Q23" s="7"/>
      <c r="R23" s="7"/>
      <c r="S23" s="7"/>
      <c r="T23" s="7"/>
      <c r="U23" s="7"/>
      <c r="V23" s="7"/>
      <c r="W23" s="7"/>
      <c r="X23" s="7"/>
      <c r="Y23" s="7"/>
      <c r="Z23" s="7"/>
      <c r="AA23" s="7"/>
      <c r="AB23" s="7"/>
      <c r="AC23" s="7"/>
      <c r="AD23" s="7"/>
    </row>
    <row r="24" spans="1:30">
      <c r="A24" s="7"/>
      <c r="B24" s="194" t="s">
        <v>60</v>
      </c>
      <c r="C24" s="195"/>
      <c r="D24" s="7"/>
      <c r="E24" s="7"/>
      <c r="F24" s="7"/>
      <c r="G24" s="7"/>
      <c r="H24" s="7"/>
      <c r="I24" s="7"/>
      <c r="J24" s="7"/>
      <c r="K24" s="7"/>
      <c r="L24" s="7"/>
      <c r="M24" s="7"/>
      <c r="N24" s="7"/>
      <c r="O24" s="7"/>
      <c r="P24" s="7"/>
      <c r="Q24" s="7"/>
      <c r="R24" s="7"/>
      <c r="S24" s="7"/>
      <c r="T24" s="7"/>
      <c r="U24" s="7"/>
      <c r="V24" s="7"/>
      <c r="W24" s="7"/>
      <c r="X24" s="7"/>
      <c r="Y24" s="7"/>
      <c r="Z24" s="7"/>
      <c r="AA24" s="7"/>
      <c r="AB24" s="7"/>
      <c r="AC24" s="7"/>
      <c r="AD24" s="7"/>
    </row>
    <row r="25" spans="1:30">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row>
    <row r="26" spans="1:30" s="339" customFormat="1">
      <c r="B26" s="344"/>
      <c r="C26" s="345"/>
    </row>
    <row r="27" spans="1:30" s="339" customFormat="1">
      <c r="B27" s="346"/>
      <c r="C27" s="347"/>
    </row>
    <row r="28" spans="1:30" s="339" customFormat="1">
      <c r="B28" s="347"/>
      <c r="C28" s="348"/>
    </row>
    <row r="29" spans="1:30" s="339" customFormat="1">
      <c r="B29" s="347"/>
      <c r="C29" s="348"/>
    </row>
    <row r="30" spans="1:30" s="339" customFormat="1">
      <c r="B30" s="347"/>
      <c r="C30" s="348"/>
    </row>
    <row r="31" spans="1:30" s="339" customFormat="1">
      <c r="B31" s="347"/>
      <c r="C31" s="347"/>
    </row>
    <row r="32" spans="1:30" s="339" customFormat="1">
      <c r="B32" s="346"/>
      <c r="C32" s="347"/>
    </row>
    <row r="33" spans="1:30" s="339" customFormat="1">
      <c r="B33" s="344"/>
      <c r="C33" s="345"/>
    </row>
    <row r="34" spans="1:30">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row>
    <row r="35" spans="1:30">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row>
    <row r="36" spans="1:30">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row>
    <row r="37" spans="1:30">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row>
    <row r="38" spans="1:30">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row>
    <row r="39" spans="1:30">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row>
    <row r="40" spans="1:30">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row>
    <row r="41" spans="1:30">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row>
    <row r="42" spans="1:30">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row>
    <row r="43" spans="1:30">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row>
    <row r="44" spans="1:30">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row>
    <row r="45" spans="1:30">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row>
    <row r="46" spans="1:30">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row>
    <row r="47" spans="1:30">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row>
    <row r="48" spans="1:30">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row>
  </sheetData>
  <mergeCells count="19">
    <mergeCell ref="B26:C26"/>
    <mergeCell ref="B27:C31"/>
    <mergeCell ref="B32:C32"/>
    <mergeCell ref="B33:C33"/>
    <mergeCell ref="B24:C24"/>
    <mergeCell ref="B17:C17"/>
    <mergeCell ref="B18:C22"/>
    <mergeCell ref="B23:C23"/>
    <mergeCell ref="D11:J11"/>
    <mergeCell ref="B2:L5"/>
    <mergeCell ref="B6:L6"/>
    <mergeCell ref="B7:L7"/>
    <mergeCell ref="B8:L8"/>
    <mergeCell ref="K10:L10"/>
    <mergeCell ref="K11:L11"/>
    <mergeCell ref="K12:L12"/>
    <mergeCell ref="K13:L13"/>
    <mergeCell ref="K14:L14"/>
    <mergeCell ref="K15:L15"/>
  </mergeCell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85722-DBFA-446C-922D-8D74ED851738}">
  <dimension ref="A1:AD94"/>
  <sheetViews>
    <sheetView topLeftCell="A8" zoomScale="85" zoomScaleNormal="85" workbookViewId="0">
      <selection activeCell="A24" sqref="A24:XFD27"/>
    </sheetView>
  </sheetViews>
  <sheetFormatPr baseColWidth="10" defaultRowHeight="16.5"/>
  <cols>
    <col min="1" max="1" width="2.7109375" style="1" customWidth="1"/>
    <col min="2" max="2" width="11.42578125" style="1"/>
    <col min="3" max="3" width="31.5703125" style="1" bestFit="1" customWidth="1"/>
    <col min="4" max="4" width="23.5703125" style="1" customWidth="1"/>
    <col min="5" max="5" width="18.42578125" style="1" customWidth="1"/>
    <col min="6" max="6" width="16.7109375" style="1" customWidth="1"/>
    <col min="7" max="7" width="20.28515625" style="1" customWidth="1"/>
    <col min="8" max="8" width="18" style="1" customWidth="1"/>
    <col min="9" max="9" width="16.7109375" style="1" customWidth="1"/>
    <col min="10" max="10" width="18.5703125" style="1" customWidth="1"/>
    <col min="11" max="11" width="16.28515625" style="1" customWidth="1"/>
    <col min="12" max="13" width="11.42578125" style="1"/>
    <col min="14" max="14" width="18.42578125" style="1" bestFit="1" customWidth="1"/>
    <col min="15" max="17" width="11.42578125" style="1"/>
    <col min="18" max="19" width="11.42578125" style="341"/>
    <col min="20" max="26" width="0" style="341" hidden="1" customWidth="1"/>
    <col min="27" max="16384" width="11.42578125" style="1"/>
  </cols>
  <sheetData>
    <row r="1" spans="1:30">
      <c r="A1" s="7"/>
      <c r="B1" s="7"/>
      <c r="C1" s="7"/>
      <c r="D1" s="7"/>
      <c r="E1" s="7"/>
      <c r="F1" s="7"/>
      <c r="G1" s="7"/>
      <c r="H1" s="7"/>
      <c r="I1" s="7"/>
      <c r="J1" s="7"/>
      <c r="K1" s="7"/>
      <c r="L1" s="7"/>
      <c r="M1" s="7"/>
      <c r="N1" s="7"/>
      <c r="O1" s="7"/>
      <c r="P1" s="7"/>
      <c r="Q1" s="7"/>
      <c r="R1" s="339"/>
      <c r="S1" s="339"/>
      <c r="T1" s="339"/>
      <c r="U1" s="339"/>
      <c r="V1" s="339"/>
      <c r="W1" s="339"/>
      <c r="X1" s="339"/>
      <c r="Y1" s="339"/>
      <c r="Z1" s="339"/>
      <c r="AA1" s="7"/>
      <c r="AB1" s="7"/>
      <c r="AC1" s="7"/>
      <c r="AD1" s="7"/>
    </row>
    <row r="2" spans="1:30">
      <c r="A2" s="7"/>
      <c r="B2" s="187" t="s">
        <v>59</v>
      </c>
      <c r="C2" s="188"/>
      <c r="D2" s="188"/>
      <c r="E2" s="188"/>
      <c r="F2" s="188"/>
      <c r="G2" s="188"/>
      <c r="H2" s="188"/>
      <c r="I2" s="188"/>
      <c r="J2" s="188"/>
      <c r="K2" s="188"/>
      <c r="L2" s="188"/>
      <c r="M2" s="7"/>
      <c r="N2" s="7"/>
      <c r="O2" s="7"/>
      <c r="P2" s="7"/>
      <c r="Q2" s="7"/>
      <c r="R2" s="339"/>
      <c r="S2" s="339"/>
      <c r="T2" s="339"/>
      <c r="U2" s="339"/>
      <c r="V2" s="339"/>
      <c r="W2" s="339"/>
      <c r="X2" s="339"/>
      <c r="Y2" s="339"/>
      <c r="Z2" s="339"/>
      <c r="AA2" s="7"/>
      <c r="AB2" s="7"/>
      <c r="AC2" s="7"/>
      <c r="AD2" s="7"/>
    </row>
    <row r="3" spans="1:30">
      <c r="A3" s="7"/>
      <c r="B3" s="188"/>
      <c r="C3" s="188"/>
      <c r="D3" s="188"/>
      <c r="E3" s="188"/>
      <c r="F3" s="188"/>
      <c r="G3" s="188"/>
      <c r="H3" s="188"/>
      <c r="I3" s="188"/>
      <c r="J3" s="188"/>
      <c r="K3" s="188"/>
      <c r="L3" s="188"/>
      <c r="M3" s="7"/>
      <c r="N3" s="7"/>
      <c r="O3" s="7"/>
      <c r="P3" s="7"/>
      <c r="Q3" s="7"/>
      <c r="R3" s="339"/>
      <c r="S3" s="339"/>
      <c r="T3" s="339"/>
      <c r="U3" s="339"/>
      <c r="V3" s="339"/>
      <c r="W3" s="339"/>
      <c r="X3" s="339"/>
      <c r="Y3" s="339"/>
      <c r="Z3" s="339"/>
      <c r="AA3" s="7"/>
      <c r="AB3" s="7"/>
      <c r="AC3" s="7"/>
      <c r="AD3" s="7"/>
    </row>
    <row r="4" spans="1:30">
      <c r="A4" s="7"/>
      <c r="B4" s="188"/>
      <c r="C4" s="188"/>
      <c r="D4" s="188"/>
      <c r="E4" s="188"/>
      <c r="F4" s="188"/>
      <c r="G4" s="188"/>
      <c r="H4" s="188"/>
      <c r="I4" s="188"/>
      <c r="J4" s="188"/>
      <c r="K4" s="188"/>
      <c r="L4" s="188"/>
      <c r="M4" s="7"/>
      <c r="N4" s="64"/>
      <c r="O4" s="7"/>
      <c r="P4" s="7"/>
      <c r="Q4" s="7"/>
      <c r="R4" s="339"/>
      <c r="S4" s="339"/>
      <c r="T4" s="339"/>
      <c r="U4" s="339"/>
      <c r="V4" s="339"/>
      <c r="W4" s="339"/>
      <c r="X4" s="339"/>
      <c r="Y4" s="339"/>
      <c r="Z4" s="339"/>
      <c r="AA4" s="7"/>
      <c r="AB4" s="7"/>
      <c r="AC4" s="7"/>
      <c r="AD4" s="7"/>
    </row>
    <row r="5" spans="1:30">
      <c r="A5" s="7"/>
      <c r="B5" s="188"/>
      <c r="C5" s="188"/>
      <c r="D5" s="188"/>
      <c r="E5" s="188"/>
      <c r="F5" s="188"/>
      <c r="G5" s="188"/>
      <c r="H5" s="188"/>
      <c r="I5" s="188"/>
      <c r="J5" s="188"/>
      <c r="K5" s="188"/>
      <c r="L5" s="188"/>
      <c r="M5" s="7"/>
      <c r="N5" s="7"/>
      <c r="O5" s="7"/>
      <c r="P5" s="7"/>
      <c r="Q5" s="7"/>
      <c r="R5" s="339"/>
      <c r="S5" s="339"/>
      <c r="T5" s="339"/>
      <c r="U5" s="339"/>
      <c r="V5" s="339"/>
      <c r="W5" s="339"/>
      <c r="X5" s="339"/>
      <c r="Y5" s="339"/>
      <c r="Z5" s="339"/>
      <c r="AA5" s="7"/>
      <c r="AB5" s="7"/>
      <c r="AC5" s="7"/>
      <c r="AD5" s="7"/>
    </row>
    <row r="6" spans="1:30" ht="37.5" customHeight="1">
      <c r="A6" s="7"/>
      <c r="B6" s="187" t="s">
        <v>118</v>
      </c>
      <c r="C6" s="188"/>
      <c r="D6" s="188"/>
      <c r="E6" s="188"/>
      <c r="F6" s="188"/>
      <c r="G6" s="188"/>
      <c r="H6" s="188"/>
      <c r="I6" s="188"/>
      <c r="J6" s="188"/>
      <c r="K6" s="188"/>
      <c r="L6" s="188"/>
      <c r="M6" s="7"/>
      <c r="N6" s="64"/>
      <c r="O6" s="7"/>
      <c r="P6" s="7"/>
      <c r="Q6" s="7"/>
      <c r="R6" s="339"/>
      <c r="S6" s="339"/>
      <c r="T6" s="339"/>
      <c r="U6" s="339"/>
      <c r="V6" s="339"/>
      <c r="W6" s="339"/>
      <c r="X6" s="339"/>
      <c r="Y6" s="339"/>
      <c r="Z6" s="339"/>
      <c r="AA6" s="7"/>
      <c r="AB6" s="7"/>
      <c r="AC6" s="7"/>
      <c r="AD6" s="7"/>
    </row>
    <row r="7" spans="1:30">
      <c r="A7" s="7"/>
      <c r="B7" s="187" t="s">
        <v>117</v>
      </c>
      <c r="C7" s="187"/>
      <c r="D7" s="187"/>
      <c r="E7" s="187"/>
      <c r="F7" s="187"/>
      <c r="G7" s="187"/>
      <c r="H7" s="187"/>
      <c r="I7" s="187"/>
      <c r="J7" s="187"/>
      <c r="K7" s="187"/>
      <c r="L7" s="187"/>
      <c r="M7" s="7"/>
      <c r="N7" s="7"/>
      <c r="O7" s="7"/>
      <c r="P7" s="7"/>
      <c r="Q7" s="7"/>
      <c r="R7" s="339"/>
      <c r="S7" s="339"/>
      <c r="T7" s="339"/>
      <c r="U7" s="339"/>
      <c r="V7" s="339"/>
      <c r="W7" s="339"/>
      <c r="X7" s="339"/>
      <c r="Y7" s="339"/>
      <c r="Z7" s="339"/>
      <c r="AA7" s="7"/>
      <c r="AB7" s="7"/>
      <c r="AC7" s="7"/>
      <c r="AD7" s="7"/>
    </row>
    <row r="8" spans="1:30" ht="37.5" customHeight="1">
      <c r="A8" s="7"/>
      <c r="B8" s="189" t="s">
        <v>156</v>
      </c>
      <c r="C8" s="189"/>
      <c r="D8" s="189"/>
      <c r="E8" s="189"/>
      <c r="F8" s="189"/>
      <c r="G8" s="189"/>
      <c r="H8" s="189"/>
      <c r="I8" s="189"/>
      <c r="J8" s="189"/>
      <c r="K8" s="189"/>
      <c r="L8" s="189"/>
      <c r="M8" s="7"/>
      <c r="N8" s="7"/>
      <c r="O8" s="7"/>
      <c r="P8" s="7"/>
      <c r="Q8" s="7"/>
      <c r="R8" s="339"/>
      <c r="S8" s="339"/>
      <c r="T8" s="339"/>
      <c r="U8" s="339"/>
      <c r="V8" s="339"/>
      <c r="W8" s="339"/>
      <c r="X8" s="339"/>
      <c r="Y8" s="339"/>
      <c r="Z8" s="339"/>
      <c r="AA8" s="7"/>
      <c r="AB8" s="7"/>
      <c r="AC8" s="7"/>
      <c r="AD8" s="7"/>
    </row>
    <row r="9" spans="1:30">
      <c r="A9" s="7"/>
      <c r="B9" s="7"/>
      <c r="C9" s="7"/>
      <c r="D9" s="7"/>
      <c r="E9" s="7"/>
      <c r="F9" s="7"/>
      <c r="G9" s="7"/>
      <c r="H9" s="7"/>
      <c r="I9" s="7"/>
      <c r="J9" s="7"/>
      <c r="K9" s="7"/>
      <c r="L9" s="7"/>
      <c r="M9" s="7"/>
      <c r="N9" s="343"/>
      <c r="O9" s="343"/>
      <c r="P9" s="343"/>
      <c r="Q9" s="343"/>
      <c r="R9" s="343"/>
      <c r="S9" s="343"/>
      <c r="T9" s="339"/>
      <c r="U9" s="339"/>
      <c r="V9" s="339"/>
      <c r="W9" s="339"/>
      <c r="X9" s="339"/>
      <c r="Y9" s="339"/>
      <c r="Z9" s="339"/>
      <c r="AA9" s="7"/>
      <c r="AB9" s="7"/>
      <c r="AC9" s="7"/>
      <c r="AD9" s="7"/>
    </row>
    <row r="10" spans="1:30">
      <c r="A10" s="7"/>
      <c r="B10" s="7"/>
      <c r="C10" s="7"/>
      <c r="D10" s="7"/>
      <c r="E10" s="7"/>
      <c r="F10" s="7"/>
      <c r="G10" s="7"/>
      <c r="H10" s="7"/>
      <c r="I10" s="7"/>
      <c r="J10" s="7"/>
      <c r="K10" s="7"/>
      <c r="L10" s="7"/>
      <c r="M10" s="7"/>
      <c r="N10" s="343"/>
      <c r="O10" s="343"/>
      <c r="P10" s="343"/>
      <c r="Q10" s="343"/>
      <c r="R10" s="343"/>
      <c r="S10" s="343"/>
      <c r="T10" s="339"/>
      <c r="U10" s="339"/>
      <c r="V10" s="339"/>
      <c r="W10" s="339"/>
      <c r="X10" s="339"/>
      <c r="Y10" s="339"/>
      <c r="Z10" s="339"/>
      <c r="AA10" s="7"/>
      <c r="AB10" s="7"/>
      <c r="AC10" s="7"/>
      <c r="AD10" s="7"/>
    </row>
    <row r="11" spans="1:30" hidden="1">
      <c r="A11" s="7"/>
      <c r="B11" s="7"/>
      <c r="C11" s="7"/>
      <c r="D11" s="205" t="s">
        <v>136</v>
      </c>
      <c r="E11" s="205"/>
      <c r="F11" s="205"/>
      <c r="G11" s="205"/>
      <c r="H11" s="205"/>
      <c r="I11" s="205"/>
      <c r="J11" s="205"/>
      <c r="K11" s="205"/>
      <c r="L11" s="205"/>
      <c r="M11" s="7"/>
      <c r="N11" s="343"/>
      <c r="O11" s="343"/>
      <c r="P11" s="343"/>
      <c r="Q11" s="343"/>
      <c r="R11" s="343"/>
      <c r="S11" s="343"/>
      <c r="T11" s="339"/>
      <c r="U11" s="339"/>
      <c r="V11" s="339"/>
      <c r="W11" s="339"/>
      <c r="X11" s="339"/>
      <c r="Y11" s="339"/>
      <c r="Z11" s="339"/>
      <c r="AA11" s="7"/>
      <c r="AB11" s="7"/>
      <c r="AC11" s="7"/>
      <c r="AD11" s="7"/>
    </row>
    <row r="12" spans="1:30" ht="66" hidden="1">
      <c r="A12" s="7"/>
      <c r="B12" s="59" t="s">
        <v>1</v>
      </c>
      <c r="C12" s="59" t="s">
        <v>54</v>
      </c>
      <c r="D12" s="60" t="s">
        <v>85</v>
      </c>
      <c r="E12" s="61" t="s">
        <v>278</v>
      </c>
      <c r="F12" s="61" t="s">
        <v>86</v>
      </c>
      <c r="G12" s="61" t="s">
        <v>88</v>
      </c>
      <c r="H12" s="61" t="s">
        <v>87</v>
      </c>
      <c r="I12" s="61" t="s">
        <v>89</v>
      </c>
      <c r="J12" s="61" t="s">
        <v>90</v>
      </c>
      <c r="K12" s="61" t="s">
        <v>91</v>
      </c>
      <c r="L12" s="61" t="s">
        <v>92</v>
      </c>
      <c r="M12" s="7"/>
      <c r="N12" s="343"/>
      <c r="O12" s="343"/>
      <c r="P12" s="343"/>
      <c r="Q12" s="343"/>
      <c r="R12" s="343"/>
      <c r="S12" s="343"/>
      <c r="T12" s="339"/>
      <c r="U12" s="339"/>
      <c r="V12" s="339"/>
      <c r="W12" s="339"/>
      <c r="X12" s="339"/>
      <c r="Y12" s="339"/>
      <c r="Z12" s="339"/>
      <c r="AA12" s="7"/>
      <c r="AB12" s="7"/>
      <c r="AC12" s="7"/>
      <c r="AD12" s="7"/>
    </row>
    <row r="13" spans="1:30" ht="16.5" hidden="1" customHeight="1">
      <c r="A13" s="7"/>
      <c r="B13" s="29">
        <f>'RESUMEN P1'!$B$13</f>
        <v>3</v>
      </c>
      <c r="C13" s="57" t="str">
        <f>'RESUMEN P1'!$C$13</f>
        <v>CONSORCIO ILUMINACIÓN IBE24</v>
      </c>
      <c r="D13" s="58">
        <f>'RESUMEN PT'!$K$15</f>
        <v>5400852624</v>
      </c>
      <c r="E13" s="181"/>
      <c r="F13" s="29">
        <f>(1-ABS(($E$14-D13)/$E$14))*70</f>
        <v>69.992974296713655</v>
      </c>
      <c r="G13" s="29">
        <f>'RESUMEN PT'!E15</f>
        <v>18.5</v>
      </c>
      <c r="H13" s="29">
        <f>'RESUMEN PT'!F15</f>
        <v>10</v>
      </c>
      <c r="I13" s="29">
        <f>'RESUMEN PT'!G15</f>
        <v>1</v>
      </c>
      <c r="J13" s="29">
        <f>'RESUMEN PT'!H15</f>
        <v>0.25</v>
      </c>
      <c r="K13" s="29">
        <f>'RESUMEN PT'!I15</f>
        <v>0.25</v>
      </c>
      <c r="L13" s="29">
        <f>F13+G13+H13+I13+J13+K13</f>
        <v>99.992974296713655</v>
      </c>
      <c r="M13" s="7"/>
      <c r="N13" s="343"/>
      <c r="O13" s="343"/>
      <c r="P13" s="343"/>
      <c r="Q13" s="343"/>
      <c r="R13" s="343"/>
      <c r="S13" s="343"/>
      <c r="T13" s="340" t="s">
        <v>140</v>
      </c>
      <c r="U13" s="340"/>
      <c r="V13" s="340"/>
      <c r="W13" s="340"/>
      <c r="X13" s="340"/>
      <c r="Y13" s="340"/>
      <c r="Z13" s="340"/>
      <c r="AA13" s="7"/>
      <c r="AB13" s="7"/>
      <c r="AC13" s="7"/>
      <c r="AD13" s="7"/>
    </row>
    <row r="14" spans="1:30" hidden="1">
      <c r="A14" s="7"/>
      <c r="B14" s="29">
        <f>'RESUMEN P1'!$B$12</f>
        <v>2</v>
      </c>
      <c r="C14" s="57" t="str">
        <f>'RESUMEN P1'!$C$12</f>
        <v>RAPIDEXXUS</v>
      </c>
      <c r="D14" s="58">
        <f>'RESUMEN PT'!$K$14</f>
        <v>5400310610</v>
      </c>
      <c r="E14" s="180">
        <f>$D$14</f>
        <v>5400310610</v>
      </c>
      <c r="F14" s="29">
        <v>70</v>
      </c>
      <c r="G14" s="29">
        <f>'RESUMEN PT'!E14</f>
        <v>18.5</v>
      </c>
      <c r="H14" s="29">
        <f>'RESUMEN PT'!F14</f>
        <v>10</v>
      </c>
      <c r="I14" s="29">
        <f>'RESUMEN PT'!G14</f>
        <v>1</v>
      </c>
      <c r="J14" s="29">
        <f>'RESUMEN PT'!H14</f>
        <v>0.25</v>
      </c>
      <c r="K14" s="29">
        <f>'RESUMEN PT'!I14</f>
        <v>0.25</v>
      </c>
      <c r="L14" s="77">
        <f>F14+G14+H14+I14+J14+K14</f>
        <v>100</v>
      </c>
      <c r="M14" s="7"/>
      <c r="N14" s="343"/>
      <c r="O14" s="343"/>
      <c r="P14" s="343"/>
      <c r="Q14" s="343"/>
      <c r="R14" s="343"/>
      <c r="S14" s="343"/>
      <c r="T14" s="340"/>
      <c r="U14" s="340"/>
      <c r="V14" s="340"/>
      <c r="W14" s="340"/>
      <c r="X14" s="340"/>
      <c r="Y14" s="340"/>
      <c r="Z14" s="340"/>
      <c r="AA14" s="7"/>
      <c r="AB14" s="7"/>
      <c r="AC14" s="7"/>
      <c r="AD14" s="7"/>
    </row>
    <row r="15" spans="1:30" hidden="1">
      <c r="A15" s="7"/>
      <c r="B15" s="29">
        <f>'RESUMEN P1'!$B$11</f>
        <v>1</v>
      </c>
      <c r="C15" s="57" t="str">
        <f>'RESUMEN P1'!$C$11</f>
        <v>SKYTECH</v>
      </c>
      <c r="D15" s="58">
        <f>'RESUMEN PT'!$K$13</f>
        <v>5326882680</v>
      </c>
      <c r="E15" s="180"/>
      <c r="F15" s="29">
        <f>(1-ABS(($E$14-D15)/$E$14))*70</f>
        <v>69.048211210206659</v>
      </c>
      <c r="G15" s="29">
        <f>'RESUMEN PT'!E13</f>
        <v>18.5</v>
      </c>
      <c r="H15" s="29">
        <f>'RESUMEN PT'!F13</f>
        <v>10</v>
      </c>
      <c r="I15" s="29">
        <f>'RESUMEN PT'!G13</f>
        <v>1</v>
      </c>
      <c r="J15" s="29">
        <f>'RESUMEN PT'!H13</f>
        <v>0.25</v>
      </c>
      <c r="K15" s="29">
        <f>'RESUMEN PT'!I13</f>
        <v>0.25</v>
      </c>
      <c r="L15" s="29">
        <f>F15+G15+H15+I15+J15+K15</f>
        <v>99.048211210206659</v>
      </c>
      <c r="M15" s="7"/>
      <c r="N15" s="343"/>
      <c r="O15" s="343"/>
      <c r="P15" s="343"/>
      <c r="Q15" s="343"/>
      <c r="R15" s="343"/>
      <c r="S15" s="343"/>
      <c r="T15" s="340"/>
      <c r="U15" s="340"/>
      <c r="V15" s="340"/>
      <c r="W15" s="340"/>
      <c r="X15" s="340"/>
      <c r="Y15" s="340"/>
      <c r="Z15" s="340"/>
      <c r="AA15" s="7"/>
      <c r="AB15" s="7"/>
      <c r="AC15" s="7"/>
      <c r="AD15" s="7"/>
    </row>
    <row r="16" spans="1:30">
      <c r="A16" s="7"/>
      <c r="B16" s="7"/>
      <c r="C16" s="7"/>
      <c r="D16" s="7"/>
      <c r="E16" s="7"/>
      <c r="F16" s="7"/>
      <c r="G16" s="7"/>
      <c r="H16" s="7"/>
      <c r="I16" s="7"/>
      <c r="J16" s="7"/>
      <c r="K16" s="7"/>
      <c r="L16" s="7"/>
      <c r="M16" s="7"/>
      <c r="N16" s="343"/>
      <c r="O16" s="343"/>
      <c r="P16" s="343"/>
      <c r="Q16" s="343"/>
      <c r="R16" s="343"/>
      <c r="S16" s="343"/>
      <c r="T16" s="340"/>
      <c r="U16" s="340"/>
      <c r="V16" s="340"/>
      <c r="W16" s="340"/>
      <c r="X16" s="340"/>
      <c r="Y16" s="340"/>
      <c r="Z16" s="340"/>
      <c r="AA16" s="7"/>
      <c r="AB16" s="7"/>
      <c r="AC16" s="7"/>
      <c r="AD16" s="7"/>
    </row>
    <row r="17" spans="1:30" hidden="1">
      <c r="A17" s="7"/>
      <c r="B17" s="7"/>
      <c r="C17" s="7"/>
      <c r="D17" s="205" t="s">
        <v>137</v>
      </c>
      <c r="E17" s="205"/>
      <c r="F17" s="205"/>
      <c r="G17" s="205"/>
      <c r="H17" s="205"/>
      <c r="I17" s="205"/>
      <c r="J17" s="205"/>
      <c r="K17" s="205"/>
      <c r="L17" s="205"/>
      <c r="M17" s="7"/>
      <c r="N17" s="342" t="s">
        <v>139</v>
      </c>
      <c r="O17" s="342"/>
      <c r="P17" s="342"/>
      <c r="Q17" s="342"/>
      <c r="R17" s="342"/>
      <c r="S17" s="342"/>
      <c r="T17" s="339"/>
      <c r="U17" s="339"/>
      <c r="V17" s="339"/>
      <c r="W17" s="339"/>
      <c r="X17" s="339"/>
      <c r="Y17" s="339"/>
      <c r="Z17" s="339"/>
      <c r="AA17" s="7"/>
      <c r="AB17" s="7"/>
      <c r="AC17" s="7"/>
      <c r="AD17" s="7"/>
    </row>
    <row r="18" spans="1:30" ht="66" hidden="1">
      <c r="A18" s="7"/>
      <c r="B18" s="59" t="s">
        <v>1</v>
      </c>
      <c r="C18" s="59" t="s">
        <v>54</v>
      </c>
      <c r="D18" s="60" t="s">
        <v>85</v>
      </c>
      <c r="E18" s="61" t="s">
        <v>93</v>
      </c>
      <c r="F18" s="61" t="s">
        <v>86</v>
      </c>
      <c r="G18" s="61" t="s">
        <v>88</v>
      </c>
      <c r="H18" s="61" t="s">
        <v>87</v>
      </c>
      <c r="I18" s="61" t="s">
        <v>89</v>
      </c>
      <c r="J18" s="61" t="s">
        <v>90</v>
      </c>
      <c r="K18" s="61" t="s">
        <v>91</v>
      </c>
      <c r="L18" s="61" t="s">
        <v>92</v>
      </c>
      <c r="M18" s="7"/>
      <c r="N18" s="206"/>
      <c r="O18" s="206"/>
      <c r="P18" s="206"/>
      <c r="Q18" s="206"/>
      <c r="R18" s="206"/>
      <c r="S18" s="206"/>
      <c r="T18" s="339"/>
      <c r="U18" s="339"/>
      <c r="V18" s="339"/>
      <c r="W18" s="339"/>
      <c r="X18" s="339"/>
      <c r="Y18" s="339"/>
      <c r="Z18" s="339"/>
      <c r="AA18" s="7"/>
      <c r="AB18" s="7"/>
      <c r="AC18" s="7"/>
      <c r="AD18" s="7"/>
    </row>
    <row r="19" spans="1:30" hidden="1">
      <c r="A19" s="7"/>
      <c r="B19" s="29">
        <f>'RESUMEN P1'!$B$11</f>
        <v>1</v>
      </c>
      <c r="C19" s="57" t="str">
        <f>'RESUMEN P1'!$C$11</f>
        <v>SKYTECH</v>
      </c>
      <c r="D19" s="58">
        <f>'RESUMEN PT'!$K$13</f>
        <v>5326882680</v>
      </c>
      <c r="E19" s="182"/>
      <c r="F19" s="29">
        <f>70*(1-((ABS($E$20-D19))/$E$20))</f>
        <v>69.36170697253776</v>
      </c>
      <c r="G19" s="29">
        <f>'RESUMEN PT'!E13</f>
        <v>18.5</v>
      </c>
      <c r="H19" s="29">
        <f>'RESUMEN PT'!F13</f>
        <v>10</v>
      </c>
      <c r="I19" s="29">
        <f>'RESUMEN PT'!G13</f>
        <v>1</v>
      </c>
      <c r="J19" s="29">
        <f>'RESUMEN PT'!H13</f>
        <v>0.25</v>
      </c>
      <c r="K19" s="29">
        <f>'RESUMEN PT'!I13</f>
        <v>0.25</v>
      </c>
      <c r="L19" s="177">
        <f>F19+G19+H19+I19+J19+K19</f>
        <v>99.36170697253776</v>
      </c>
      <c r="M19" s="7"/>
      <c r="N19" s="7"/>
      <c r="O19" s="7"/>
      <c r="P19" s="7"/>
      <c r="Q19" s="7"/>
      <c r="R19" s="339"/>
      <c r="S19" s="339"/>
      <c r="T19" s="339"/>
      <c r="U19" s="339"/>
      <c r="V19" s="339"/>
      <c r="W19" s="339"/>
      <c r="X19" s="339"/>
      <c r="Y19" s="339"/>
      <c r="Z19" s="339"/>
      <c r="AA19" s="7"/>
      <c r="AB19" s="7"/>
      <c r="AC19" s="7"/>
      <c r="AD19" s="7"/>
    </row>
    <row r="20" spans="1:30" hidden="1">
      <c r="A20" s="7"/>
      <c r="B20" s="29">
        <f>'RESUMEN P1'!$B$12</f>
        <v>2</v>
      </c>
      <c r="C20" s="57" t="str">
        <f>'RESUMEN P1'!$C$12</f>
        <v>RAPIDEXXUS</v>
      </c>
      <c r="D20" s="58">
        <f>'RESUMEN PT'!$K$14</f>
        <v>5400310610</v>
      </c>
      <c r="E20" s="183">
        <f>GEOMEAN(D19:D21)</f>
        <v>5375902697.2567778</v>
      </c>
      <c r="F20" s="29">
        <v>70</v>
      </c>
      <c r="G20" s="29">
        <f>'RESUMEN PT'!E14</f>
        <v>18.5</v>
      </c>
      <c r="H20" s="29">
        <f>'RESUMEN PT'!F14</f>
        <v>10</v>
      </c>
      <c r="I20" s="29">
        <f>'RESUMEN PT'!G14</f>
        <v>1</v>
      </c>
      <c r="J20" s="29">
        <f>'RESUMEN PT'!H14</f>
        <v>0.25</v>
      </c>
      <c r="K20" s="29">
        <f>'RESUMEN PT'!I14</f>
        <v>0.25</v>
      </c>
      <c r="L20" s="77">
        <f>F20+G20+H20+I20+J20+K20</f>
        <v>100</v>
      </c>
      <c r="M20" s="7"/>
      <c r="N20" s="7"/>
      <c r="O20" s="7"/>
      <c r="P20" s="7"/>
      <c r="Q20" s="7"/>
      <c r="R20" s="339"/>
      <c r="S20" s="339"/>
      <c r="T20" s="339"/>
      <c r="U20" s="339"/>
      <c r="V20" s="339"/>
      <c r="W20" s="339"/>
      <c r="X20" s="339"/>
      <c r="Y20" s="339"/>
      <c r="Z20" s="339"/>
      <c r="AA20" s="7"/>
      <c r="AB20" s="7"/>
      <c r="AC20" s="7"/>
      <c r="AD20" s="7"/>
    </row>
    <row r="21" spans="1:30" hidden="1">
      <c r="A21" s="7"/>
      <c r="B21" s="29">
        <f>'RESUMEN P1'!$B$13</f>
        <v>3</v>
      </c>
      <c r="C21" s="57" t="str">
        <f>'RESUMEN P1'!$C$13</f>
        <v>CONSORCIO ILUMINACIÓN IBE24</v>
      </c>
      <c r="D21" s="58">
        <f>'RESUMEN PT'!$K$15</f>
        <v>5400852624</v>
      </c>
      <c r="E21" s="182"/>
      <c r="F21" s="29">
        <f>70*(1-((ABS($E$20-D21))/$E$20))</f>
        <v>69.67512528213787</v>
      </c>
      <c r="G21" s="29">
        <f>'RESUMEN PT'!E15</f>
        <v>18.5</v>
      </c>
      <c r="H21" s="29">
        <f>'RESUMEN PT'!F15</f>
        <v>10</v>
      </c>
      <c r="I21" s="29">
        <f>'RESUMEN PT'!G15</f>
        <v>1</v>
      </c>
      <c r="J21" s="29">
        <f>'RESUMEN PT'!H15</f>
        <v>0.25</v>
      </c>
      <c r="K21" s="29">
        <f>'RESUMEN PT'!I15</f>
        <v>0.25</v>
      </c>
      <c r="L21" s="177">
        <f>F21+G21+H21+I21+J21+K21</f>
        <v>99.67512528213787</v>
      </c>
      <c r="M21" s="7"/>
      <c r="N21" s="64">
        <f>$E$20-D19</f>
        <v>49020017.256777763</v>
      </c>
      <c r="O21" s="7"/>
      <c r="P21" s="7"/>
      <c r="Q21" s="7"/>
      <c r="R21" s="339"/>
      <c r="S21" s="339"/>
      <c r="T21" s="339"/>
      <c r="U21" s="339"/>
      <c r="V21" s="339"/>
      <c r="W21" s="339"/>
      <c r="X21" s="339"/>
      <c r="Y21" s="339"/>
      <c r="Z21" s="339"/>
      <c r="AA21" s="7"/>
      <c r="AB21" s="7"/>
      <c r="AC21" s="7"/>
      <c r="AD21" s="7"/>
    </row>
    <row r="22" spans="1:30">
      <c r="A22" s="7"/>
      <c r="B22" s="9"/>
      <c r="C22" s="184"/>
      <c r="D22" s="7"/>
      <c r="E22" s="7"/>
      <c r="F22" s="7"/>
      <c r="G22" s="7"/>
      <c r="H22" s="7"/>
      <c r="I22" s="7"/>
      <c r="J22" s="7"/>
      <c r="K22" s="7"/>
      <c r="L22" s="7"/>
      <c r="M22" s="7"/>
      <c r="N22" s="64">
        <f>D20-$E$20</f>
        <v>24407912.743222237</v>
      </c>
      <c r="O22" s="7"/>
      <c r="P22" s="7"/>
      <c r="Q22" s="7"/>
      <c r="R22" s="339"/>
      <c r="S22" s="339"/>
      <c r="T22" s="339"/>
      <c r="U22" s="339"/>
      <c r="V22" s="339"/>
      <c r="W22" s="339"/>
      <c r="X22" s="339"/>
      <c r="Y22" s="339"/>
      <c r="Z22" s="339"/>
      <c r="AA22" s="7"/>
      <c r="AB22" s="7"/>
      <c r="AC22" s="7"/>
      <c r="AD22" s="7"/>
    </row>
    <row r="23" spans="1:30">
      <c r="A23" s="7"/>
      <c r="B23" s="178" t="s">
        <v>94</v>
      </c>
      <c r="C23" s="62">
        <f>'RESUMEN PT'!K11</f>
        <v>5493701977</v>
      </c>
      <c r="D23" s="205" t="s">
        <v>138</v>
      </c>
      <c r="E23" s="205"/>
      <c r="F23" s="205"/>
      <c r="G23" s="205"/>
      <c r="H23" s="205"/>
      <c r="I23" s="205"/>
      <c r="J23" s="205"/>
      <c r="K23" s="205"/>
      <c r="L23" s="205"/>
      <c r="M23" s="7"/>
      <c r="N23" s="64">
        <f>D21-$E$20</f>
        <v>24949926.743222237</v>
      </c>
      <c r="O23" s="7"/>
      <c r="P23" s="7"/>
      <c r="Q23" s="7"/>
      <c r="R23" s="339"/>
      <c r="S23" s="339"/>
      <c r="T23" s="339"/>
      <c r="U23" s="339"/>
      <c r="V23" s="339"/>
      <c r="W23" s="339"/>
      <c r="X23" s="339"/>
      <c r="Y23" s="339"/>
      <c r="Z23" s="339"/>
      <c r="AA23" s="7"/>
      <c r="AB23" s="7"/>
      <c r="AC23" s="7"/>
      <c r="AD23" s="7"/>
    </row>
    <row r="24" spans="1:30" ht="66">
      <c r="A24" s="7"/>
      <c r="B24" s="59" t="s">
        <v>1</v>
      </c>
      <c r="C24" s="59" t="s">
        <v>54</v>
      </c>
      <c r="D24" s="60" t="s">
        <v>85</v>
      </c>
      <c r="E24" s="61" t="s">
        <v>279</v>
      </c>
      <c r="F24" s="61" t="s">
        <v>86</v>
      </c>
      <c r="G24" s="61" t="s">
        <v>88</v>
      </c>
      <c r="H24" s="61" t="s">
        <v>87</v>
      </c>
      <c r="I24" s="61" t="s">
        <v>89</v>
      </c>
      <c r="J24" s="61" t="s">
        <v>90</v>
      </c>
      <c r="K24" s="61" t="s">
        <v>91</v>
      </c>
      <c r="L24" s="61" t="s">
        <v>92</v>
      </c>
      <c r="M24" s="7"/>
      <c r="N24" s="7"/>
      <c r="O24" s="7"/>
      <c r="P24" s="7"/>
      <c r="Q24" s="7"/>
      <c r="R24" s="339"/>
      <c r="S24" s="339"/>
      <c r="T24" s="339"/>
      <c r="U24" s="339"/>
      <c r="V24" s="339"/>
      <c r="W24" s="339"/>
      <c r="X24" s="339"/>
      <c r="Y24" s="339"/>
      <c r="Z24" s="339"/>
      <c r="AA24" s="7"/>
      <c r="AB24" s="7"/>
      <c r="AC24" s="7"/>
      <c r="AD24" s="7"/>
    </row>
    <row r="25" spans="1:30">
      <c r="A25" s="7"/>
      <c r="B25" s="207"/>
      <c r="C25" s="208"/>
      <c r="D25" s="209"/>
      <c r="E25" s="63" t="s">
        <v>280</v>
      </c>
      <c r="F25" s="207"/>
      <c r="G25" s="208"/>
      <c r="H25" s="208"/>
      <c r="I25" s="208"/>
      <c r="J25" s="208"/>
      <c r="K25" s="208"/>
      <c r="L25" s="209"/>
      <c r="M25" s="7"/>
      <c r="N25" s="7"/>
      <c r="O25" s="7"/>
      <c r="P25" s="7"/>
      <c r="Q25" s="7"/>
      <c r="R25" s="339"/>
      <c r="S25" s="339"/>
      <c r="T25" s="339"/>
      <c r="U25" s="339"/>
      <c r="V25" s="339"/>
      <c r="W25" s="339"/>
      <c r="X25" s="339"/>
      <c r="Y25" s="339"/>
      <c r="Z25" s="339"/>
      <c r="AA25" s="7"/>
      <c r="AB25" s="7"/>
      <c r="AC25" s="7"/>
      <c r="AD25" s="7"/>
    </row>
    <row r="26" spans="1:30">
      <c r="A26" s="7"/>
      <c r="B26" s="210"/>
      <c r="C26" s="211"/>
      <c r="D26" s="212"/>
      <c r="E26" s="185">
        <f>($D$27+(AVERAGE(D27:D29)))/2</f>
        <v>5351448992.333334</v>
      </c>
      <c r="F26" s="210"/>
      <c r="G26" s="211"/>
      <c r="H26" s="211"/>
      <c r="I26" s="211"/>
      <c r="J26" s="211"/>
      <c r="K26" s="211"/>
      <c r="L26" s="212"/>
      <c r="M26" s="7"/>
      <c r="N26" s="7"/>
      <c r="O26" s="7"/>
      <c r="P26" s="7"/>
      <c r="Q26" s="7"/>
      <c r="R26" s="339"/>
      <c r="S26" s="339"/>
      <c r="T26" s="339"/>
      <c r="U26" s="339"/>
      <c r="V26" s="339"/>
      <c r="W26" s="339"/>
      <c r="X26" s="339"/>
      <c r="Y26" s="339"/>
      <c r="Z26" s="339"/>
      <c r="AA26" s="7"/>
      <c r="AB26" s="7"/>
      <c r="AC26" s="7"/>
      <c r="AD26" s="7"/>
    </row>
    <row r="27" spans="1:30">
      <c r="A27" s="7"/>
      <c r="B27" s="29">
        <f>'RESUMEN P1'!$B$11</f>
        <v>1</v>
      </c>
      <c r="C27" s="57" t="str">
        <f>'RESUMEN P1'!$C$11</f>
        <v>SKYTECH</v>
      </c>
      <c r="D27" s="58">
        <f>'RESUMEN PT'!$K$13</f>
        <v>5326882680</v>
      </c>
      <c r="E27" s="179"/>
      <c r="F27" s="29">
        <f>70*(1-(($E$26-D27)/$E$26))</f>
        <v>69.678658646322333</v>
      </c>
      <c r="G27" s="29">
        <f>'RESUMEN PT'!E13</f>
        <v>18.5</v>
      </c>
      <c r="H27" s="29">
        <f>'RESUMEN PT'!F13</f>
        <v>10</v>
      </c>
      <c r="I27" s="29">
        <f>'RESUMEN PT'!G13</f>
        <v>1</v>
      </c>
      <c r="J27" s="29">
        <f>'RESUMEN PT'!H13</f>
        <v>0.25</v>
      </c>
      <c r="K27" s="29">
        <f>'RESUMEN PT'!I13</f>
        <v>0.25</v>
      </c>
      <c r="L27" s="77">
        <f>F27+G27+H27+I27+J27+K27</f>
        <v>99.678658646322333</v>
      </c>
      <c r="M27" s="7"/>
      <c r="N27" s="7"/>
      <c r="O27" s="7"/>
      <c r="P27" s="7"/>
      <c r="Q27" s="7"/>
      <c r="R27" s="339"/>
      <c r="S27" s="339"/>
      <c r="T27" s="339"/>
      <c r="U27" s="339"/>
      <c r="V27" s="339"/>
      <c r="W27" s="339"/>
      <c r="X27" s="339"/>
      <c r="Y27" s="339"/>
      <c r="Z27" s="339"/>
      <c r="AA27" s="7"/>
      <c r="AB27" s="7"/>
      <c r="AC27" s="7"/>
      <c r="AD27" s="7"/>
    </row>
    <row r="28" spans="1:30">
      <c r="A28" s="7"/>
      <c r="B28" s="29">
        <f>'RESUMEN P1'!$B$12</f>
        <v>2</v>
      </c>
      <c r="C28" s="57" t="str">
        <f>'RESUMEN P1'!$C$12</f>
        <v>RAPIDEXXUS</v>
      </c>
      <c r="D28" s="58">
        <f>'RESUMEN PT'!$K$14</f>
        <v>5400310610</v>
      </c>
      <c r="E28" s="179"/>
      <c r="F28" s="29">
        <f>70*(1-((ABS($E$26-D28))/$E$26))</f>
        <v>69.360862218519387</v>
      </c>
      <c r="G28" s="29">
        <f>'RESUMEN PT'!E14</f>
        <v>18.5</v>
      </c>
      <c r="H28" s="29">
        <f>'RESUMEN PT'!F14</f>
        <v>10</v>
      </c>
      <c r="I28" s="29">
        <f>'RESUMEN PT'!G14</f>
        <v>1</v>
      </c>
      <c r="J28" s="29">
        <f>'RESUMEN PT'!H14</f>
        <v>0.25</v>
      </c>
      <c r="K28" s="29">
        <f>'RESUMEN PT'!I14</f>
        <v>0.25</v>
      </c>
      <c r="L28" s="177">
        <f>F28+G28+H28+I28+J28+K28</f>
        <v>99.360862218519387</v>
      </c>
      <c r="M28" s="7"/>
      <c r="N28" s="7"/>
      <c r="O28" s="7"/>
      <c r="P28" s="7"/>
      <c r="Q28" s="7"/>
      <c r="R28" s="339"/>
      <c r="S28" s="339"/>
      <c r="T28" s="339"/>
      <c r="U28" s="339"/>
      <c r="V28" s="339"/>
      <c r="W28" s="339"/>
      <c r="X28" s="339"/>
      <c r="Y28" s="339"/>
      <c r="Z28" s="339"/>
      <c r="AA28" s="7"/>
      <c r="AB28" s="7"/>
      <c r="AC28" s="7"/>
      <c r="AD28" s="7"/>
    </row>
    <row r="29" spans="1:30">
      <c r="A29" s="7"/>
      <c r="B29" s="29">
        <f>'RESUMEN P1'!$B$13</f>
        <v>3</v>
      </c>
      <c r="C29" s="57" t="str">
        <f>'RESUMEN P1'!$C$13</f>
        <v>CONSORCIO ILUMINACIÓN IBE24</v>
      </c>
      <c r="D29" s="58">
        <f>'RESUMEN PT'!$K$15</f>
        <v>5400852624</v>
      </c>
      <c r="E29" s="179"/>
      <c r="F29" s="29">
        <f>70*(1-((ABS($E$26-D29))/$E$26))</f>
        <v>69.353772366770002</v>
      </c>
      <c r="G29" s="29">
        <f>'RESUMEN PT'!E15</f>
        <v>18.5</v>
      </c>
      <c r="H29" s="29">
        <f>'RESUMEN PT'!F15</f>
        <v>10</v>
      </c>
      <c r="I29" s="29">
        <f>'RESUMEN PT'!G15</f>
        <v>1</v>
      </c>
      <c r="J29" s="29">
        <f>'RESUMEN PT'!H15</f>
        <v>0.25</v>
      </c>
      <c r="K29" s="29">
        <f>'RESUMEN PT'!I15</f>
        <v>0.25</v>
      </c>
      <c r="L29" s="177">
        <f>F29+G29+H29+I29+J29+K29</f>
        <v>99.353772366770002</v>
      </c>
      <c r="M29" s="7"/>
      <c r="N29" s="7"/>
      <c r="O29" s="7"/>
      <c r="P29" s="7"/>
      <c r="Q29" s="7"/>
      <c r="R29" s="339"/>
      <c r="S29" s="339"/>
      <c r="T29" s="339"/>
      <c r="U29" s="339"/>
      <c r="V29" s="339"/>
      <c r="W29" s="339"/>
      <c r="X29" s="339"/>
      <c r="Y29" s="339"/>
      <c r="Z29" s="339"/>
      <c r="AA29" s="7"/>
      <c r="AB29" s="7"/>
      <c r="AC29" s="7"/>
      <c r="AD29" s="7"/>
    </row>
    <row r="30" spans="1:30">
      <c r="A30" s="7"/>
      <c r="B30" s="7"/>
      <c r="C30" s="7"/>
      <c r="D30" s="7"/>
      <c r="E30" s="7"/>
      <c r="F30" s="7"/>
      <c r="G30" s="7"/>
      <c r="H30" s="7"/>
      <c r="I30" s="7"/>
      <c r="J30" s="7"/>
      <c r="K30" s="7"/>
      <c r="L30" s="7"/>
      <c r="M30" s="7"/>
      <c r="N30" s="7"/>
      <c r="O30" s="7"/>
      <c r="P30" s="7"/>
      <c r="Q30" s="7"/>
      <c r="R30" s="339"/>
      <c r="S30" s="339"/>
      <c r="T30" s="339"/>
      <c r="U30" s="339"/>
      <c r="V30" s="339"/>
      <c r="W30" s="339"/>
      <c r="X30" s="339"/>
      <c r="Y30" s="339"/>
      <c r="Z30" s="339"/>
      <c r="AA30" s="7"/>
      <c r="AB30" s="7"/>
      <c r="AC30" s="7"/>
      <c r="AD30" s="7"/>
    </row>
    <row r="31" spans="1:30" hidden="1">
      <c r="A31" s="7"/>
      <c r="B31" s="7"/>
      <c r="C31" s="7"/>
      <c r="D31" s="205" t="s">
        <v>95</v>
      </c>
      <c r="E31" s="205"/>
      <c r="F31" s="205"/>
      <c r="G31" s="205"/>
      <c r="H31" s="205"/>
      <c r="I31" s="205"/>
      <c r="J31" s="205"/>
      <c r="K31" s="205"/>
      <c r="L31" s="205"/>
      <c r="M31" s="7"/>
      <c r="N31" s="7"/>
      <c r="O31" s="7"/>
      <c r="P31" s="7"/>
      <c r="Q31" s="7"/>
      <c r="R31" s="339"/>
      <c r="S31" s="339"/>
      <c r="T31" s="339"/>
      <c r="U31" s="339"/>
      <c r="V31" s="339"/>
      <c r="W31" s="339"/>
      <c r="X31" s="339"/>
      <c r="Y31" s="339"/>
      <c r="Z31" s="339"/>
      <c r="AA31" s="7"/>
      <c r="AB31" s="7"/>
      <c r="AC31" s="7"/>
      <c r="AD31" s="7"/>
    </row>
    <row r="32" spans="1:30" ht="66" hidden="1">
      <c r="A32" s="7"/>
      <c r="B32" s="59" t="s">
        <v>1</v>
      </c>
      <c r="C32" s="59" t="s">
        <v>54</v>
      </c>
      <c r="D32" s="60" t="s">
        <v>85</v>
      </c>
      <c r="E32" s="61" t="s">
        <v>96</v>
      </c>
      <c r="F32" s="61" t="s">
        <v>86</v>
      </c>
      <c r="G32" s="61" t="s">
        <v>88</v>
      </c>
      <c r="H32" s="61" t="s">
        <v>87</v>
      </c>
      <c r="I32" s="61" t="s">
        <v>89</v>
      </c>
      <c r="J32" s="61" t="s">
        <v>90</v>
      </c>
      <c r="K32" s="61" t="s">
        <v>91</v>
      </c>
      <c r="L32" s="61" t="s">
        <v>92</v>
      </c>
      <c r="M32" s="7"/>
      <c r="N32" s="7"/>
      <c r="O32" s="7"/>
      <c r="P32" s="7"/>
      <c r="Q32" s="7"/>
      <c r="R32" s="339"/>
      <c r="S32" s="339"/>
      <c r="T32" s="339"/>
      <c r="U32" s="339"/>
      <c r="V32" s="339"/>
      <c r="W32" s="339"/>
      <c r="X32" s="339"/>
      <c r="Y32" s="339"/>
      <c r="Z32" s="339"/>
      <c r="AA32" s="7"/>
      <c r="AB32" s="7"/>
      <c r="AC32" s="7"/>
      <c r="AD32" s="7"/>
    </row>
    <row r="33" spans="1:30" hidden="1">
      <c r="A33" s="7"/>
      <c r="B33" s="29">
        <f>'RESUMEN P1'!$B$11</f>
        <v>1</v>
      </c>
      <c r="C33" s="57" t="str">
        <f>'RESUMEN P1'!$C$11</f>
        <v>SKYTECH</v>
      </c>
      <c r="D33" s="58">
        <f>'RESUMEN PT'!$K$13</f>
        <v>5326882680</v>
      </c>
      <c r="E33" s="29"/>
      <c r="F33" s="29">
        <f>(70*$E$34)/D33</f>
        <v>70</v>
      </c>
      <c r="G33" s="29">
        <f>'RESUMEN PT'!E13</f>
        <v>18.5</v>
      </c>
      <c r="H33" s="29">
        <f>'RESUMEN PT'!F13</f>
        <v>10</v>
      </c>
      <c r="I33" s="29">
        <f>'RESUMEN PT'!G13</f>
        <v>1</v>
      </c>
      <c r="J33" s="29">
        <f>'RESUMEN PT'!H13</f>
        <v>0.25</v>
      </c>
      <c r="K33" s="29">
        <f>'RESUMEN PT'!I13</f>
        <v>0.25</v>
      </c>
      <c r="L33" s="77">
        <f>F33+G33+H33+I33+J33+K33</f>
        <v>100</v>
      </c>
      <c r="M33" s="7"/>
      <c r="N33" s="7"/>
      <c r="O33" s="7"/>
      <c r="P33" s="7"/>
      <c r="Q33" s="7"/>
      <c r="R33" s="339"/>
      <c r="S33" s="339"/>
      <c r="T33" s="339"/>
      <c r="U33" s="339"/>
      <c r="V33" s="339"/>
      <c r="W33" s="339"/>
      <c r="X33" s="339"/>
      <c r="Y33" s="339"/>
      <c r="Z33" s="339"/>
      <c r="AA33" s="7"/>
      <c r="AB33" s="7"/>
      <c r="AC33" s="7"/>
      <c r="AD33" s="7"/>
    </row>
    <row r="34" spans="1:30" hidden="1">
      <c r="A34" s="7"/>
      <c r="B34" s="29">
        <f>'RESUMEN P1'!$B$12</f>
        <v>2</v>
      </c>
      <c r="C34" s="57" t="str">
        <f>'RESUMEN P1'!$C$12</f>
        <v>RAPIDEXXUS</v>
      </c>
      <c r="D34" s="58">
        <f>'RESUMEN PT'!$K$14</f>
        <v>5400310610</v>
      </c>
      <c r="E34" s="186">
        <f>$D$33</f>
        <v>5326882680</v>
      </c>
      <c r="F34" s="29">
        <f>(70*$E$34)/D34</f>
        <v>69.048211210206659</v>
      </c>
      <c r="G34" s="29">
        <f>'RESUMEN PT'!E14</f>
        <v>18.5</v>
      </c>
      <c r="H34" s="29">
        <f>'RESUMEN PT'!F14</f>
        <v>10</v>
      </c>
      <c r="I34" s="29">
        <f>'RESUMEN PT'!G14</f>
        <v>1</v>
      </c>
      <c r="J34" s="29">
        <f>'RESUMEN PT'!H14</f>
        <v>0.25</v>
      </c>
      <c r="K34" s="29">
        <f>'RESUMEN PT'!I14</f>
        <v>0.25</v>
      </c>
      <c r="L34" s="29">
        <f>F34+G34+H34+I34+J34+K34</f>
        <v>99.048211210206659</v>
      </c>
      <c r="M34" s="7"/>
      <c r="N34" s="7"/>
      <c r="O34" s="7"/>
      <c r="P34" s="7"/>
      <c r="Q34" s="7"/>
      <c r="R34" s="339"/>
      <c r="S34" s="339"/>
      <c r="T34" s="339"/>
      <c r="U34" s="339"/>
      <c r="V34" s="339"/>
      <c r="W34" s="339"/>
      <c r="X34" s="339"/>
      <c r="Y34" s="339"/>
      <c r="Z34" s="339"/>
      <c r="AA34" s="7"/>
      <c r="AB34" s="7"/>
      <c r="AC34" s="7"/>
      <c r="AD34" s="7"/>
    </row>
    <row r="35" spans="1:30" hidden="1">
      <c r="A35" s="7"/>
      <c r="B35" s="29">
        <f>'RESUMEN P1'!$B$13</f>
        <v>3</v>
      </c>
      <c r="C35" s="57" t="str">
        <f>'RESUMEN P1'!$C$13</f>
        <v>CONSORCIO ILUMINACIÓN IBE24</v>
      </c>
      <c r="D35" s="58">
        <f>'RESUMEN PT'!$K$15</f>
        <v>5400852624</v>
      </c>
      <c r="E35" s="29"/>
      <c r="F35" s="29">
        <f>(70*$E$34)/D35</f>
        <v>69.041281730778806</v>
      </c>
      <c r="G35" s="29">
        <f>'RESUMEN PT'!E15</f>
        <v>18.5</v>
      </c>
      <c r="H35" s="29">
        <f>'RESUMEN PT'!F15</f>
        <v>10</v>
      </c>
      <c r="I35" s="29">
        <f>'RESUMEN PT'!G15</f>
        <v>1</v>
      </c>
      <c r="J35" s="29">
        <f>'RESUMEN PT'!H15</f>
        <v>0.25</v>
      </c>
      <c r="K35" s="29">
        <f>'RESUMEN PT'!I15</f>
        <v>0.25</v>
      </c>
      <c r="L35" s="177">
        <f>F35+G35+H35+I35+J35+K35</f>
        <v>99.041281730778806</v>
      </c>
      <c r="M35" s="7"/>
      <c r="N35" s="7"/>
      <c r="O35" s="7"/>
      <c r="P35" s="7"/>
      <c r="Q35" s="7"/>
      <c r="R35" s="339"/>
      <c r="S35" s="339"/>
      <c r="T35" s="339"/>
      <c r="U35" s="339"/>
      <c r="V35" s="339"/>
      <c r="W35" s="339"/>
      <c r="X35" s="339"/>
      <c r="Y35" s="339"/>
      <c r="Z35" s="339"/>
      <c r="AA35" s="7"/>
      <c r="AB35" s="7"/>
      <c r="AC35" s="7"/>
      <c r="AD35" s="7"/>
    </row>
    <row r="36" spans="1:30">
      <c r="A36" s="7"/>
      <c r="B36" s="7"/>
      <c r="C36" s="7"/>
      <c r="D36" s="7"/>
      <c r="E36" s="7"/>
      <c r="F36" s="7"/>
      <c r="G36" s="7"/>
      <c r="H36" s="7"/>
      <c r="I36" s="7"/>
      <c r="J36" s="7"/>
      <c r="K36" s="7"/>
      <c r="L36" s="7"/>
      <c r="M36" s="7"/>
      <c r="N36" s="7"/>
      <c r="O36" s="7"/>
      <c r="P36" s="7"/>
      <c r="Q36" s="7"/>
      <c r="R36" s="339"/>
      <c r="S36" s="339"/>
      <c r="T36" s="339"/>
      <c r="U36" s="339"/>
      <c r="V36" s="339"/>
      <c r="W36" s="339"/>
      <c r="X36" s="339"/>
      <c r="Y36" s="339"/>
      <c r="Z36" s="339"/>
      <c r="AA36" s="7"/>
      <c r="AB36" s="7"/>
      <c r="AC36" s="7"/>
      <c r="AD36" s="7"/>
    </row>
    <row r="37" spans="1:30">
      <c r="A37" s="7"/>
      <c r="B37" s="7"/>
      <c r="C37" s="7"/>
      <c r="D37" s="7"/>
      <c r="E37" s="7"/>
      <c r="F37" s="64"/>
      <c r="G37" s="7"/>
      <c r="H37" s="7"/>
      <c r="I37" s="7"/>
      <c r="J37" s="7"/>
      <c r="K37" s="7"/>
      <c r="L37" s="7"/>
      <c r="M37" s="7"/>
      <c r="N37" s="7"/>
      <c r="O37" s="7"/>
      <c r="P37" s="7"/>
      <c r="Q37" s="7"/>
      <c r="R37" s="339"/>
      <c r="S37" s="339"/>
      <c r="T37" s="339"/>
      <c r="U37" s="339"/>
      <c r="V37" s="339"/>
      <c r="W37" s="339"/>
      <c r="X37" s="339"/>
      <c r="Y37" s="339"/>
      <c r="Z37" s="339"/>
      <c r="AA37" s="7"/>
      <c r="AB37" s="7"/>
      <c r="AC37" s="7"/>
      <c r="AD37" s="7"/>
    </row>
    <row r="38" spans="1:30">
      <c r="A38" s="7"/>
      <c r="B38" s="7"/>
      <c r="C38" s="7"/>
      <c r="D38" s="7"/>
      <c r="E38" s="7"/>
      <c r="F38" s="7"/>
      <c r="G38" s="7"/>
      <c r="H38" s="7"/>
      <c r="I38" s="7"/>
      <c r="J38" s="7"/>
      <c r="K38" s="7"/>
      <c r="L38" s="7"/>
      <c r="M38" s="7"/>
      <c r="N38" s="7"/>
      <c r="O38" s="7"/>
      <c r="P38" s="7"/>
      <c r="Q38" s="7"/>
      <c r="R38" s="339"/>
      <c r="S38" s="339"/>
      <c r="T38" s="339"/>
      <c r="U38" s="339"/>
      <c r="V38" s="339"/>
      <c r="W38" s="339"/>
      <c r="X38" s="339"/>
      <c r="Y38" s="339"/>
      <c r="Z38" s="339"/>
      <c r="AA38" s="7"/>
      <c r="AB38" s="7"/>
      <c r="AC38" s="7"/>
      <c r="AD38" s="7"/>
    </row>
    <row r="39" spans="1:30">
      <c r="A39" s="7"/>
      <c r="B39" s="7"/>
      <c r="C39" s="7"/>
      <c r="D39" s="7"/>
      <c r="E39" s="7"/>
      <c r="F39" s="7"/>
      <c r="G39" s="7"/>
      <c r="H39" s="7"/>
      <c r="I39" s="7"/>
      <c r="J39" s="7"/>
      <c r="K39" s="7"/>
      <c r="L39" s="7"/>
      <c r="M39" s="7"/>
      <c r="N39" s="7"/>
      <c r="O39" s="7"/>
      <c r="P39" s="7"/>
      <c r="Q39" s="7"/>
      <c r="R39" s="339"/>
      <c r="S39" s="339"/>
      <c r="T39" s="339"/>
      <c r="U39" s="339"/>
      <c r="V39" s="339"/>
      <c r="W39" s="339"/>
      <c r="X39" s="339"/>
      <c r="Y39" s="339"/>
      <c r="Z39" s="339"/>
      <c r="AA39" s="7"/>
      <c r="AB39" s="7"/>
      <c r="AC39" s="7"/>
      <c r="AD39" s="7"/>
    </row>
    <row r="40" spans="1:30">
      <c r="A40" s="7"/>
      <c r="B40" s="7"/>
      <c r="C40" s="7"/>
      <c r="D40" s="7"/>
      <c r="E40" s="7"/>
      <c r="F40" s="7"/>
      <c r="G40" s="7"/>
      <c r="H40" s="7"/>
      <c r="I40" s="7"/>
      <c r="J40" s="7"/>
      <c r="K40" s="7"/>
      <c r="L40" s="7"/>
      <c r="M40" s="7"/>
      <c r="N40" s="7"/>
      <c r="O40" s="7"/>
      <c r="P40" s="7"/>
      <c r="Q40" s="7"/>
      <c r="R40" s="339"/>
      <c r="S40" s="339"/>
      <c r="T40" s="339"/>
      <c r="U40" s="339"/>
      <c r="V40" s="339"/>
      <c r="W40" s="339"/>
      <c r="X40" s="339"/>
      <c r="Y40" s="339"/>
      <c r="Z40" s="339"/>
      <c r="AA40" s="7"/>
      <c r="AB40" s="7"/>
      <c r="AC40" s="7"/>
      <c r="AD40" s="7"/>
    </row>
    <row r="41" spans="1:30">
      <c r="A41" s="7"/>
      <c r="B41" s="7"/>
      <c r="C41" s="7"/>
      <c r="D41" s="7"/>
      <c r="E41" s="7"/>
      <c r="F41" s="7"/>
      <c r="G41" s="7"/>
      <c r="H41" s="7"/>
      <c r="I41" s="7"/>
      <c r="J41" s="7"/>
      <c r="K41" s="7"/>
      <c r="L41" s="7"/>
      <c r="M41" s="7"/>
      <c r="N41" s="7"/>
      <c r="O41" s="7"/>
      <c r="P41" s="7"/>
      <c r="Q41" s="7"/>
      <c r="R41" s="339"/>
      <c r="S41" s="339"/>
      <c r="T41" s="339"/>
      <c r="U41" s="339"/>
      <c r="V41" s="339"/>
      <c r="W41" s="339"/>
      <c r="X41" s="339"/>
      <c r="Y41" s="339"/>
      <c r="Z41" s="339"/>
      <c r="AA41" s="7"/>
      <c r="AB41" s="7"/>
      <c r="AC41" s="7"/>
      <c r="AD41" s="7"/>
    </row>
    <row r="42" spans="1:30">
      <c r="A42" s="7"/>
      <c r="B42" s="7"/>
      <c r="C42" s="7"/>
      <c r="D42" s="7"/>
      <c r="E42" s="7"/>
      <c r="F42" s="7"/>
      <c r="G42" s="7"/>
      <c r="H42" s="7"/>
      <c r="I42" s="7"/>
      <c r="J42" s="7"/>
      <c r="K42" s="7"/>
      <c r="L42" s="7"/>
      <c r="M42" s="7"/>
      <c r="N42" s="7"/>
      <c r="O42" s="7"/>
      <c r="P42" s="7"/>
      <c r="Q42" s="7"/>
      <c r="R42" s="339"/>
      <c r="S42" s="339"/>
      <c r="T42" s="339"/>
      <c r="U42" s="339"/>
      <c r="V42" s="339"/>
      <c r="W42" s="339"/>
      <c r="X42" s="339"/>
      <c r="Y42" s="339"/>
      <c r="Z42" s="339"/>
      <c r="AA42" s="7"/>
      <c r="AB42" s="7"/>
      <c r="AC42" s="7"/>
      <c r="AD42" s="7"/>
    </row>
    <row r="43" spans="1:30">
      <c r="A43" s="7"/>
      <c r="B43" s="7"/>
      <c r="C43" s="7"/>
      <c r="D43" s="7"/>
      <c r="E43" s="7"/>
      <c r="F43" s="7"/>
      <c r="G43" s="7"/>
      <c r="H43" s="7"/>
      <c r="I43" s="7"/>
      <c r="J43" s="7"/>
      <c r="K43" s="7"/>
      <c r="L43" s="7"/>
      <c r="M43" s="7"/>
      <c r="N43" s="7"/>
      <c r="O43" s="7"/>
      <c r="P43" s="7"/>
      <c r="Q43" s="7"/>
      <c r="R43" s="339"/>
      <c r="S43" s="339"/>
      <c r="T43" s="339"/>
      <c r="U43" s="339"/>
      <c r="V43" s="339"/>
      <c r="W43" s="339"/>
      <c r="X43" s="339"/>
      <c r="Y43" s="339"/>
      <c r="Z43" s="339"/>
      <c r="AA43" s="7"/>
      <c r="AB43" s="7"/>
      <c r="AC43" s="7"/>
      <c r="AD43" s="7"/>
    </row>
    <row r="44" spans="1:30">
      <c r="A44" s="7"/>
      <c r="B44" s="7"/>
      <c r="C44" s="7"/>
      <c r="D44" s="7"/>
      <c r="E44" s="7"/>
      <c r="F44" s="7"/>
      <c r="G44" s="7"/>
      <c r="H44" s="7"/>
      <c r="I44" s="7"/>
      <c r="J44" s="7"/>
      <c r="K44" s="7"/>
      <c r="L44" s="7"/>
      <c r="M44" s="7"/>
      <c r="N44" s="7"/>
      <c r="O44" s="7"/>
      <c r="P44" s="7"/>
      <c r="Q44" s="7"/>
      <c r="R44" s="339"/>
      <c r="S44" s="339"/>
      <c r="T44" s="339"/>
      <c r="U44" s="339"/>
      <c r="V44" s="339"/>
      <c r="W44" s="339"/>
      <c r="X44" s="339"/>
      <c r="Y44" s="339"/>
      <c r="Z44" s="339"/>
      <c r="AA44" s="7"/>
      <c r="AB44" s="7"/>
      <c r="AC44" s="7"/>
      <c r="AD44" s="7"/>
    </row>
    <row r="45" spans="1:30">
      <c r="A45" s="7"/>
      <c r="B45" s="7"/>
      <c r="C45" s="7"/>
      <c r="D45" s="7"/>
      <c r="E45" s="7"/>
      <c r="F45" s="7"/>
      <c r="G45" s="7"/>
      <c r="H45" s="7"/>
      <c r="I45" s="7"/>
      <c r="J45" s="7"/>
      <c r="K45" s="7"/>
      <c r="L45" s="7"/>
      <c r="M45" s="7"/>
      <c r="N45" s="7"/>
      <c r="O45" s="7"/>
      <c r="P45" s="7"/>
      <c r="Q45" s="7"/>
      <c r="R45" s="339"/>
      <c r="S45" s="339"/>
      <c r="T45" s="339"/>
      <c r="U45" s="339"/>
      <c r="V45" s="339"/>
      <c r="W45" s="339"/>
      <c r="X45" s="339"/>
      <c r="Y45" s="339"/>
      <c r="Z45" s="339"/>
      <c r="AA45" s="7"/>
      <c r="AB45" s="7"/>
      <c r="AC45" s="7"/>
      <c r="AD45" s="7"/>
    </row>
    <row r="46" spans="1:30">
      <c r="A46" s="7"/>
      <c r="B46" s="7"/>
      <c r="C46" s="7"/>
      <c r="D46" s="7"/>
      <c r="E46" s="7"/>
      <c r="F46" s="7"/>
      <c r="G46" s="7"/>
      <c r="H46" s="7"/>
      <c r="I46" s="7"/>
      <c r="J46" s="7"/>
      <c r="K46" s="7"/>
      <c r="L46" s="7"/>
      <c r="M46" s="7"/>
      <c r="N46" s="7"/>
      <c r="O46" s="7"/>
      <c r="P46" s="7"/>
      <c r="Q46" s="7"/>
      <c r="R46" s="339"/>
      <c r="S46" s="339"/>
      <c r="T46" s="339"/>
      <c r="U46" s="339"/>
      <c r="V46" s="339"/>
      <c r="W46" s="339"/>
      <c r="X46" s="339"/>
      <c r="Y46" s="339"/>
      <c r="Z46" s="339"/>
      <c r="AA46" s="7"/>
      <c r="AB46" s="7"/>
      <c r="AC46" s="7"/>
      <c r="AD46" s="7"/>
    </row>
    <row r="47" spans="1:30">
      <c r="A47" s="7"/>
      <c r="B47" s="7"/>
      <c r="C47" s="7"/>
      <c r="D47" s="7"/>
      <c r="E47" s="7"/>
      <c r="F47" s="7"/>
      <c r="G47" s="7"/>
      <c r="H47" s="7"/>
      <c r="I47" s="7"/>
      <c r="J47" s="7"/>
      <c r="K47" s="7"/>
      <c r="L47" s="7"/>
      <c r="M47" s="7"/>
      <c r="N47" s="7"/>
      <c r="O47" s="7"/>
      <c r="P47" s="7"/>
      <c r="Q47" s="7"/>
      <c r="R47" s="339"/>
      <c r="S47" s="339"/>
      <c r="T47" s="339"/>
      <c r="U47" s="339"/>
      <c r="V47" s="339"/>
      <c r="W47" s="339"/>
      <c r="X47" s="339"/>
      <c r="Y47" s="339"/>
      <c r="Z47" s="339"/>
      <c r="AA47" s="7"/>
      <c r="AB47" s="7"/>
      <c r="AC47" s="7"/>
      <c r="AD47" s="7"/>
    </row>
    <row r="48" spans="1:30">
      <c r="A48" s="7"/>
      <c r="B48" s="7"/>
      <c r="C48" s="7"/>
      <c r="D48" s="7"/>
      <c r="E48" s="7"/>
      <c r="F48" s="7"/>
      <c r="G48" s="7"/>
      <c r="H48" s="7"/>
      <c r="I48" s="7"/>
      <c r="J48" s="7"/>
      <c r="K48" s="7"/>
      <c r="L48" s="7"/>
      <c r="M48" s="7"/>
      <c r="N48" s="7"/>
      <c r="O48" s="7"/>
      <c r="P48" s="7"/>
      <c r="Q48" s="7"/>
      <c r="R48" s="339"/>
      <c r="S48" s="339"/>
      <c r="T48" s="339"/>
      <c r="U48" s="339"/>
      <c r="V48" s="339"/>
      <c r="W48" s="339"/>
      <c r="X48" s="339"/>
      <c r="Y48" s="339"/>
      <c r="Z48" s="339"/>
      <c r="AA48" s="7"/>
      <c r="AB48" s="7"/>
      <c r="AC48" s="7"/>
      <c r="AD48" s="7"/>
    </row>
    <row r="49" spans="1:30">
      <c r="A49" s="7"/>
      <c r="B49" s="7"/>
      <c r="C49" s="7"/>
      <c r="D49" s="7"/>
      <c r="E49" s="7"/>
      <c r="F49" s="7"/>
      <c r="G49" s="7"/>
      <c r="H49" s="7"/>
      <c r="I49" s="7"/>
      <c r="J49" s="7"/>
      <c r="K49" s="7"/>
      <c r="L49" s="7"/>
      <c r="M49" s="7"/>
      <c r="N49" s="7"/>
      <c r="O49" s="7"/>
      <c r="P49" s="7"/>
      <c r="Q49" s="7"/>
      <c r="R49" s="339"/>
      <c r="S49" s="339"/>
      <c r="T49" s="339"/>
      <c r="U49" s="339"/>
      <c r="V49" s="339"/>
      <c r="W49" s="339"/>
      <c r="X49" s="339"/>
      <c r="Y49" s="339"/>
      <c r="Z49" s="339"/>
      <c r="AA49" s="7"/>
      <c r="AB49" s="7"/>
      <c r="AC49" s="7"/>
      <c r="AD49" s="7"/>
    </row>
    <row r="50" spans="1:30">
      <c r="A50" s="7"/>
      <c r="B50" s="7"/>
      <c r="C50" s="7"/>
      <c r="D50" s="7"/>
      <c r="E50" s="7"/>
      <c r="F50" s="7"/>
      <c r="G50" s="7"/>
      <c r="H50" s="7"/>
      <c r="I50" s="7"/>
      <c r="J50" s="7"/>
      <c r="K50" s="7"/>
      <c r="L50" s="7"/>
      <c r="M50" s="7"/>
      <c r="N50" s="7"/>
      <c r="O50" s="7"/>
      <c r="P50" s="7"/>
      <c r="Q50" s="7"/>
      <c r="R50" s="339"/>
      <c r="S50" s="339"/>
      <c r="T50" s="339"/>
      <c r="U50" s="339"/>
      <c r="V50" s="339"/>
      <c r="W50" s="339"/>
      <c r="X50" s="339"/>
      <c r="Y50" s="339"/>
      <c r="Z50" s="339"/>
      <c r="AA50" s="7"/>
      <c r="AB50" s="7"/>
      <c r="AC50" s="7"/>
      <c r="AD50" s="7"/>
    </row>
    <row r="51" spans="1:30">
      <c r="A51" s="7"/>
      <c r="B51" s="7"/>
      <c r="C51" s="7"/>
      <c r="D51" s="7"/>
      <c r="E51" s="7"/>
      <c r="F51" s="7"/>
      <c r="G51" s="7"/>
      <c r="H51" s="7"/>
      <c r="I51" s="7"/>
      <c r="J51" s="7"/>
      <c r="K51" s="7"/>
      <c r="L51" s="7"/>
      <c r="M51" s="7"/>
      <c r="N51" s="7"/>
      <c r="O51" s="7"/>
      <c r="P51" s="7"/>
      <c r="Q51" s="7"/>
      <c r="R51" s="339"/>
      <c r="S51" s="339"/>
      <c r="T51" s="339"/>
      <c r="U51" s="339"/>
      <c r="V51" s="339"/>
      <c r="W51" s="339"/>
      <c r="X51" s="339"/>
      <c r="Y51" s="339"/>
      <c r="Z51" s="339"/>
      <c r="AA51" s="7"/>
      <c r="AB51" s="7"/>
      <c r="AC51" s="7"/>
      <c r="AD51" s="7"/>
    </row>
    <row r="52" spans="1:30">
      <c r="A52" s="7"/>
      <c r="B52" s="7"/>
      <c r="C52" s="7"/>
      <c r="D52" s="7"/>
      <c r="E52" s="7"/>
      <c r="F52" s="7"/>
      <c r="G52" s="7"/>
      <c r="H52" s="7"/>
      <c r="I52" s="7"/>
      <c r="J52" s="7"/>
      <c r="K52" s="7"/>
      <c r="L52" s="7"/>
      <c r="M52" s="7"/>
      <c r="N52" s="7"/>
      <c r="O52" s="7"/>
      <c r="P52" s="7"/>
      <c r="Q52" s="7"/>
      <c r="R52" s="339"/>
      <c r="S52" s="339"/>
      <c r="T52" s="339"/>
      <c r="U52" s="339"/>
      <c r="V52" s="339"/>
      <c r="W52" s="339"/>
      <c r="X52" s="339"/>
      <c r="Y52" s="339"/>
      <c r="Z52" s="339"/>
      <c r="AA52" s="7"/>
      <c r="AB52" s="7"/>
      <c r="AC52" s="7"/>
      <c r="AD52" s="7"/>
    </row>
    <row r="53" spans="1:30">
      <c r="A53" s="7"/>
      <c r="B53" s="7"/>
      <c r="C53" s="7"/>
      <c r="D53" s="7"/>
      <c r="E53" s="7"/>
      <c r="F53" s="7"/>
      <c r="G53" s="7"/>
      <c r="H53" s="7"/>
      <c r="I53" s="7"/>
      <c r="J53" s="7"/>
      <c r="K53" s="7"/>
      <c r="L53" s="7"/>
      <c r="M53" s="7"/>
      <c r="N53" s="7"/>
      <c r="O53" s="7"/>
      <c r="P53" s="7"/>
      <c r="Q53" s="7"/>
      <c r="R53" s="339"/>
      <c r="S53" s="339"/>
      <c r="T53" s="339"/>
      <c r="U53" s="339"/>
      <c r="V53" s="339"/>
      <c r="W53" s="339"/>
      <c r="X53" s="339"/>
      <c r="Y53" s="339"/>
      <c r="Z53" s="339"/>
      <c r="AA53" s="7"/>
      <c r="AB53" s="7"/>
      <c r="AC53" s="7"/>
      <c r="AD53" s="7"/>
    </row>
    <row r="54" spans="1:30">
      <c r="A54" s="7"/>
      <c r="B54" s="7"/>
      <c r="C54" s="7"/>
      <c r="D54" s="7"/>
      <c r="E54" s="7"/>
      <c r="F54" s="7"/>
      <c r="G54" s="7"/>
      <c r="H54" s="7"/>
      <c r="I54" s="7"/>
      <c r="J54" s="7"/>
      <c r="K54" s="7"/>
      <c r="L54" s="7"/>
      <c r="M54" s="7"/>
      <c r="N54" s="7"/>
      <c r="O54" s="7"/>
      <c r="P54" s="7"/>
      <c r="Q54" s="7"/>
      <c r="R54" s="339"/>
      <c r="S54" s="339"/>
      <c r="T54" s="339"/>
      <c r="U54" s="339"/>
      <c r="V54" s="339"/>
      <c r="W54" s="339"/>
      <c r="X54" s="339"/>
      <c r="Y54" s="339"/>
      <c r="Z54" s="339"/>
      <c r="AA54" s="7"/>
      <c r="AB54" s="7"/>
      <c r="AC54" s="7"/>
      <c r="AD54" s="7"/>
    </row>
    <row r="55" spans="1:30">
      <c r="A55" s="7"/>
      <c r="B55" s="7"/>
      <c r="C55" s="7"/>
      <c r="D55" s="7"/>
      <c r="E55" s="7"/>
      <c r="F55" s="7"/>
      <c r="G55" s="7"/>
      <c r="H55" s="7"/>
      <c r="I55" s="7"/>
      <c r="J55" s="7"/>
      <c r="K55" s="7"/>
      <c r="L55" s="7"/>
      <c r="M55" s="7"/>
      <c r="N55" s="7"/>
      <c r="O55" s="7"/>
      <c r="P55" s="7"/>
      <c r="Q55" s="7"/>
      <c r="R55" s="339"/>
      <c r="S55" s="339"/>
      <c r="T55" s="339"/>
      <c r="U55" s="339"/>
      <c r="V55" s="339"/>
      <c r="W55" s="339"/>
      <c r="X55" s="339"/>
      <c r="Y55" s="339"/>
      <c r="Z55" s="339"/>
      <c r="AA55" s="7"/>
      <c r="AB55" s="7"/>
      <c r="AC55" s="7"/>
      <c r="AD55" s="7"/>
    </row>
    <row r="56" spans="1:30">
      <c r="A56" s="7"/>
      <c r="B56" s="7"/>
      <c r="C56" s="7"/>
      <c r="D56" s="7"/>
      <c r="E56" s="7"/>
      <c r="F56" s="7"/>
      <c r="G56" s="7"/>
      <c r="H56" s="7"/>
      <c r="I56" s="7"/>
      <c r="J56" s="7"/>
      <c r="K56" s="7"/>
      <c r="L56" s="7"/>
      <c r="M56" s="7"/>
      <c r="N56" s="7"/>
      <c r="O56" s="7"/>
      <c r="P56" s="7"/>
      <c r="Q56" s="7"/>
      <c r="R56" s="339"/>
      <c r="S56" s="339"/>
      <c r="T56" s="339"/>
      <c r="U56" s="339"/>
      <c r="V56" s="339"/>
      <c r="W56" s="339"/>
      <c r="X56" s="339"/>
      <c r="Y56" s="339"/>
      <c r="Z56" s="339"/>
      <c r="AA56" s="7"/>
      <c r="AB56" s="7"/>
      <c r="AC56" s="7"/>
      <c r="AD56" s="7"/>
    </row>
    <row r="57" spans="1:30">
      <c r="A57" s="7"/>
      <c r="B57" s="7"/>
      <c r="C57" s="7"/>
      <c r="D57" s="7"/>
      <c r="E57" s="7"/>
      <c r="F57" s="7"/>
      <c r="G57" s="7"/>
      <c r="H57" s="7"/>
      <c r="I57" s="7"/>
      <c r="J57" s="7"/>
      <c r="K57" s="7"/>
      <c r="L57" s="7"/>
      <c r="M57" s="7"/>
      <c r="N57" s="7"/>
      <c r="O57" s="7"/>
      <c r="P57" s="7"/>
      <c r="Q57" s="7"/>
      <c r="R57" s="339"/>
      <c r="S57" s="339"/>
      <c r="T57" s="339"/>
      <c r="U57" s="339"/>
      <c r="V57" s="339"/>
      <c r="W57" s="339"/>
      <c r="X57" s="339"/>
      <c r="Y57" s="339"/>
      <c r="Z57" s="339"/>
      <c r="AA57" s="7"/>
      <c r="AB57" s="7"/>
      <c r="AC57" s="7"/>
      <c r="AD57" s="7"/>
    </row>
    <row r="58" spans="1:30">
      <c r="A58" s="7"/>
      <c r="B58" s="7"/>
      <c r="C58" s="7"/>
      <c r="D58" s="7"/>
      <c r="E58" s="7"/>
      <c r="F58" s="7"/>
      <c r="G58" s="7"/>
      <c r="H58" s="7"/>
      <c r="I58" s="7"/>
      <c r="J58" s="7"/>
      <c r="K58" s="7"/>
      <c r="L58" s="7"/>
      <c r="M58" s="7"/>
      <c r="N58" s="7"/>
      <c r="O58" s="7"/>
      <c r="P58" s="7"/>
      <c r="Q58" s="7"/>
      <c r="R58" s="339"/>
      <c r="S58" s="339"/>
      <c r="T58" s="339"/>
      <c r="U58" s="339"/>
      <c r="V58" s="339"/>
      <c r="W58" s="339"/>
      <c r="X58" s="339"/>
      <c r="Y58" s="339"/>
      <c r="Z58" s="339"/>
      <c r="AA58" s="7"/>
      <c r="AB58" s="7"/>
      <c r="AC58" s="7"/>
      <c r="AD58" s="7"/>
    </row>
    <row r="59" spans="1:30">
      <c r="A59" s="7"/>
      <c r="B59" s="7"/>
      <c r="C59" s="7"/>
      <c r="D59" s="7"/>
      <c r="E59" s="7"/>
      <c r="F59" s="7"/>
      <c r="G59" s="7"/>
      <c r="H59" s="7"/>
      <c r="I59" s="7"/>
      <c r="J59" s="7"/>
      <c r="K59" s="7"/>
      <c r="L59" s="7"/>
      <c r="M59" s="7"/>
      <c r="N59" s="7"/>
      <c r="O59" s="7"/>
      <c r="P59" s="7"/>
      <c r="Q59" s="7"/>
      <c r="R59" s="339"/>
      <c r="S59" s="339"/>
      <c r="T59" s="339"/>
      <c r="U59" s="339"/>
      <c r="V59" s="339"/>
      <c r="W59" s="339"/>
      <c r="X59" s="339"/>
      <c r="Y59" s="339"/>
      <c r="Z59" s="339"/>
      <c r="AA59" s="7"/>
      <c r="AB59" s="7"/>
      <c r="AC59" s="7"/>
      <c r="AD59" s="7"/>
    </row>
    <row r="60" spans="1:30">
      <c r="A60" s="7"/>
      <c r="B60" s="7"/>
      <c r="C60" s="7"/>
      <c r="D60" s="7"/>
      <c r="E60" s="7"/>
      <c r="F60" s="7"/>
      <c r="G60" s="7"/>
      <c r="H60" s="7"/>
      <c r="I60" s="7"/>
      <c r="J60" s="7"/>
      <c r="K60" s="7"/>
      <c r="L60" s="7"/>
      <c r="M60" s="7"/>
      <c r="N60" s="7"/>
      <c r="O60" s="7"/>
      <c r="P60" s="7"/>
      <c r="Q60" s="7"/>
      <c r="R60" s="339"/>
      <c r="S60" s="339"/>
      <c r="T60" s="339"/>
      <c r="U60" s="339"/>
      <c r="V60" s="339"/>
      <c r="W60" s="339"/>
      <c r="X60" s="339"/>
      <c r="Y60" s="339"/>
      <c r="Z60" s="339"/>
      <c r="AA60" s="7"/>
      <c r="AB60" s="7"/>
      <c r="AC60" s="7"/>
      <c r="AD60" s="7"/>
    </row>
    <row r="61" spans="1:30">
      <c r="A61" s="7"/>
      <c r="B61" s="7"/>
      <c r="C61" s="7"/>
      <c r="D61" s="7"/>
      <c r="E61" s="7"/>
      <c r="F61" s="7"/>
      <c r="G61" s="7"/>
      <c r="H61" s="7"/>
      <c r="I61" s="7"/>
      <c r="J61" s="7"/>
      <c r="K61" s="7"/>
      <c r="L61" s="7"/>
      <c r="M61" s="7"/>
      <c r="N61" s="7"/>
      <c r="O61" s="7"/>
      <c r="P61" s="7"/>
      <c r="Q61" s="7"/>
      <c r="R61" s="339"/>
      <c r="S61" s="339"/>
      <c r="T61" s="339"/>
      <c r="U61" s="339"/>
      <c r="V61" s="339"/>
      <c r="W61" s="339"/>
      <c r="X61" s="339"/>
      <c r="Y61" s="339"/>
      <c r="Z61" s="339"/>
      <c r="AA61" s="7"/>
      <c r="AB61" s="7"/>
      <c r="AC61" s="7"/>
      <c r="AD61" s="7"/>
    </row>
    <row r="62" spans="1:30">
      <c r="A62" s="7"/>
      <c r="B62" s="7"/>
      <c r="C62" s="7"/>
      <c r="D62" s="7"/>
      <c r="E62" s="7"/>
      <c r="F62" s="7"/>
      <c r="G62" s="7"/>
      <c r="H62" s="7"/>
      <c r="I62" s="7"/>
      <c r="J62" s="7"/>
      <c r="K62" s="7"/>
      <c r="L62" s="7"/>
      <c r="M62" s="7"/>
      <c r="N62" s="7"/>
      <c r="O62" s="7"/>
      <c r="P62" s="7"/>
      <c r="Q62" s="7"/>
      <c r="R62" s="339"/>
      <c r="S62" s="339"/>
      <c r="T62" s="339"/>
      <c r="U62" s="339"/>
      <c r="V62" s="339"/>
      <c r="W62" s="339"/>
      <c r="X62" s="339"/>
      <c r="Y62" s="339"/>
      <c r="Z62" s="339"/>
      <c r="AA62" s="7"/>
      <c r="AB62" s="7"/>
      <c r="AC62" s="7"/>
      <c r="AD62" s="7"/>
    </row>
    <row r="63" spans="1:30">
      <c r="A63" s="7"/>
      <c r="B63" s="7"/>
      <c r="C63" s="7"/>
      <c r="D63" s="7"/>
      <c r="E63" s="7"/>
      <c r="F63" s="7"/>
      <c r="G63" s="7"/>
      <c r="H63" s="7"/>
      <c r="I63" s="7"/>
      <c r="J63" s="7"/>
      <c r="K63" s="7"/>
      <c r="L63" s="7"/>
      <c r="M63" s="7"/>
      <c r="N63" s="7"/>
      <c r="O63" s="7"/>
      <c r="P63" s="7"/>
      <c r="Q63" s="7"/>
      <c r="R63" s="339"/>
      <c r="S63" s="339"/>
      <c r="T63" s="339"/>
      <c r="U63" s="339"/>
      <c r="V63" s="339"/>
      <c r="W63" s="339"/>
      <c r="X63" s="339"/>
      <c r="Y63" s="339"/>
      <c r="Z63" s="339"/>
      <c r="AA63" s="7"/>
      <c r="AB63" s="7"/>
      <c r="AC63" s="7"/>
      <c r="AD63" s="7"/>
    </row>
    <row r="64" spans="1:30">
      <c r="A64" s="7"/>
      <c r="B64" s="7"/>
      <c r="C64" s="7"/>
      <c r="D64" s="7"/>
      <c r="E64" s="7"/>
      <c r="F64" s="7"/>
      <c r="G64" s="7"/>
      <c r="H64" s="7"/>
      <c r="I64" s="7"/>
      <c r="J64" s="7"/>
      <c r="K64" s="7"/>
      <c r="L64" s="7"/>
      <c r="M64" s="7"/>
      <c r="N64" s="7"/>
      <c r="O64" s="7"/>
      <c r="P64" s="7"/>
      <c r="Q64" s="7"/>
      <c r="R64" s="339"/>
      <c r="S64" s="339"/>
      <c r="T64" s="339"/>
      <c r="U64" s="339"/>
      <c r="V64" s="339"/>
      <c r="W64" s="339"/>
      <c r="X64" s="339"/>
      <c r="Y64" s="339"/>
      <c r="Z64" s="339"/>
      <c r="AA64" s="7"/>
      <c r="AB64" s="7"/>
      <c r="AC64" s="7"/>
      <c r="AD64" s="7"/>
    </row>
    <row r="65" spans="1:30">
      <c r="A65" s="7"/>
      <c r="B65" s="7"/>
      <c r="C65" s="7"/>
      <c r="D65" s="7"/>
      <c r="E65" s="7"/>
      <c r="F65" s="7"/>
      <c r="G65" s="7"/>
      <c r="H65" s="7"/>
      <c r="I65" s="7"/>
      <c r="J65" s="7"/>
      <c r="K65" s="7"/>
      <c r="L65" s="7"/>
      <c r="M65" s="7"/>
      <c r="N65" s="7"/>
      <c r="O65" s="7"/>
      <c r="P65" s="7"/>
      <c r="Q65" s="7"/>
      <c r="R65" s="339"/>
      <c r="S65" s="339"/>
      <c r="T65" s="339"/>
      <c r="U65" s="339"/>
      <c r="V65" s="339"/>
      <c r="W65" s="339"/>
      <c r="X65" s="339"/>
      <c r="Y65" s="339"/>
      <c r="Z65" s="339"/>
      <c r="AA65" s="7"/>
      <c r="AB65" s="7"/>
      <c r="AC65" s="7"/>
      <c r="AD65" s="7"/>
    </row>
    <row r="66" spans="1:30">
      <c r="A66" s="7"/>
      <c r="B66" s="7"/>
      <c r="C66" s="7"/>
      <c r="D66" s="7"/>
      <c r="E66" s="7"/>
      <c r="F66" s="7"/>
      <c r="G66" s="7"/>
      <c r="H66" s="7"/>
      <c r="I66" s="7"/>
      <c r="J66" s="7"/>
      <c r="K66" s="7"/>
      <c r="L66" s="7"/>
      <c r="M66" s="7"/>
      <c r="N66" s="7"/>
      <c r="O66" s="7"/>
      <c r="P66" s="7"/>
      <c r="Q66" s="7"/>
      <c r="R66" s="339"/>
      <c r="S66" s="339"/>
      <c r="T66" s="339"/>
      <c r="U66" s="339"/>
      <c r="V66" s="339"/>
      <c r="W66" s="339"/>
      <c r="X66" s="339"/>
      <c r="Y66" s="339"/>
      <c r="Z66" s="339"/>
      <c r="AA66" s="7"/>
      <c r="AB66" s="7"/>
      <c r="AC66" s="7"/>
      <c r="AD66" s="7"/>
    </row>
    <row r="67" spans="1:30">
      <c r="A67" s="7"/>
      <c r="B67" s="7"/>
      <c r="C67" s="7"/>
      <c r="D67" s="7"/>
      <c r="E67" s="7"/>
      <c r="F67" s="7"/>
      <c r="G67" s="7"/>
      <c r="H67" s="7"/>
      <c r="I67" s="7"/>
      <c r="J67" s="7"/>
      <c r="K67" s="7"/>
      <c r="L67" s="7"/>
      <c r="M67" s="7"/>
      <c r="N67" s="7"/>
      <c r="O67" s="7"/>
      <c r="P67" s="7"/>
      <c r="Q67" s="7"/>
      <c r="R67" s="339"/>
      <c r="S67" s="339"/>
      <c r="T67" s="339"/>
      <c r="U67" s="339"/>
      <c r="V67" s="339"/>
      <c r="W67" s="339"/>
      <c r="X67" s="339"/>
      <c r="Y67" s="339"/>
      <c r="Z67" s="339"/>
      <c r="AA67" s="7"/>
      <c r="AB67" s="7"/>
      <c r="AC67" s="7"/>
      <c r="AD67" s="7"/>
    </row>
    <row r="68" spans="1:30">
      <c r="A68" s="7"/>
      <c r="B68" s="7"/>
      <c r="C68" s="7"/>
      <c r="D68" s="7"/>
      <c r="E68" s="7"/>
      <c r="F68" s="7"/>
      <c r="G68" s="7"/>
      <c r="H68" s="7"/>
      <c r="I68" s="7"/>
      <c r="J68" s="7"/>
      <c r="K68" s="7"/>
      <c r="L68" s="7"/>
      <c r="M68" s="7"/>
      <c r="N68" s="7"/>
      <c r="O68" s="7"/>
      <c r="P68" s="7"/>
      <c r="Q68" s="7"/>
      <c r="R68" s="339"/>
      <c r="S68" s="339"/>
      <c r="T68" s="339"/>
      <c r="U68" s="339"/>
      <c r="V68" s="339"/>
      <c r="W68" s="339"/>
      <c r="X68" s="339"/>
      <c r="Y68" s="339"/>
      <c r="Z68" s="339"/>
      <c r="AA68" s="7"/>
      <c r="AB68" s="7"/>
      <c r="AC68" s="7"/>
      <c r="AD68" s="7"/>
    </row>
    <row r="69" spans="1:30">
      <c r="A69" s="7"/>
      <c r="B69" s="7"/>
      <c r="C69" s="7"/>
      <c r="D69" s="7"/>
      <c r="E69" s="7"/>
      <c r="F69" s="7"/>
      <c r="G69" s="7"/>
      <c r="H69" s="7"/>
      <c r="I69" s="7"/>
      <c r="J69" s="7"/>
      <c r="K69" s="7"/>
      <c r="L69" s="7"/>
      <c r="M69" s="7"/>
      <c r="N69" s="7"/>
      <c r="O69" s="7"/>
      <c r="P69" s="7"/>
      <c r="Q69" s="7"/>
      <c r="R69" s="339"/>
      <c r="S69" s="339"/>
      <c r="T69" s="339"/>
      <c r="U69" s="339"/>
      <c r="V69" s="339"/>
      <c r="W69" s="339"/>
      <c r="X69" s="339"/>
      <c r="Y69" s="339"/>
      <c r="Z69" s="339"/>
      <c r="AA69" s="7"/>
      <c r="AB69" s="7"/>
      <c r="AC69" s="7"/>
      <c r="AD69" s="7"/>
    </row>
    <row r="70" spans="1:30">
      <c r="A70" s="7"/>
      <c r="B70" s="7"/>
      <c r="C70" s="7"/>
      <c r="D70" s="7"/>
      <c r="E70" s="7"/>
      <c r="F70" s="7"/>
      <c r="G70" s="7"/>
      <c r="H70" s="7"/>
      <c r="I70" s="7"/>
      <c r="J70" s="7"/>
      <c r="K70" s="7"/>
      <c r="L70" s="7"/>
      <c r="M70" s="7"/>
      <c r="N70" s="7"/>
      <c r="O70" s="7"/>
      <c r="P70" s="7"/>
      <c r="Q70" s="7"/>
      <c r="R70" s="339"/>
      <c r="S70" s="339"/>
      <c r="T70" s="339"/>
      <c r="U70" s="339"/>
      <c r="V70" s="339"/>
      <c r="W70" s="339"/>
      <c r="X70" s="339"/>
      <c r="Y70" s="339"/>
      <c r="Z70" s="339"/>
      <c r="AA70" s="7"/>
      <c r="AB70" s="7"/>
      <c r="AC70" s="7"/>
      <c r="AD70" s="7"/>
    </row>
    <row r="71" spans="1:30">
      <c r="A71" s="7"/>
      <c r="B71" s="7"/>
      <c r="C71" s="7"/>
      <c r="D71" s="7"/>
      <c r="E71" s="7"/>
      <c r="F71" s="7"/>
      <c r="G71" s="7"/>
      <c r="H71" s="7"/>
      <c r="I71" s="7"/>
      <c r="J71" s="7"/>
      <c r="K71" s="7"/>
      <c r="L71" s="7"/>
      <c r="M71" s="7"/>
      <c r="N71" s="7"/>
      <c r="O71" s="7"/>
      <c r="P71" s="7"/>
      <c r="Q71" s="7"/>
      <c r="R71" s="339"/>
      <c r="S71" s="339"/>
      <c r="T71" s="339"/>
      <c r="U71" s="339"/>
      <c r="V71" s="339"/>
      <c r="W71" s="339"/>
      <c r="X71" s="339"/>
      <c r="Y71" s="339"/>
      <c r="Z71" s="339"/>
      <c r="AA71" s="7"/>
      <c r="AB71" s="7"/>
      <c r="AC71" s="7"/>
      <c r="AD71" s="7"/>
    </row>
    <row r="72" spans="1:30">
      <c r="A72" s="7"/>
      <c r="B72" s="7"/>
      <c r="C72" s="7"/>
      <c r="D72" s="7"/>
      <c r="E72" s="7"/>
      <c r="F72" s="7"/>
      <c r="G72" s="7"/>
      <c r="H72" s="7"/>
      <c r="I72" s="7"/>
      <c r="J72" s="7"/>
      <c r="K72" s="7"/>
      <c r="L72" s="7"/>
      <c r="M72" s="7"/>
      <c r="N72" s="7"/>
      <c r="O72" s="7"/>
      <c r="P72" s="7"/>
      <c r="Q72" s="7"/>
      <c r="R72" s="339"/>
      <c r="S72" s="339"/>
      <c r="T72" s="339"/>
      <c r="U72" s="339"/>
      <c r="V72" s="339"/>
      <c r="W72" s="339"/>
      <c r="X72" s="339"/>
      <c r="Y72" s="339"/>
      <c r="Z72" s="339"/>
      <c r="AA72" s="7"/>
      <c r="AB72" s="7"/>
      <c r="AC72" s="7"/>
      <c r="AD72" s="7"/>
    </row>
    <row r="73" spans="1:30">
      <c r="A73" s="7"/>
      <c r="B73" s="7"/>
      <c r="C73" s="7"/>
      <c r="D73" s="7"/>
      <c r="E73" s="7"/>
      <c r="F73" s="7"/>
      <c r="G73" s="7"/>
      <c r="H73" s="7"/>
      <c r="I73" s="7"/>
      <c r="J73" s="7"/>
      <c r="K73" s="7"/>
      <c r="L73" s="7"/>
      <c r="M73" s="7"/>
      <c r="N73" s="7"/>
      <c r="O73" s="7"/>
      <c r="P73" s="7"/>
      <c r="Q73" s="7"/>
      <c r="R73" s="339"/>
      <c r="S73" s="339"/>
      <c r="T73" s="339"/>
      <c r="U73" s="339"/>
      <c r="V73" s="339"/>
      <c r="W73" s="339"/>
      <c r="X73" s="339"/>
      <c r="Y73" s="339"/>
      <c r="Z73" s="339"/>
      <c r="AA73" s="7"/>
      <c r="AB73" s="7"/>
      <c r="AC73" s="7"/>
      <c r="AD73" s="7"/>
    </row>
    <row r="74" spans="1:30">
      <c r="A74" s="7"/>
      <c r="B74" s="7"/>
      <c r="C74" s="7"/>
      <c r="D74" s="7"/>
      <c r="E74" s="7"/>
      <c r="F74" s="7"/>
      <c r="G74" s="7"/>
      <c r="H74" s="7"/>
      <c r="I74" s="7"/>
      <c r="J74" s="7"/>
      <c r="K74" s="7"/>
      <c r="L74" s="7"/>
      <c r="M74" s="7"/>
      <c r="N74" s="7"/>
      <c r="O74" s="7"/>
      <c r="P74" s="7"/>
      <c r="Q74" s="7"/>
      <c r="R74" s="339"/>
      <c r="S74" s="339"/>
      <c r="T74" s="339"/>
      <c r="U74" s="339"/>
      <c r="V74" s="339"/>
      <c r="W74" s="339"/>
      <c r="X74" s="339"/>
      <c r="Y74" s="339"/>
      <c r="Z74" s="339"/>
      <c r="AA74" s="7"/>
      <c r="AB74" s="7"/>
      <c r="AC74" s="7"/>
      <c r="AD74" s="7"/>
    </row>
    <row r="75" spans="1:30">
      <c r="A75" s="7"/>
      <c r="B75" s="7"/>
      <c r="C75" s="7"/>
      <c r="D75" s="7"/>
      <c r="E75" s="7"/>
      <c r="F75" s="7"/>
      <c r="G75" s="7"/>
      <c r="H75" s="7"/>
      <c r="I75" s="7"/>
      <c r="J75" s="7"/>
      <c r="K75" s="7"/>
      <c r="L75" s="7"/>
      <c r="M75" s="7"/>
      <c r="N75" s="7"/>
      <c r="O75" s="7"/>
      <c r="P75" s="7"/>
      <c r="Q75" s="7"/>
      <c r="R75" s="339"/>
      <c r="S75" s="339"/>
      <c r="T75" s="339"/>
      <c r="U75" s="339"/>
      <c r="V75" s="339"/>
      <c r="W75" s="339"/>
      <c r="X75" s="339"/>
      <c r="Y75" s="339"/>
      <c r="Z75" s="339"/>
      <c r="AA75" s="7"/>
      <c r="AB75" s="7"/>
      <c r="AC75" s="7"/>
      <c r="AD75" s="7"/>
    </row>
    <row r="76" spans="1:30">
      <c r="A76" s="7"/>
      <c r="B76" s="7"/>
      <c r="C76" s="7"/>
      <c r="D76" s="7"/>
      <c r="E76" s="7"/>
      <c r="F76" s="7"/>
      <c r="G76" s="7"/>
      <c r="H76" s="7"/>
      <c r="I76" s="7"/>
      <c r="J76" s="7"/>
      <c r="K76" s="7"/>
      <c r="L76" s="7"/>
      <c r="M76" s="7"/>
      <c r="N76" s="7"/>
      <c r="O76" s="7"/>
      <c r="P76" s="7"/>
      <c r="Q76" s="7"/>
      <c r="R76" s="339"/>
      <c r="S76" s="339"/>
      <c r="T76" s="339"/>
      <c r="U76" s="339"/>
      <c r="V76" s="339"/>
      <c r="W76" s="339"/>
      <c r="X76" s="339"/>
      <c r="Y76" s="339"/>
      <c r="Z76" s="339"/>
      <c r="AA76" s="7"/>
      <c r="AB76" s="7"/>
      <c r="AC76" s="7"/>
      <c r="AD76" s="7"/>
    </row>
    <row r="77" spans="1:30">
      <c r="A77" s="7"/>
      <c r="B77" s="7"/>
      <c r="C77" s="7"/>
      <c r="D77" s="7"/>
      <c r="E77" s="7"/>
      <c r="F77" s="7"/>
      <c r="G77" s="7"/>
      <c r="H77" s="7"/>
      <c r="I77" s="7"/>
      <c r="J77" s="7"/>
      <c r="K77" s="7"/>
      <c r="L77" s="7"/>
      <c r="M77" s="7"/>
      <c r="N77" s="7"/>
      <c r="O77" s="7"/>
      <c r="P77" s="7"/>
      <c r="Q77" s="7"/>
      <c r="R77" s="339"/>
      <c r="S77" s="339"/>
      <c r="T77" s="339"/>
      <c r="U77" s="339"/>
      <c r="V77" s="339"/>
      <c r="W77" s="339"/>
      <c r="X77" s="339"/>
      <c r="Y77" s="339"/>
      <c r="Z77" s="339"/>
      <c r="AA77" s="7"/>
      <c r="AB77" s="7"/>
      <c r="AC77" s="7"/>
      <c r="AD77" s="7"/>
    </row>
    <row r="78" spans="1:30">
      <c r="A78" s="7"/>
      <c r="B78" s="7"/>
      <c r="C78" s="7"/>
      <c r="D78" s="7"/>
      <c r="E78" s="7"/>
      <c r="F78" s="7"/>
      <c r="G78" s="7"/>
      <c r="H78" s="7"/>
      <c r="I78" s="7"/>
      <c r="J78" s="7"/>
      <c r="K78" s="7"/>
      <c r="L78" s="7"/>
      <c r="M78" s="7"/>
      <c r="N78" s="7"/>
      <c r="O78" s="7"/>
      <c r="P78" s="7"/>
      <c r="Q78" s="7"/>
      <c r="R78" s="339"/>
      <c r="S78" s="339"/>
      <c r="T78" s="339"/>
      <c r="U78" s="339"/>
      <c r="V78" s="339"/>
      <c r="W78" s="339"/>
      <c r="X78" s="339"/>
      <c r="Y78" s="339"/>
      <c r="Z78" s="339"/>
      <c r="AA78" s="7"/>
      <c r="AB78" s="7"/>
      <c r="AC78" s="7"/>
      <c r="AD78" s="7"/>
    </row>
    <row r="79" spans="1:30">
      <c r="A79" s="7"/>
      <c r="B79" s="7"/>
      <c r="C79" s="7"/>
      <c r="D79" s="7"/>
      <c r="E79" s="7"/>
      <c r="F79" s="7"/>
      <c r="G79" s="7"/>
      <c r="H79" s="7"/>
      <c r="I79" s="7"/>
      <c r="J79" s="7"/>
      <c r="K79" s="7"/>
      <c r="L79" s="7"/>
      <c r="M79" s="7"/>
      <c r="N79" s="7"/>
      <c r="O79" s="7"/>
      <c r="P79" s="7"/>
      <c r="Q79" s="7"/>
      <c r="R79" s="339"/>
      <c r="S79" s="339"/>
      <c r="T79" s="339"/>
      <c r="U79" s="339"/>
      <c r="V79" s="339"/>
      <c r="W79" s="339"/>
      <c r="X79" s="339"/>
      <c r="Y79" s="339"/>
      <c r="Z79" s="339"/>
      <c r="AA79" s="7"/>
      <c r="AB79" s="7"/>
      <c r="AC79" s="7"/>
      <c r="AD79" s="7"/>
    </row>
    <row r="80" spans="1:30">
      <c r="A80" s="7"/>
      <c r="B80" s="7"/>
      <c r="C80" s="7"/>
      <c r="D80" s="7"/>
      <c r="E80" s="7"/>
      <c r="F80" s="7"/>
      <c r="G80" s="7"/>
      <c r="H80" s="7"/>
      <c r="I80" s="7"/>
      <c r="J80" s="7"/>
      <c r="K80" s="7"/>
      <c r="L80" s="7"/>
      <c r="M80" s="7"/>
      <c r="N80" s="7"/>
      <c r="O80" s="7"/>
      <c r="P80" s="7"/>
      <c r="Q80" s="7"/>
      <c r="R80" s="339"/>
      <c r="S80" s="339"/>
      <c r="T80" s="339"/>
      <c r="U80" s="339"/>
      <c r="V80" s="339"/>
      <c r="W80" s="339"/>
      <c r="X80" s="339"/>
      <c r="Y80" s="339"/>
      <c r="Z80" s="339"/>
      <c r="AA80" s="7"/>
      <c r="AB80" s="7"/>
      <c r="AC80" s="7"/>
      <c r="AD80" s="7"/>
    </row>
    <row r="81" spans="1:30">
      <c r="A81" s="7"/>
      <c r="B81" s="7"/>
      <c r="C81" s="7"/>
      <c r="D81" s="7"/>
      <c r="E81" s="7"/>
      <c r="F81" s="7"/>
      <c r="G81" s="7"/>
      <c r="H81" s="7"/>
      <c r="I81" s="7"/>
      <c r="J81" s="7"/>
      <c r="K81" s="7"/>
      <c r="L81" s="7"/>
      <c r="M81" s="7"/>
      <c r="N81" s="7"/>
      <c r="O81" s="7"/>
      <c r="P81" s="7"/>
      <c r="Q81" s="7"/>
      <c r="R81" s="339"/>
      <c r="S81" s="339"/>
      <c r="T81" s="339"/>
      <c r="U81" s="339"/>
      <c r="V81" s="339"/>
      <c r="W81" s="339"/>
      <c r="X81" s="339"/>
      <c r="Y81" s="339"/>
      <c r="Z81" s="339"/>
      <c r="AA81" s="7"/>
      <c r="AB81" s="7"/>
      <c r="AC81" s="7"/>
      <c r="AD81" s="7"/>
    </row>
    <row r="82" spans="1:30">
      <c r="A82" s="7"/>
      <c r="B82" s="7"/>
      <c r="C82" s="7"/>
      <c r="D82" s="7"/>
      <c r="E82" s="7"/>
      <c r="F82" s="7"/>
      <c r="G82" s="7"/>
      <c r="H82" s="7"/>
      <c r="I82" s="7"/>
      <c r="J82" s="7"/>
      <c r="K82" s="7"/>
      <c r="L82" s="7"/>
      <c r="M82" s="7"/>
      <c r="N82" s="7"/>
      <c r="O82" s="7"/>
      <c r="P82" s="7"/>
      <c r="Q82" s="7"/>
      <c r="R82" s="339"/>
      <c r="S82" s="339"/>
      <c r="T82" s="339"/>
      <c r="U82" s="339"/>
      <c r="V82" s="339"/>
      <c r="W82" s="339"/>
      <c r="X82" s="339"/>
      <c r="Y82" s="339"/>
      <c r="Z82" s="339"/>
      <c r="AA82" s="7"/>
      <c r="AB82" s="7"/>
      <c r="AC82" s="7"/>
      <c r="AD82" s="7"/>
    </row>
    <row r="83" spans="1:30">
      <c r="A83" s="7"/>
      <c r="B83" s="7"/>
      <c r="C83" s="7"/>
      <c r="D83" s="7"/>
      <c r="E83" s="7"/>
      <c r="F83" s="7"/>
      <c r="G83" s="7"/>
      <c r="H83" s="7"/>
      <c r="I83" s="7"/>
      <c r="J83" s="7"/>
      <c r="K83" s="7"/>
      <c r="L83" s="7"/>
      <c r="M83" s="7"/>
      <c r="N83" s="7"/>
      <c r="O83" s="7"/>
      <c r="P83" s="7"/>
      <c r="Q83" s="7"/>
      <c r="R83" s="339"/>
      <c r="S83" s="339"/>
      <c r="T83" s="339"/>
      <c r="U83" s="339"/>
      <c r="V83" s="339"/>
      <c r="W83" s="339"/>
      <c r="X83" s="339"/>
      <c r="Y83" s="339"/>
      <c r="Z83" s="339"/>
      <c r="AA83" s="7"/>
      <c r="AB83" s="7"/>
      <c r="AC83" s="7"/>
      <c r="AD83" s="7"/>
    </row>
    <row r="84" spans="1:30">
      <c r="A84" s="7"/>
      <c r="B84" s="7"/>
      <c r="C84" s="7"/>
      <c r="D84" s="7"/>
      <c r="E84" s="7"/>
      <c r="F84" s="7"/>
      <c r="G84" s="7"/>
      <c r="H84" s="7"/>
      <c r="I84" s="7"/>
      <c r="J84" s="7"/>
      <c r="K84" s="7"/>
      <c r="L84" s="7"/>
      <c r="M84" s="7"/>
      <c r="N84" s="7"/>
      <c r="O84" s="7"/>
      <c r="P84" s="7"/>
      <c r="Q84" s="7"/>
      <c r="R84" s="339"/>
      <c r="S84" s="339"/>
      <c r="T84" s="339"/>
      <c r="U84" s="339"/>
      <c r="V84" s="339"/>
      <c r="W84" s="339"/>
      <c r="X84" s="339"/>
      <c r="Y84" s="339"/>
      <c r="Z84" s="339"/>
      <c r="AA84" s="7"/>
      <c r="AB84" s="7"/>
      <c r="AC84" s="7"/>
      <c r="AD84" s="7"/>
    </row>
    <row r="85" spans="1:30">
      <c r="A85" s="7"/>
      <c r="B85" s="7"/>
      <c r="C85" s="7"/>
      <c r="D85" s="7"/>
      <c r="E85" s="7"/>
      <c r="F85" s="7"/>
      <c r="G85" s="7"/>
      <c r="H85" s="7"/>
      <c r="I85" s="7"/>
      <c r="J85" s="7"/>
      <c r="K85" s="7"/>
      <c r="L85" s="7"/>
      <c r="M85" s="7"/>
      <c r="N85" s="7"/>
      <c r="O85" s="7"/>
      <c r="P85" s="7"/>
      <c r="Q85" s="7"/>
      <c r="R85" s="339"/>
      <c r="S85" s="339"/>
      <c r="T85" s="339"/>
      <c r="U85" s="339"/>
      <c r="V85" s="339"/>
      <c r="W85" s="339"/>
      <c r="X85" s="339"/>
      <c r="Y85" s="339"/>
      <c r="Z85" s="339"/>
      <c r="AA85" s="7"/>
      <c r="AB85" s="7"/>
      <c r="AC85" s="7"/>
      <c r="AD85" s="7"/>
    </row>
    <row r="86" spans="1:30">
      <c r="A86" s="7"/>
      <c r="B86" s="7"/>
      <c r="C86" s="7"/>
      <c r="D86" s="7"/>
      <c r="E86" s="7"/>
      <c r="F86" s="7"/>
      <c r="G86" s="7"/>
      <c r="H86" s="7"/>
      <c r="I86" s="7"/>
      <c r="J86" s="7"/>
      <c r="K86" s="7"/>
      <c r="L86" s="7"/>
      <c r="M86" s="7"/>
      <c r="N86" s="7"/>
      <c r="O86" s="7"/>
      <c r="P86" s="7"/>
      <c r="Q86" s="7"/>
      <c r="R86" s="339"/>
      <c r="S86" s="339"/>
      <c r="T86" s="339"/>
      <c r="U86" s="339"/>
      <c r="V86" s="339"/>
      <c r="W86" s="339"/>
      <c r="X86" s="339"/>
      <c r="Y86" s="339"/>
      <c r="Z86" s="339"/>
      <c r="AA86" s="7"/>
      <c r="AB86" s="7"/>
      <c r="AC86" s="7"/>
      <c r="AD86" s="7"/>
    </row>
    <row r="87" spans="1:30">
      <c r="A87" s="7"/>
      <c r="B87" s="7"/>
      <c r="C87" s="7"/>
      <c r="D87" s="7"/>
      <c r="E87" s="7"/>
      <c r="F87" s="7"/>
      <c r="G87" s="7"/>
      <c r="H87" s="7"/>
      <c r="I87" s="7"/>
      <c r="J87" s="7"/>
      <c r="K87" s="7"/>
      <c r="L87" s="7"/>
      <c r="M87" s="7"/>
      <c r="N87" s="7"/>
      <c r="O87" s="7"/>
      <c r="P87" s="7"/>
      <c r="Q87" s="7"/>
      <c r="R87" s="339"/>
      <c r="S87" s="339"/>
      <c r="T87" s="339"/>
      <c r="U87" s="339"/>
      <c r="V87" s="339"/>
      <c r="W87" s="339"/>
      <c r="X87" s="339"/>
      <c r="Y87" s="339"/>
      <c r="Z87" s="339"/>
      <c r="AA87" s="7"/>
      <c r="AB87" s="7"/>
      <c r="AC87" s="7"/>
      <c r="AD87" s="7"/>
    </row>
    <row r="88" spans="1:30">
      <c r="A88" s="7"/>
      <c r="B88" s="7"/>
      <c r="C88" s="7"/>
      <c r="D88" s="7"/>
      <c r="E88" s="7"/>
      <c r="F88" s="7"/>
      <c r="G88" s="7"/>
      <c r="H88" s="7"/>
      <c r="I88" s="7"/>
      <c r="J88" s="7"/>
      <c r="K88" s="7"/>
      <c r="L88" s="7"/>
      <c r="M88" s="7"/>
      <c r="N88" s="7"/>
      <c r="O88" s="7"/>
      <c r="P88" s="7"/>
      <c r="Q88" s="7"/>
      <c r="R88" s="339"/>
      <c r="S88" s="339"/>
      <c r="T88" s="339"/>
      <c r="U88" s="339"/>
      <c r="V88" s="339"/>
      <c r="W88" s="339"/>
      <c r="X88" s="339"/>
      <c r="Y88" s="339"/>
      <c r="Z88" s="339"/>
      <c r="AA88" s="7"/>
      <c r="AB88" s="7"/>
      <c r="AC88" s="7"/>
      <c r="AD88" s="7"/>
    </row>
    <row r="89" spans="1:30">
      <c r="A89" s="7"/>
      <c r="B89" s="7"/>
      <c r="C89" s="7"/>
      <c r="D89" s="7"/>
      <c r="E89" s="7"/>
      <c r="F89" s="7"/>
      <c r="G89" s="7"/>
      <c r="H89" s="7"/>
      <c r="I89" s="7"/>
      <c r="J89" s="7"/>
      <c r="K89" s="7"/>
      <c r="L89" s="7"/>
      <c r="M89" s="7"/>
      <c r="N89" s="7"/>
      <c r="O89" s="7"/>
      <c r="P89" s="7"/>
      <c r="Q89" s="7"/>
      <c r="R89" s="339"/>
      <c r="S89" s="339"/>
      <c r="T89" s="339"/>
      <c r="U89" s="339"/>
      <c r="V89" s="339"/>
      <c r="W89" s="339"/>
      <c r="X89" s="339"/>
      <c r="Y89" s="339"/>
      <c r="Z89" s="339"/>
      <c r="AA89" s="7"/>
      <c r="AB89" s="7"/>
      <c r="AC89" s="7"/>
      <c r="AD89" s="7"/>
    </row>
    <row r="90" spans="1:30">
      <c r="A90" s="7"/>
      <c r="B90" s="7"/>
      <c r="C90" s="7"/>
      <c r="D90" s="7"/>
      <c r="E90" s="7"/>
      <c r="F90" s="7"/>
      <c r="G90" s="7"/>
      <c r="H90" s="7"/>
      <c r="I90" s="7"/>
      <c r="J90" s="7"/>
      <c r="K90" s="7"/>
      <c r="L90" s="7"/>
      <c r="M90" s="7"/>
      <c r="N90" s="7"/>
      <c r="O90" s="7"/>
      <c r="P90" s="7"/>
      <c r="Q90" s="7"/>
      <c r="R90" s="339"/>
      <c r="S90" s="339"/>
      <c r="T90" s="339"/>
      <c r="U90" s="339"/>
      <c r="V90" s="339"/>
      <c r="W90" s="339"/>
      <c r="X90" s="339"/>
      <c r="Y90" s="339"/>
      <c r="Z90" s="339"/>
      <c r="AA90" s="7"/>
      <c r="AB90" s="7"/>
      <c r="AC90" s="7"/>
      <c r="AD90" s="7"/>
    </row>
    <row r="91" spans="1:30">
      <c r="A91" s="7"/>
      <c r="B91" s="7"/>
      <c r="C91" s="7"/>
      <c r="D91" s="7"/>
      <c r="E91" s="7"/>
      <c r="F91" s="7"/>
      <c r="G91" s="7"/>
      <c r="H91" s="7"/>
      <c r="I91" s="7"/>
      <c r="J91" s="7"/>
      <c r="K91" s="7"/>
      <c r="L91" s="7"/>
      <c r="M91" s="7"/>
      <c r="N91" s="7"/>
      <c r="O91" s="7"/>
      <c r="P91" s="7"/>
      <c r="Q91" s="7"/>
      <c r="R91" s="339"/>
      <c r="S91" s="339"/>
      <c r="T91" s="339"/>
      <c r="U91" s="339"/>
      <c r="V91" s="339"/>
      <c r="W91" s="339"/>
      <c r="X91" s="339"/>
      <c r="Y91" s="339"/>
      <c r="Z91" s="339"/>
      <c r="AA91" s="7"/>
      <c r="AB91" s="7"/>
      <c r="AC91" s="7"/>
      <c r="AD91" s="7"/>
    </row>
    <row r="92" spans="1:30">
      <c r="A92" s="7"/>
      <c r="B92" s="7"/>
      <c r="C92" s="7"/>
      <c r="D92" s="7"/>
      <c r="E92" s="7"/>
      <c r="F92" s="7"/>
      <c r="G92" s="7"/>
      <c r="H92" s="7"/>
      <c r="I92" s="7"/>
      <c r="J92" s="7"/>
      <c r="K92" s="7"/>
      <c r="L92" s="7"/>
      <c r="M92" s="7"/>
      <c r="N92" s="7"/>
      <c r="O92" s="7"/>
      <c r="P92" s="7"/>
      <c r="Q92" s="7"/>
      <c r="R92" s="339"/>
      <c r="S92" s="339"/>
      <c r="T92" s="339"/>
      <c r="U92" s="339"/>
      <c r="V92" s="339"/>
      <c r="W92" s="339"/>
      <c r="X92" s="339"/>
      <c r="Y92" s="339"/>
      <c r="Z92" s="339"/>
      <c r="AA92" s="7"/>
      <c r="AB92" s="7"/>
      <c r="AC92" s="7"/>
      <c r="AD92" s="7"/>
    </row>
    <row r="93" spans="1:30">
      <c r="A93" s="7"/>
      <c r="B93" s="7"/>
      <c r="C93" s="7"/>
      <c r="D93" s="7"/>
      <c r="E93" s="7"/>
      <c r="F93" s="7"/>
      <c r="G93" s="7"/>
      <c r="H93" s="7"/>
      <c r="I93" s="7"/>
      <c r="J93" s="7"/>
      <c r="K93" s="7"/>
      <c r="L93" s="7"/>
      <c r="M93" s="7"/>
      <c r="N93" s="7"/>
      <c r="O93" s="7"/>
      <c r="P93" s="7"/>
      <c r="Q93" s="7"/>
      <c r="R93" s="339"/>
      <c r="S93" s="339"/>
      <c r="T93" s="339"/>
      <c r="U93" s="339"/>
      <c r="V93" s="339"/>
      <c r="W93" s="339"/>
      <c r="X93" s="339"/>
      <c r="Y93" s="339"/>
      <c r="Z93" s="339"/>
      <c r="AA93" s="7"/>
      <c r="AB93" s="7"/>
      <c r="AC93" s="7"/>
      <c r="AD93" s="7"/>
    </row>
    <row r="94" spans="1:30">
      <c r="A94" s="7"/>
      <c r="B94" s="7"/>
      <c r="C94" s="7"/>
      <c r="D94" s="7"/>
      <c r="E94" s="7"/>
      <c r="F94" s="7"/>
      <c r="G94" s="7"/>
      <c r="H94" s="7"/>
      <c r="I94" s="7"/>
      <c r="J94" s="7"/>
      <c r="K94" s="7"/>
      <c r="L94" s="7"/>
      <c r="M94" s="7"/>
      <c r="N94" s="7"/>
      <c r="O94" s="7"/>
      <c r="P94" s="7"/>
      <c r="Q94" s="7"/>
      <c r="R94" s="339"/>
      <c r="S94" s="339"/>
      <c r="T94" s="339"/>
      <c r="U94" s="339"/>
      <c r="V94" s="339"/>
      <c r="W94" s="339"/>
      <c r="X94" s="339"/>
      <c r="Y94" s="339"/>
      <c r="Z94" s="339"/>
      <c r="AA94" s="7"/>
      <c r="AB94" s="7"/>
      <c r="AC94" s="7"/>
      <c r="AD94" s="7"/>
    </row>
  </sheetData>
  <sortState xmlns:xlrd2="http://schemas.microsoft.com/office/spreadsheetml/2017/richdata2" ref="B13:L15">
    <sortCondition descending="1" ref="D13:D15"/>
  </sortState>
  <mergeCells count="14">
    <mergeCell ref="D31:L31"/>
    <mergeCell ref="N13:S16"/>
    <mergeCell ref="T13:Z16"/>
    <mergeCell ref="D17:L17"/>
    <mergeCell ref="N17:S18"/>
    <mergeCell ref="D23:L23"/>
    <mergeCell ref="B25:D26"/>
    <mergeCell ref="F25:L26"/>
    <mergeCell ref="B2:L5"/>
    <mergeCell ref="B6:L6"/>
    <mergeCell ref="B7:L7"/>
    <mergeCell ref="B8:L8"/>
    <mergeCell ref="N9:S12"/>
    <mergeCell ref="D11:L11"/>
  </mergeCells>
  <pageMargins left="0.7" right="0.7" top="0.75" bottom="0.75" header="0.3" footer="0.3"/>
  <pageSetup orientation="portrait" horizontalDpi="1200" verticalDpi="1200" r:id="rId1"/>
  <ignoredErrors>
    <ignoredError sqref="F28"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4ABAC-BF22-4C36-83FB-74AA37966798}">
  <sheetPr>
    <pageSetUpPr fitToPage="1"/>
  </sheetPr>
  <dimension ref="A1:AX84"/>
  <sheetViews>
    <sheetView zoomScale="85" zoomScaleNormal="85" zoomScaleSheetLayoutView="69" workbookViewId="0">
      <selection activeCell="R47" sqref="R47"/>
    </sheetView>
  </sheetViews>
  <sheetFormatPr baseColWidth="10" defaultColWidth="11.42578125" defaultRowHeight="16.5"/>
  <cols>
    <col min="1" max="2" width="3.42578125" style="84" customWidth="1"/>
    <col min="3" max="3" width="6.5703125" style="84" bestFit="1" customWidth="1"/>
    <col min="4" max="4" width="4.85546875" style="84" bestFit="1" customWidth="1"/>
    <col min="5" max="5" width="14.42578125" style="84" bestFit="1" customWidth="1"/>
    <col min="6" max="6" width="12.85546875" style="120" customWidth="1"/>
    <col min="7" max="7" width="12.85546875" style="84" bestFit="1" customWidth="1"/>
    <col min="8" max="8" width="83.85546875" style="92" customWidth="1"/>
    <col min="9" max="9" width="8.7109375" style="84" customWidth="1"/>
    <col min="10" max="10" width="18.85546875" style="120" customWidth="1"/>
    <col min="11" max="11" width="24.42578125" style="84" customWidth="1"/>
    <col min="12" max="12" width="36.140625" style="84" customWidth="1"/>
    <col min="13" max="13" width="3.42578125" style="48" customWidth="1"/>
    <col min="14" max="14" width="15.140625" style="84" customWidth="1"/>
    <col min="15" max="15" width="24" style="84" hidden="1" customWidth="1"/>
    <col min="16" max="16" width="12.140625" style="84" bestFit="1" customWidth="1"/>
    <col min="17" max="17" width="16.28515625" style="84" customWidth="1"/>
    <col min="18" max="18" width="17.85546875" style="84" customWidth="1"/>
    <col min="19" max="19" width="16.28515625" style="84" customWidth="1"/>
    <col min="20" max="20" width="11.42578125" style="84" customWidth="1"/>
    <col min="21" max="16384" width="11.42578125" style="84"/>
  </cols>
  <sheetData>
    <row r="1" spans="1:50" ht="17.25" thickBot="1">
      <c r="A1" s="81"/>
      <c r="B1" s="81"/>
      <c r="C1" s="81"/>
      <c r="D1" s="81"/>
      <c r="E1" s="81"/>
      <c r="F1" s="160"/>
      <c r="G1" s="81"/>
      <c r="H1" s="82"/>
      <c r="I1" s="81"/>
      <c r="J1" s="160"/>
      <c r="K1" s="81"/>
      <c r="L1" s="81"/>
      <c r="M1" s="32"/>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row>
    <row r="2" spans="1:50" ht="25.5" customHeight="1" thickTop="1">
      <c r="A2" s="81"/>
      <c r="B2" s="85"/>
      <c r="C2" s="86"/>
      <c r="D2" s="86"/>
      <c r="E2" s="86"/>
      <c r="F2" s="159"/>
      <c r="G2" s="86"/>
      <c r="H2" s="87"/>
      <c r="I2" s="230"/>
      <c r="J2" s="230"/>
      <c r="K2" s="230"/>
      <c r="L2" s="230"/>
      <c r="M2" s="34"/>
      <c r="N2" s="83"/>
      <c r="O2" s="83"/>
      <c r="P2" s="83"/>
      <c r="Q2" s="83"/>
      <c r="R2" s="83"/>
      <c r="S2" s="83"/>
      <c r="T2" s="83"/>
      <c r="U2" s="83"/>
      <c r="V2" s="83"/>
      <c r="W2" s="83"/>
      <c r="X2" s="83"/>
      <c r="Y2" s="83"/>
      <c r="Z2" s="83"/>
      <c r="AA2" s="83"/>
      <c r="AB2" s="83"/>
      <c r="AC2" s="83"/>
      <c r="AD2" s="83"/>
      <c r="AE2" s="83"/>
      <c r="AF2" s="83"/>
      <c r="AG2" s="83"/>
      <c r="AH2" s="83"/>
      <c r="AI2" s="83"/>
      <c r="AJ2" s="83"/>
      <c r="AK2" s="83"/>
      <c r="AL2" s="83"/>
      <c r="AM2" s="83"/>
      <c r="AN2" s="83"/>
      <c r="AO2" s="83"/>
      <c r="AP2" s="83"/>
      <c r="AQ2" s="83"/>
      <c r="AR2" s="83"/>
      <c r="AS2" s="83"/>
      <c r="AT2" s="83"/>
      <c r="AU2" s="83"/>
      <c r="AV2" s="83"/>
      <c r="AW2" s="83"/>
      <c r="AX2" s="83"/>
    </row>
    <row r="3" spans="1:50" ht="27" customHeight="1">
      <c r="A3" s="81"/>
      <c r="B3" s="88"/>
      <c r="C3" s="232" t="s">
        <v>61</v>
      </c>
      <c r="D3" s="233"/>
      <c r="E3" s="233"/>
      <c r="F3" s="233"/>
      <c r="G3" s="234"/>
      <c r="H3" s="82"/>
      <c r="I3" s="231"/>
      <c r="J3" s="231"/>
      <c r="K3" s="231"/>
      <c r="L3" s="231"/>
      <c r="M3" s="35"/>
      <c r="N3" s="83"/>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row>
    <row r="4" spans="1:50" ht="27" customHeight="1">
      <c r="A4" s="81"/>
      <c r="B4" s="88"/>
      <c r="C4" s="36" t="s">
        <v>62</v>
      </c>
      <c r="D4" s="36"/>
      <c r="E4" s="37" t="s">
        <v>63</v>
      </c>
      <c r="F4" s="36" t="s">
        <v>64</v>
      </c>
      <c r="G4" s="37">
        <v>3</v>
      </c>
      <c r="H4" s="82"/>
      <c r="I4" s="231"/>
      <c r="J4" s="231"/>
      <c r="K4" s="231"/>
      <c r="L4" s="231"/>
      <c r="M4" s="35"/>
      <c r="N4" s="83"/>
      <c r="O4" s="83"/>
      <c r="P4" s="83"/>
      <c r="Q4" s="83"/>
      <c r="R4" s="83"/>
      <c r="S4" s="83"/>
      <c r="T4" s="83"/>
      <c r="U4" s="83"/>
      <c r="V4" s="83"/>
      <c r="W4" s="83"/>
      <c r="X4" s="83"/>
      <c r="Y4" s="83"/>
      <c r="Z4" s="83"/>
      <c r="AA4" s="83"/>
      <c r="AB4" s="83"/>
      <c r="AC4" s="83"/>
      <c r="AD4" s="83"/>
      <c r="AE4" s="83"/>
      <c r="AF4" s="83"/>
      <c r="AG4" s="83"/>
      <c r="AH4" s="83"/>
      <c r="AI4" s="83"/>
      <c r="AJ4" s="83"/>
      <c r="AK4" s="83"/>
      <c r="AL4" s="83"/>
      <c r="AM4" s="83"/>
      <c r="AN4" s="83"/>
      <c r="AO4" s="83"/>
      <c r="AP4" s="83"/>
      <c r="AQ4" s="83"/>
      <c r="AR4" s="83"/>
      <c r="AS4" s="83"/>
      <c r="AT4" s="83"/>
      <c r="AU4" s="83"/>
      <c r="AV4" s="83"/>
      <c r="AW4" s="83"/>
      <c r="AX4" s="83"/>
    </row>
    <row r="5" spans="1:50" ht="27" customHeight="1">
      <c r="A5" s="81"/>
      <c r="B5" s="88"/>
      <c r="C5" s="235" t="s">
        <v>65</v>
      </c>
      <c r="D5" s="235"/>
      <c r="E5" s="235"/>
      <c r="F5" s="235"/>
      <c r="G5" s="235"/>
      <c r="H5" s="235"/>
      <c r="I5" s="235"/>
      <c r="J5" s="235"/>
      <c r="K5" s="235"/>
      <c r="L5" s="235"/>
      <c r="M5" s="35"/>
      <c r="N5" s="83"/>
      <c r="O5" s="83"/>
      <c r="P5" s="83"/>
      <c r="Q5" s="83"/>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row>
    <row r="6" spans="1:50">
      <c r="A6" s="81"/>
      <c r="B6" s="88"/>
      <c r="C6" s="236" t="s">
        <v>66</v>
      </c>
      <c r="D6" s="236"/>
      <c r="E6" s="236"/>
      <c r="F6" s="236"/>
      <c r="G6" s="236"/>
      <c r="H6" s="236"/>
      <c r="I6" s="236"/>
      <c r="J6" s="236"/>
      <c r="K6" s="236"/>
      <c r="L6" s="236"/>
      <c r="M6" s="35"/>
      <c r="N6" s="83"/>
      <c r="O6" s="83"/>
      <c r="P6" s="83"/>
      <c r="Q6" s="83"/>
      <c r="R6" s="83"/>
      <c r="S6" s="83"/>
      <c r="T6" s="83"/>
      <c r="U6" s="83"/>
      <c r="V6" s="83"/>
      <c r="W6" s="83"/>
      <c r="X6" s="83"/>
      <c r="Y6" s="83"/>
      <c r="Z6" s="83"/>
      <c r="AA6" s="83"/>
      <c r="AB6" s="83"/>
      <c r="AC6" s="83"/>
      <c r="AD6" s="83"/>
      <c r="AE6" s="83"/>
      <c r="AF6" s="83"/>
      <c r="AG6" s="83"/>
      <c r="AH6" s="83"/>
      <c r="AI6" s="83"/>
      <c r="AJ6" s="83"/>
      <c r="AK6" s="83"/>
      <c r="AL6" s="83"/>
      <c r="AM6" s="83"/>
      <c r="AN6" s="83"/>
      <c r="AO6" s="83"/>
      <c r="AP6" s="83"/>
      <c r="AQ6" s="83"/>
      <c r="AR6" s="83"/>
      <c r="AS6" s="83"/>
      <c r="AT6" s="83"/>
      <c r="AU6" s="83"/>
      <c r="AV6" s="83"/>
      <c r="AW6" s="83"/>
      <c r="AX6" s="83"/>
    </row>
    <row r="7" spans="1:50" s="83" customFormat="1" ht="16.5" customHeight="1">
      <c r="A7" s="81"/>
      <c r="B7" s="88"/>
      <c r="C7" s="237" t="s">
        <v>164</v>
      </c>
      <c r="D7" s="237"/>
      <c r="E7" s="237"/>
      <c r="F7" s="237"/>
      <c r="G7" s="237"/>
      <c r="H7" s="237"/>
      <c r="I7" s="237"/>
      <c r="J7" s="237"/>
      <c r="K7" s="237"/>
      <c r="L7" s="237"/>
      <c r="M7" s="35"/>
    </row>
    <row r="8" spans="1:50" ht="31.5" customHeight="1">
      <c r="A8" s="81"/>
      <c r="B8" s="88"/>
      <c r="C8" s="237"/>
      <c r="D8" s="237"/>
      <c r="E8" s="237"/>
      <c r="F8" s="237"/>
      <c r="G8" s="237"/>
      <c r="H8" s="237"/>
      <c r="I8" s="237"/>
      <c r="J8" s="237"/>
      <c r="K8" s="237"/>
      <c r="L8" s="237"/>
      <c r="M8" s="35"/>
      <c r="N8" s="83"/>
      <c r="O8" s="83"/>
      <c r="P8" s="83"/>
      <c r="Q8" s="83"/>
      <c r="R8" s="83"/>
      <c r="S8" s="83"/>
      <c r="T8" s="83"/>
      <c r="U8" s="83"/>
      <c r="V8" s="83"/>
      <c r="W8" s="83"/>
      <c r="X8" s="83"/>
      <c r="Y8" s="83"/>
      <c r="Z8" s="83"/>
      <c r="AA8" s="83"/>
      <c r="AB8" s="83"/>
      <c r="AC8" s="83"/>
      <c r="AD8" s="83"/>
      <c r="AE8" s="83"/>
      <c r="AF8" s="83"/>
      <c r="AG8" s="83"/>
      <c r="AH8" s="83"/>
      <c r="AI8" s="83"/>
      <c r="AJ8" s="83"/>
      <c r="AK8" s="83"/>
      <c r="AL8" s="83"/>
      <c r="AM8" s="83"/>
      <c r="AN8" s="83"/>
      <c r="AO8" s="83"/>
      <c r="AP8" s="83"/>
      <c r="AQ8" s="83"/>
      <c r="AR8" s="83"/>
      <c r="AS8" s="83"/>
      <c r="AT8" s="83"/>
      <c r="AU8" s="83"/>
      <c r="AV8" s="83"/>
      <c r="AW8" s="83"/>
      <c r="AX8" s="83"/>
    </row>
    <row r="9" spans="1:50" ht="30" customHeight="1">
      <c r="A9" s="81"/>
      <c r="B9" s="88"/>
      <c r="C9" s="229"/>
      <c r="D9" s="229"/>
      <c r="E9" s="229"/>
      <c r="F9" s="229"/>
      <c r="G9" s="229"/>
      <c r="H9" s="229"/>
      <c r="I9" s="229"/>
      <c r="J9" s="229"/>
      <c r="K9" s="229"/>
      <c r="L9" s="158"/>
      <c r="M9" s="35"/>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c r="AO9" s="83"/>
      <c r="AP9" s="83"/>
      <c r="AQ9" s="83"/>
      <c r="AR9" s="83"/>
      <c r="AS9" s="83"/>
      <c r="AT9" s="83"/>
      <c r="AU9" s="83"/>
      <c r="AV9" s="83"/>
      <c r="AW9" s="83"/>
      <c r="AX9" s="83"/>
    </row>
    <row r="10" spans="1:50" ht="30" customHeight="1">
      <c r="A10" s="81"/>
      <c r="B10" s="88"/>
      <c r="C10" s="221" t="s">
        <v>67</v>
      </c>
      <c r="D10" s="221" t="s">
        <v>68</v>
      </c>
      <c r="E10" s="221" t="s">
        <v>69</v>
      </c>
      <c r="F10" s="226" t="s">
        <v>119</v>
      </c>
      <c r="G10" s="226"/>
      <c r="H10" s="221" t="s">
        <v>70</v>
      </c>
      <c r="I10" s="221" t="s">
        <v>71</v>
      </c>
      <c r="J10" s="221" t="s">
        <v>72</v>
      </c>
      <c r="K10" s="227" t="s">
        <v>165</v>
      </c>
      <c r="L10" s="228" t="s">
        <v>166</v>
      </c>
      <c r="M10" s="35"/>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row>
    <row r="11" spans="1:50" ht="30" customHeight="1">
      <c r="A11" s="81"/>
      <c r="B11" s="88"/>
      <c r="C11" s="221"/>
      <c r="D11" s="221"/>
      <c r="E11" s="221"/>
      <c r="F11" s="157" t="s">
        <v>73</v>
      </c>
      <c r="G11" s="157" t="s">
        <v>74</v>
      </c>
      <c r="H11" s="221"/>
      <c r="I11" s="221"/>
      <c r="J11" s="221"/>
      <c r="K11" s="227"/>
      <c r="L11" s="228"/>
      <c r="M11" s="35"/>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row>
    <row r="12" spans="1:50" s="92" customFormat="1">
      <c r="A12" s="82"/>
      <c r="B12" s="89"/>
      <c r="C12" s="163"/>
      <c r="D12" s="163"/>
      <c r="E12" s="217">
        <v>1</v>
      </c>
      <c r="F12" s="218"/>
      <c r="G12" s="219"/>
      <c r="H12" s="97" t="s">
        <v>167</v>
      </c>
      <c r="I12" s="98"/>
      <c r="J12" s="99"/>
      <c r="K12" s="99"/>
      <c r="L12" s="99"/>
      <c r="M12" s="38"/>
      <c r="N12" s="90"/>
      <c r="O12" s="91"/>
      <c r="P12" s="91"/>
      <c r="Q12" s="91"/>
      <c r="R12" s="91"/>
      <c r="S12" s="91"/>
      <c r="T12" s="91"/>
      <c r="U12" s="91"/>
      <c r="V12" s="91"/>
      <c r="W12" s="91"/>
      <c r="X12" s="91"/>
      <c r="Y12" s="91"/>
      <c r="Z12" s="91"/>
      <c r="AA12" s="91"/>
      <c r="AB12" s="91"/>
      <c r="AC12" s="91"/>
      <c r="AD12" s="91"/>
      <c r="AE12" s="91"/>
      <c r="AF12" s="91"/>
      <c r="AG12" s="91"/>
      <c r="AH12" s="91"/>
      <c r="AI12" s="91"/>
      <c r="AJ12" s="91"/>
      <c r="AK12" s="91"/>
      <c r="AL12" s="91"/>
      <c r="AM12" s="91"/>
      <c r="AN12" s="91"/>
      <c r="AO12" s="91"/>
      <c r="AP12" s="91"/>
      <c r="AQ12" s="91"/>
      <c r="AR12" s="91"/>
      <c r="AS12" s="91"/>
      <c r="AT12" s="91"/>
      <c r="AU12" s="91"/>
      <c r="AV12" s="91"/>
      <c r="AW12" s="91"/>
      <c r="AX12" s="91"/>
    </row>
    <row r="13" spans="1:50" s="92" customFormat="1" ht="25.5">
      <c r="A13" s="82"/>
      <c r="B13" s="89"/>
      <c r="C13" s="100"/>
      <c r="D13" s="164"/>
      <c r="E13" s="101" t="s">
        <v>75</v>
      </c>
      <c r="F13" s="101" t="s">
        <v>168</v>
      </c>
      <c r="G13" s="102" t="s">
        <v>169</v>
      </c>
      <c r="H13" s="93" t="s">
        <v>170</v>
      </c>
      <c r="I13" s="94" t="s">
        <v>76</v>
      </c>
      <c r="J13" s="95">
        <v>18</v>
      </c>
      <c r="K13" s="165">
        <f>ROUND(O13,0)</f>
        <v>5653137</v>
      </c>
      <c r="L13" s="96">
        <f>ROUND(J13*K13,0)</f>
        <v>101756466</v>
      </c>
      <c r="M13" s="38"/>
      <c r="N13" s="90"/>
      <c r="O13" s="39">
        <f>ROUNDUP(5653136.12077403,0)</f>
        <v>5653137</v>
      </c>
      <c r="P13" s="166"/>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1"/>
      <c r="AQ13" s="91"/>
      <c r="AR13" s="91"/>
      <c r="AS13" s="91"/>
      <c r="AT13" s="91"/>
      <c r="AU13" s="91"/>
      <c r="AV13" s="91"/>
      <c r="AW13" s="91"/>
      <c r="AX13" s="91"/>
    </row>
    <row r="14" spans="1:50" s="92" customFormat="1" ht="25.5">
      <c r="A14" s="82"/>
      <c r="B14" s="89"/>
      <c r="C14" s="100"/>
      <c r="D14" s="164"/>
      <c r="E14" s="101" t="s">
        <v>77</v>
      </c>
      <c r="F14" s="101" t="s">
        <v>168</v>
      </c>
      <c r="G14" s="102" t="s">
        <v>169</v>
      </c>
      <c r="H14" s="93" t="s">
        <v>171</v>
      </c>
      <c r="I14" s="94" t="s">
        <v>76</v>
      </c>
      <c r="J14" s="95">
        <f>12+20</f>
        <v>32</v>
      </c>
      <c r="K14" s="165">
        <f>ROUND(O14,0)</f>
        <v>5855098</v>
      </c>
      <c r="L14" s="96">
        <f t="shared" ref="L14:L30" si="0">ROUND(J14*K14,0)</f>
        <v>187363136</v>
      </c>
      <c r="M14" s="38"/>
      <c r="N14" s="90"/>
      <c r="O14" s="39">
        <f>ROUNDUP(5855097.1298519,0)</f>
        <v>5855098</v>
      </c>
      <c r="P14" s="166"/>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91"/>
      <c r="AV14" s="91"/>
      <c r="AW14" s="91"/>
      <c r="AX14" s="91"/>
    </row>
    <row r="15" spans="1:50" s="92" customFormat="1" ht="25.5">
      <c r="A15" s="82"/>
      <c r="B15" s="89"/>
      <c r="C15" s="100"/>
      <c r="D15" s="164"/>
      <c r="E15" s="101" t="s">
        <v>78</v>
      </c>
      <c r="F15" s="101" t="s">
        <v>168</v>
      </c>
      <c r="G15" s="94" t="s">
        <v>172</v>
      </c>
      <c r="H15" s="93" t="s">
        <v>173</v>
      </c>
      <c r="I15" s="94" t="s">
        <v>76</v>
      </c>
      <c r="J15" s="95">
        <v>2</v>
      </c>
      <c r="K15" s="165">
        <f>ROUND(O15,0)</f>
        <v>8097323</v>
      </c>
      <c r="L15" s="96">
        <f t="shared" si="0"/>
        <v>16194646</v>
      </c>
      <c r="M15" s="38"/>
      <c r="N15" s="90"/>
      <c r="O15" s="39">
        <f>ROUNDUP(8097322.71803465,0)</f>
        <v>8097323</v>
      </c>
      <c r="P15" s="166"/>
      <c r="Q15" s="91"/>
      <c r="R15" s="91"/>
      <c r="S15" s="91"/>
      <c r="T15" s="91"/>
      <c r="U15" s="9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row>
    <row r="16" spans="1:50" s="92" customFormat="1" ht="25.5">
      <c r="A16" s="82"/>
      <c r="B16" s="89"/>
      <c r="C16" s="100"/>
      <c r="D16" s="164"/>
      <c r="E16" s="101" t="s">
        <v>174</v>
      </c>
      <c r="F16" s="101" t="s">
        <v>175</v>
      </c>
      <c r="G16" s="101" t="s">
        <v>176</v>
      </c>
      <c r="H16" s="93" t="s">
        <v>177</v>
      </c>
      <c r="I16" s="94" t="s">
        <v>76</v>
      </c>
      <c r="J16" s="95">
        <v>12</v>
      </c>
      <c r="K16" s="165">
        <f>ROUND(O16,0)</f>
        <v>8097323</v>
      </c>
      <c r="L16" s="96">
        <f t="shared" si="0"/>
        <v>97167876</v>
      </c>
      <c r="M16" s="38"/>
      <c r="N16" s="90"/>
      <c r="O16" s="39">
        <f>ROUNDUP(8097322.71803465,0)</f>
        <v>8097323</v>
      </c>
      <c r="P16" s="166"/>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row>
    <row r="17" spans="1:50" s="92" customFormat="1" ht="38.25">
      <c r="A17" s="82"/>
      <c r="B17" s="89"/>
      <c r="C17" s="100"/>
      <c r="D17" s="164"/>
      <c r="E17" s="101" t="s">
        <v>178</v>
      </c>
      <c r="F17" s="101" t="s">
        <v>179</v>
      </c>
      <c r="G17" s="102" t="s">
        <v>180</v>
      </c>
      <c r="H17" s="93" t="s">
        <v>181</v>
      </c>
      <c r="I17" s="94" t="s">
        <v>76</v>
      </c>
      <c r="J17" s="95">
        <v>59</v>
      </c>
      <c r="K17" s="165">
        <f t="shared" ref="K17:K30" si="1">ROUND(O17,0)</f>
        <v>2634533</v>
      </c>
      <c r="L17" s="96">
        <f t="shared" si="0"/>
        <v>155437447</v>
      </c>
      <c r="M17" s="38"/>
      <c r="N17" s="90"/>
      <c r="O17" s="39">
        <f>ROUNDUP(2634532.82386081,0)</f>
        <v>2634533</v>
      </c>
      <c r="P17" s="166"/>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row>
    <row r="18" spans="1:50" s="92" customFormat="1" ht="38.25">
      <c r="A18" s="82"/>
      <c r="B18" s="89"/>
      <c r="C18" s="100"/>
      <c r="D18" s="164"/>
      <c r="E18" s="101" t="s">
        <v>182</v>
      </c>
      <c r="F18" s="101" t="s">
        <v>179</v>
      </c>
      <c r="G18" s="102" t="s">
        <v>180</v>
      </c>
      <c r="H18" s="93" t="s">
        <v>183</v>
      </c>
      <c r="I18" s="94" t="s">
        <v>76</v>
      </c>
      <c r="J18" s="95">
        <v>9</v>
      </c>
      <c r="K18" s="165">
        <f t="shared" si="1"/>
        <v>2634533</v>
      </c>
      <c r="L18" s="96">
        <f t="shared" si="0"/>
        <v>23710797</v>
      </c>
      <c r="M18" s="38"/>
      <c r="N18" s="90"/>
      <c r="O18" s="39">
        <f>ROUNDUP(2634532.82386081,0)</f>
        <v>2634533</v>
      </c>
      <c r="P18" s="166"/>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row>
    <row r="19" spans="1:50" s="92" customFormat="1" ht="38.25">
      <c r="A19" s="82"/>
      <c r="B19" s="89"/>
      <c r="C19" s="100"/>
      <c r="D19" s="164"/>
      <c r="E19" s="101" t="s">
        <v>184</v>
      </c>
      <c r="F19" s="102" t="s">
        <v>185</v>
      </c>
      <c r="G19" s="101" t="s">
        <v>186</v>
      </c>
      <c r="H19" s="93" t="s">
        <v>187</v>
      </c>
      <c r="I19" s="94" t="s">
        <v>76</v>
      </c>
      <c r="J19" s="95">
        <v>2</v>
      </c>
      <c r="K19" s="165">
        <f t="shared" si="1"/>
        <v>213887919</v>
      </c>
      <c r="L19" s="96">
        <f t="shared" si="0"/>
        <v>427775838</v>
      </c>
      <c r="M19" s="38"/>
      <c r="N19" s="90"/>
      <c r="O19" s="39">
        <f>ROUNDUP(213887918.273099,0)</f>
        <v>213887919</v>
      </c>
      <c r="P19" s="91"/>
      <c r="Q19" s="91"/>
      <c r="R19" s="91"/>
      <c r="S19" s="91"/>
      <c r="T19" s="91"/>
      <c r="U19" s="91"/>
      <c r="V19" s="91"/>
      <c r="W19" s="91"/>
      <c r="X19" s="91"/>
      <c r="Y19" s="9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row>
    <row r="20" spans="1:50" s="92" customFormat="1" ht="25.5">
      <c r="A20" s="82" t="s">
        <v>188</v>
      </c>
      <c r="B20" s="89"/>
      <c r="C20" s="100"/>
      <c r="D20" s="164"/>
      <c r="E20" s="101" t="s">
        <v>189</v>
      </c>
      <c r="F20" s="101" t="s">
        <v>190</v>
      </c>
      <c r="G20" s="101"/>
      <c r="H20" s="93" t="s">
        <v>191</v>
      </c>
      <c r="I20" s="94" t="s">
        <v>76</v>
      </c>
      <c r="J20" s="95">
        <f>'[1]CALCULO CCR'!Q7+'[1]CALCULO CCR'!Q10</f>
        <v>3</v>
      </c>
      <c r="K20" s="165">
        <f t="shared" si="1"/>
        <v>105057112</v>
      </c>
      <c r="L20" s="96">
        <f t="shared" si="0"/>
        <v>315171336</v>
      </c>
      <c r="M20" s="38"/>
      <c r="N20" s="90"/>
      <c r="O20" s="39">
        <f>ROUNDUP(105057111.325222,0)</f>
        <v>105057112</v>
      </c>
      <c r="P20" s="91"/>
      <c r="Q20" s="91"/>
      <c r="R20" s="91"/>
      <c r="S20" s="91"/>
      <c r="T20" s="91"/>
      <c r="U20" s="91"/>
      <c r="V20" s="91"/>
      <c r="W20" s="91"/>
      <c r="X20" s="91"/>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row>
    <row r="21" spans="1:50" s="92" customFormat="1" ht="25.5">
      <c r="A21" s="82"/>
      <c r="B21" s="89"/>
      <c r="C21" s="100"/>
      <c r="D21" s="164"/>
      <c r="E21" s="101" t="s">
        <v>192</v>
      </c>
      <c r="F21" s="101" t="s">
        <v>190</v>
      </c>
      <c r="G21" s="101"/>
      <c r="H21" s="93" t="s">
        <v>193</v>
      </c>
      <c r="I21" s="94" t="s">
        <v>76</v>
      </c>
      <c r="J21" s="95">
        <f>'[1]CALCULO CCR'!Q6+'[1]CALCULO CCR'!Q9</f>
        <v>4</v>
      </c>
      <c r="K21" s="165">
        <f t="shared" si="1"/>
        <v>128699124</v>
      </c>
      <c r="L21" s="96">
        <f t="shared" si="0"/>
        <v>514796496</v>
      </c>
      <c r="M21" s="38"/>
      <c r="N21" s="90"/>
      <c r="O21" s="39">
        <f>ROUNDUP(128699124,0)</f>
        <v>128699124</v>
      </c>
      <c r="P21" s="91"/>
      <c r="Q21" s="91"/>
      <c r="R21" s="91"/>
      <c r="S21" s="91"/>
      <c r="T21" s="91"/>
      <c r="U21" s="91"/>
      <c r="V21" s="91"/>
      <c r="W21" s="91"/>
      <c r="X21" s="91"/>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row>
    <row r="22" spans="1:50" s="92" customFormat="1" ht="25.5">
      <c r="A22" s="82"/>
      <c r="B22" s="89"/>
      <c r="C22" s="100"/>
      <c r="D22" s="164"/>
      <c r="E22" s="101" t="s">
        <v>194</v>
      </c>
      <c r="F22" s="101" t="s">
        <v>190</v>
      </c>
      <c r="G22" s="101"/>
      <c r="H22" s="93" t="s">
        <v>195</v>
      </c>
      <c r="I22" s="94" t="s">
        <v>76</v>
      </c>
      <c r="J22" s="95">
        <f>'[1]CALCULO CCR'!Q8</f>
        <v>2</v>
      </c>
      <c r="K22" s="165">
        <f t="shared" si="1"/>
        <v>141824048</v>
      </c>
      <c r="L22" s="96">
        <f t="shared" si="0"/>
        <v>283648096</v>
      </c>
      <c r="M22" s="38"/>
      <c r="N22" s="90"/>
      <c r="O22" s="39">
        <f>ROUNDUP(141824047.666667,0)</f>
        <v>141824048</v>
      </c>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row>
    <row r="23" spans="1:50" s="92" customFormat="1">
      <c r="A23" s="82"/>
      <c r="B23" s="89"/>
      <c r="C23" s="100"/>
      <c r="D23" s="164"/>
      <c r="E23" s="101" t="s">
        <v>196</v>
      </c>
      <c r="F23" s="101" t="s">
        <v>197</v>
      </c>
      <c r="G23" s="101" t="s">
        <v>198</v>
      </c>
      <c r="H23" s="93" t="s">
        <v>199</v>
      </c>
      <c r="I23" s="94" t="s">
        <v>76</v>
      </c>
      <c r="J23" s="95">
        <v>7</v>
      </c>
      <c r="K23" s="165">
        <f t="shared" si="1"/>
        <v>32430035</v>
      </c>
      <c r="L23" s="96">
        <f t="shared" si="0"/>
        <v>227010245</v>
      </c>
      <c r="M23" s="38"/>
      <c r="N23" s="90"/>
      <c r="O23" s="39">
        <f>ROUNDUP(32430034.6666667,0)</f>
        <v>32430035</v>
      </c>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row>
    <row r="24" spans="1:50" s="92" customFormat="1">
      <c r="A24" s="82"/>
      <c r="B24" s="89"/>
      <c r="C24" s="100"/>
      <c r="D24" s="164"/>
      <c r="E24" s="101" t="s">
        <v>200</v>
      </c>
      <c r="F24" s="101" t="s">
        <v>197</v>
      </c>
      <c r="G24" s="101" t="s">
        <v>198</v>
      </c>
      <c r="H24" s="93" t="s">
        <v>201</v>
      </c>
      <c r="I24" s="94" t="s">
        <v>76</v>
      </c>
      <c r="J24" s="95">
        <v>9</v>
      </c>
      <c r="K24" s="165">
        <f t="shared" si="1"/>
        <v>38602530</v>
      </c>
      <c r="L24" s="96">
        <f t="shared" si="0"/>
        <v>347422770</v>
      </c>
      <c r="M24" s="38"/>
      <c r="N24" s="90"/>
      <c r="O24" s="39">
        <f>ROUNDUP(38602529.3333333,0)</f>
        <v>38602530</v>
      </c>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row>
    <row r="25" spans="1:50" s="92" customFormat="1">
      <c r="A25" s="82"/>
      <c r="B25" s="89"/>
      <c r="C25" s="100"/>
      <c r="D25" s="164"/>
      <c r="E25" s="101" t="s">
        <v>202</v>
      </c>
      <c r="F25" s="101" t="s">
        <v>203</v>
      </c>
      <c r="G25" s="101"/>
      <c r="H25" s="93" t="s">
        <v>204</v>
      </c>
      <c r="I25" s="94" t="s">
        <v>76</v>
      </c>
      <c r="J25" s="95">
        <v>2</v>
      </c>
      <c r="K25" s="165">
        <f t="shared" si="1"/>
        <v>37112317</v>
      </c>
      <c r="L25" s="96">
        <f t="shared" si="0"/>
        <v>74224634</v>
      </c>
      <c r="M25" s="38"/>
      <c r="N25" s="90"/>
      <c r="O25" s="39">
        <f>ROUNDUP(37112316.4057433,0)</f>
        <v>37112317</v>
      </c>
      <c r="P25" s="91"/>
      <c r="Q25" s="91"/>
      <c r="R25" s="91"/>
      <c r="S25" s="91"/>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row>
    <row r="26" spans="1:50" s="92" customFormat="1" ht="25.5">
      <c r="A26" s="82"/>
      <c r="B26" s="89"/>
      <c r="C26" s="100"/>
      <c r="D26" s="164"/>
      <c r="E26" s="101" t="s">
        <v>205</v>
      </c>
      <c r="F26" s="102" t="s">
        <v>206</v>
      </c>
      <c r="G26" s="101"/>
      <c r="H26" s="93" t="s">
        <v>207</v>
      </c>
      <c r="I26" s="94" t="s">
        <v>76</v>
      </c>
      <c r="J26" s="95">
        <f>ROUNDUP('[1]CALCULO CCR'!M11,0)</f>
        <v>720</v>
      </c>
      <c r="K26" s="165">
        <f t="shared" si="1"/>
        <v>230000</v>
      </c>
      <c r="L26" s="96">
        <f t="shared" si="0"/>
        <v>165600000</v>
      </c>
      <c r="M26" s="38"/>
      <c r="N26" s="90"/>
      <c r="O26" s="39">
        <f>ROUNDUP(230000,0)</f>
        <v>230000</v>
      </c>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row>
    <row r="27" spans="1:50" s="92" customFormat="1" ht="25.5">
      <c r="A27" s="82"/>
      <c r="B27" s="89"/>
      <c r="C27" s="100"/>
      <c r="D27" s="164"/>
      <c r="E27" s="101" t="s">
        <v>208</v>
      </c>
      <c r="F27" s="102" t="s">
        <v>206</v>
      </c>
      <c r="G27" s="101"/>
      <c r="H27" s="93" t="s">
        <v>209</v>
      </c>
      <c r="I27" s="94" t="s">
        <v>76</v>
      </c>
      <c r="J27" s="95">
        <f>'[1]CALCULO CCR'!E11</f>
        <v>340</v>
      </c>
      <c r="K27" s="165">
        <f t="shared" si="1"/>
        <v>251465</v>
      </c>
      <c r="L27" s="96">
        <f t="shared" si="0"/>
        <v>85498100</v>
      </c>
      <c r="M27" s="38"/>
      <c r="N27" s="90"/>
      <c r="O27" s="39">
        <f>ROUNDUP(251464.666666667,0)</f>
        <v>251465</v>
      </c>
      <c r="P27" s="91"/>
      <c r="Q27" s="91"/>
      <c r="R27" s="91"/>
      <c r="S27" s="91"/>
      <c r="T27" s="91"/>
      <c r="U27" s="91"/>
      <c r="V27" s="91"/>
      <c r="W27" s="91"/>
      <c r="X27" s="91"/>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row>
    <row r="28" spans="1:50" s="92" customFormat="1" ht="25.5">
      <c r="A28" s="82"/>
      <c r="B28" s="89"/>
      <c r="C28" s="100"/>
      <c r="D28" s="164"/>
      <c r="E28" s="101" t="s">
        <v>210</v>
      </c>
      <c r="F28" s="102" t="s">
        <v>211</v>
      </c>
      <c r="G28" s="101"/>
      <c r="H28" s="93" t="s">
        <v>123</v>
      </c>
      <c r="I28" s="94" t="s">
        <v>76</v>
      </c>
      <c r="J28" s="95">
        <f>J15+J16</f>
        <v>14</v>
      </c>
      <c r="K28" s="165">
        <f t="shared" si="1"/>
        <v>1688218</v>
      </c>
      <c r="L28" s="96">
        <f t="shared" si="0"/>
        <v>23635052</v>
      </c>
      <c r="M28" s="38"/>
      <c r="N28" s="90"/>
      <c r="O28" s="39">
        <f>ROUNDUP(1688217.40306158,0)</f>
        <v>1688218</v>
      </c>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row>
    <row r="29" spans="1:50" s="92" customFormat="1">
      <c r="A29" s="82"/>
      <c r="B29" s="89"/>
      <c r="C29" s="100"/>
      <c r="D29" s="164"/>
      <c r="E29" s="101" t="s">
        <v>212</v>
      </c>
      <c r="F29" s="101"/>
      <c r="G29" s="101"/>
      <c r="H29" s="93" t="s">
        <v>213</v>
      </c>
      <c r="I29" s="94" t="s">
        <v>214</v>
      </c>
      <c r="J29" s="95">
        <v>250</v>
      </c>
      <c r="K29" s="165">
        <f t="shared" si="1"/>
        <v>153743</v>
      </c>
      <c r="L29" s="96">
        <f t="shared" si="0"/>
        <v>38435750</v>
      </c>
      <c r="M29" s="38"/>
      <c r="N29" s="90"/>
      <c r="O29" s="39">
        <f>ROUNDUP(153742.069714181,0)</f>
        <v>153743</v>
      </c>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row>
    <row r="30" spans="1:50" s="92" customFormat="1" ht="38.25">
      <c r="A30" s="82"/>
      <c r="B30" s="89"/>
      <c r="C30" s="100"/>
      <c r="D30" s="164"/>
      <c r="E30" s="101" t="s">
        <v>215</v>
      </c>
      <c r="F30" s="101"/>
      <c r="G30" s="101"/>
      <c r="H30" s="93" t="s">
        <v>216</v>
      </c>
      <c r="I30" s="94" t="s">
        <v>76</v>
      </c>
      <c r="J30" s="95">
        <f>J17+J18</f>
        <v>68</v>
      </c>
      <c r="K30" s="165">
        <f t="shared" si="1"/>
        <v>942617</v>
      </c>
      <c r="L30" s="96">
        <f t="shared" si="0"/>
        <v>64097956</v>
      </c>
      <c r="M30" s="38"/>
      <c r="N30" s="90"/>
      <c r="O30" s="39">
        <f>ROUNDUP(942616.193878439,0)</f>
        <v>942617</v>
      </c>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row>
    <row r="31" spans="1:50" s="92" customFormat="1">
      <c r="A31" s="82"/>
      <c r="B31" s="89"/>
      <c r="C31" s="220" t="s">
        <v>79</v>
      </c>
      <c r="D31" s="220"/>
      <c r="E31" s="220"/>
      <c r="F31" s="220"/>
      <c r="G31" s="220"/>
      <c r="H31" s="220"/>
      <c r="I31" s="220"/>
      <c r="J31" s="220"/>
      <c r="K31" s="103"/>
      <c r="L31" s="104">
        <f>SUM(L13:L30)</f>
        <v>3148946641</v>
      </c>
      <c r="M31" s="38"/>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row>
    <row r="32" spans="1:50" s="92" customFormat="1" ht="15.75" customHeight="1">
      <c r="A32" s="82"/>
      <c r="B32" s="89"/>
      <c r="C32" s="98"/>
      <c r="D32" s="98"/>
      <c r="E32" s="223">
        <v>2</v>
      </c>
      <c r="F32" s="224"/>
      <c r="G32" s="225"/>
      <c r="H32" s="98" t="s">
        <v>217</v>
      </c>
      <c r="I32" s="98"/>
      <c r="J32" s="98"/>
      <c r="K32" s="98"/>
      <c r="L32" s="167"/>
      <c r="M32" s="38"/>
      <c r="N32" s="90"/>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row>
    <row r="33" spans="1:50" s="92" customFormat="1" ht="25.5">
      <c r="A33" s="82"/>
      <c r="B33" s="89"/>
      <c r="C33" s="100"/>
      <c r="D33" s="164"/>
      <c r="E33" s="101" t="s">
        <v>80</v>
      </c>
      <c r="F33" s="102" t="s">
        <v>218</v>
      </c>
      <c r="G33" s="101" t="s">
        <v>219</v>
      </c>
      <c r="H33" s="93" t="s">
        <v>124</v>
      </c>
      <c r="I33" s="94" t="s">
        <v>214</v>
      </c>
      <c r="J33" s="105">
        <f>('[1]CALCULO CCR'!K11)*0.4</f>
        <v>25333.200000000001</v>
      </c>
      <c r="K33" s="165">
        <f t="shared" ref="K33:K40" si="2">ROUND(O33,0)</f>
        <v>31242</v>
      </c>
      <c r="L33" s="96">
        <f t="shared" ref="L33:L40" si="3">ROUND(J33*K33,0)</f>
        <v>791459834</v>
      </c>
      <c r="M33" s="38"/>
      <c r="N33" s="90"/>
      <c r="O33" s="39">
        <f>ROUNDUP(31241.3333333333,0)</f>
        <v>31242</v>
      </c>
      <c r="P33" s="91"/>
      <c r="Q33" s="91"/>
      <c r="R33" s="91"/>
      <c r="S33" s="91"/>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row>
    <row r="34" spans="1:50" s="92" customFormat="1" ht="25.5">
      <c r="A34" s="82"/>
      <c r="B34" s="89"/>
      <c r="C34" s="100"/>
      <c r="D34" s="164"/>
      <c r="E34" s="101" t="s">
        <v>81</v>
      </c>
      <c r="F34" s="102" t="s">
        <v>218</v>
      </c>
      <c r="G34" s="101" t="s">
        <v>220</v>
      </c>
      <c r="H34" s="93" t="s">
        <v>221</v>
      </c>
      <c r="I34" s="94" t="s">
        <v>214</v>
      </c>
      <c r="J34" s="95">
        <f>((J29*2)+('[1]CALCULO CCR'!E11)*2)*1.271</f>
        <v>1499.78</v>
      </c>
      <c r="K34" s="165">
        <f t="shared" si="2"/>
        <v>14136</v>
      </c>
      <c r="L34" s="96">
        <f t="shared" si="3"/>
        <v>21200890</v>
      </c>
      <c r="M34" s="38"/>
      <c r="N34" s="90"/>
      <c r="O34" s="39">
        <f>ROUNDUP(14135.0627872677,0)</f>
        <v>14136</v>
      </c>
      <c r="P34" s="91"/>
      <c r="Q34" s="91"/>
      <c r="R34" s="91"/>
      <c r="S34" s="91"/>
      <c r="T34" s="91"/>
      <c r="U34" s="91"/>
      <c r="V34" s="91"/>
      <c r="W34" s="91"/>
      <c r="X34" s="91"/>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91"/>
    </row>
    <row r="35" spans="1:50" s="92" customFormat="1" ht="25.5">
      <c r="A35" s="82"/>
      <c r="B35" s="89"/>
      <c r="C35" s="100"/>
      <c r="D35" s="164"/>
      <c r="E35" s="101" t="s">
        <v>120</v>
      </c>
      <c r="F35" s="101" t="s">
        <v>222</v>
      </c>
      <c r="G35" s="101"/>
      <c r="H35" s="93" t="s">
        <v>223</v>
      </c>
      <c r="I35" s="94" t="s">
        <v>214</v>
      </c>
      <c r="J35" s="95">
        <f>500*1.3</f>
        <v>650</v>
      </c>
      <c r="K35" s="165">
        <f t="shared" si="2"/>
        <v>271455</v>
      </c>
      <c r="L35" s="96">
        <f t="shared" si="3"/>
        <v>176445750</v>
      </c>
      <c r="M35" s="38"/>
      <c r="N35" s="90"/>
      <c r="O35" s="39">
        <f>ROUNDUP(271454.86917718,0)</f>
        <v>271455</v>
      </c>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row>
    <row r="36" spans="1:50" s="92" customFormat="1" ht="25.5">
      <c r="A36" s="82"/>
      <c r="B36" s="89"/>
      <c r="C36" s="100"/>
      <c r="D36" s="164"/>
      <c r="E36" s="101" t="s">
        <v>121</v>
      </c>
      <c r="F36" s="102" t="s">
        <v>218</v>
      </c>
      <c r="G36" s="101" t="s">
        <v>224</v>
      </c>
      <c r="H36" s="93" t="s">
        <v>225</v>
      </c>
      <c r="I36" s="94" t="s">
        <v>214</v>
      </c>
      <c r="J36" s="95">
        <v>6000</v>
      </c>
      <c r="K36" s="165">
        <f t="shared" si="2"/>
        <v>18895</v>
      </c>
      <c r="L36" s="96">
        <f t="shared" si="3"/>
        <v>113370000</v>
      </c>
      <c r="M36" s="38"/>
      <c r="N36" s="90"/>
      <c r="O36" s="39">
        <f>ROUNDUP(18894.4436276912,0)</f>
        <v>18895</v>
      </c>
      <c r="P36" s="91"/>
      <c r="Q36" s="91"/>
      <c r="R36" s="91"/>
      <c r="S36" s="91"/>
      <c r="T36" s="91"/>
      <c r="U36" s="91"/>
      <c r="V36" s="91"/>
      <c r="W36" s="91"/>
      <c r="X36" s="91"/>
      <c r="Y36" s="91"/>
      <c r="Z36" s="91"/>
      <c r="AA36" s="91"/>
      <c r="AB36" s="91"/>
      <c r="AC36" s="91"/>
      <c r="AD36" s="91"/>
      <c r="AE36" s="91"/>
      <c r="AF36" s="91"/>
      <c r="AG36" s="91"/>
      <c r="AH36" s="91"/>
      <c r="AI36" s="91"/>
      <c r="AJ36" s="91"/>
      <c r="AK36" s="91"/>
      <c r="AL36" s="91"/>
      <c r="AM36" s="91"/>
      <c r="AN36" s="91"/>
      <c r="AO36" s="91"/>
      <c r="AP36" s="91"/>
      <c r="AQ36" s="91"/>
      <c r="AR36" s="91"/>
      <c r="AS36" s="91"/>
      <c r="AT36" s="91"/>
      <c r="AU36" s="91"/>
      <c r="AV36" s="91"/>
      <c r="AW36" s="91"/>
      <c r="AX36" s="91"/>
    </row>
    <row r="37" spans="1:50" s="92" customFormat="1" ht="25.5">
      <c r="A37" s="82"/>
      <c r="B37" s="89"/>
      <c r="C37" s="100"/>
      <c r="D37" s="164"/>
      <c r="E37" s="101" t="s">
        <v>122</v>
      </c>
      <c r="F37" s="102" t="s">
        <v>218</v>
      </c>
      <c r="G37" s="101" t="s">
        <v>224</v>
      </c>
      <c r="H37" s="93" t="s">
        <v>226</v>
      </c>
      <c r="I37" s="94" t="s">
        <v>76</v>
      </c>
      <c r="J37" s="95">
        <f>J36/150</f>
        <v>40</v>
      </c>
      <c r="K37" s="165">
        <f t="shared" si="2"/>
        <v>518319</v>
      </c>
      <c r="L37" s="96">
        <f t="shared" si="3"/>
        <v>20732760</v>
      </c>
      <c r="M37" s="38"/>
      <c r="N37" s="90"/>
      <c r="O37" s="39">
        <f>ROUNDUP(518318.955856334,0)</f>
        <v>518319</v>
      </c>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row>
    <row r="38" spans="1:50" s="92" customFormat="1" ht="25.5">
      <c r="A38" s="82"/>
      <c r="B38" s="89"/>
      <c r="C38" s="100"/>
      <c r="D38" s="164"/>
      <c r="E38" s="101" t="s">
        <v>227</v>
      </c>
      <c r="F38" s="101"/>
      <c r="G38" s="101"/>
      <c r="H38" s="93" t="s">
        <v>228</v>
      </c>
      <c r="I38" s="94" t="s">
        <v>76</v>
      </c>
      <c r="J38" s="95">
        <v>1</v>
      </c>
      <c r="K38" s="165">
        <f t="shared" si="2"/>
        <v>31386613</v>
      </c>
      <c r="L38" s="96">
        <f t="shared" si="3"/>
        <v>31386613</v>
      </c>
      <c r="M38" s="38"/>
      <c r="N38" s="90"/>
      <c r="O38" s="39">
        <f>ROUNDUP(31386612.3243188,0)</f>
        <v>31386613</v>
      </c>
      <c r="P38" s="91"/>
      <c r="Q38" s="91"/>
      <c r="R38" s="91"/>
      <c r="S38" s="91"/>
      <c r="T38" s="91"/>
      <c r="U38" s="9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row>
    <row r="39" spans="1:50" s="92" customFormat="1" ht="25.5">
      <c r="A39" s="82"/>
      <c r="B39" s="89"/>
      <c r="C39" s="100"/>
      <c r="D39" s="164"/>
      <c r="E39" s="101" t="s">
        <v>229</v>
      </c>
      <c r="F39" s="101" t="s">
        <v>230</v>
      </c>
      <c r="G39" s="101"/>
      <c r="H39" s="93" t="s">
        <v>231</v>
      </c>
      <c r="I39" s="94" t="s">
        <v>76</v>
      </c>
      <c r="J39" s="95">
        <f>(500/40)*1.2</f>
        <v>15</v>
      </c>
      <c r="K39" s="165">
        <f t="shared" si="2"/>
        <v>2772819</v>
      </c>
      <c r="L39" s="96">
        <f t="shared" si="3"/>
        <v>41592285</v>
      </c>
      <c r="M39" s="38"/>
      <c r="N39" s="90"/>
      <c r="O39" s="39">
        <f>ROUNDUP(2772818.31355753,0)</f>
        <v>2772819</v>
      </c>
      <c r="P39" s="91"/>
      <c r="Q39" s="91"/>
      <c r="R39" s="91"/>
      <c r="S39" s="91"/>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c r="AS39" s="91"/>
      <c r="AT39" s="91"/>
      <c r="AU39" s="91"/>
      <c r="AV39" s="91"/>
      <c r="AW39" s="91"/>
      <c r="AX39" s="91"/>
    </row>
    <row r="40" spans="1:50" s="92" customFormat="1" ht="25.5">
      <c r="A40" s="82"/>
      <c r="B40" s="89"/>
      <c r="C40" s="100"/>
      <c r="D40" s="164"/>
      <c r="E40" s="101" t="s">
        <v>232</v>
      </c>
      <c r="F40" s="101" t="s">
        <v>230</v>
      </c>
      <c r="G40" s="101"/>
      <c r="H40" s="93" t="s">
        <v>233</v>
      </c>
      <c r="I40" s="94" t="s">
        <v>76</v>
      </c>
      <c r="J40" s="95">
        <v>10</v>
      </c>
      <c r="K40" s="165">
        <f t="shared" si="2"/>
        <v>3375139</v>
      </c>
      <c r="L40" s="96">
        <f t="shared" si="3"/>
        <v>33751390</v>
      </c>
      <c r="M40" s="38"/>
      <c r="N40" s="90"/>
      <c r="O40" s="39">
        <f>ROUNDUP(3375138.91714104,0)</f>
        <v>3375139</v>
      </c>
      <c r="P40" s="91"/>
      <c r="Q40" s="91"/>
      <c r="R40" s="91"/>
      <c r="S40" s="91"/>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1"/>
      <c r="AR40" s="91"/>
      <c r="AS40" s="91"/>
      <c r="AT40" s="91"/>
      <c r="AU40" s="91"/>
      <c r="AV40" s="91"/>
      <c r="AW40" s="91"/>
      <c r="AX40" s="91"/>
    </row>
    <row r="41" spans="1:50" s="92" customFormat="1">
      <c r="A41" s="82"/>
      <c r="B41" s="89"/>
      <c r="C41" s="220" t="s">
        <v>79</v>
      </c>
      <c r="D41" s="220"/>
      <c r="E41" s="220"/>
      <c r="F41" s="220"/>
      <c r="G41" s="220"/>
      <c r="H41" s="220"/>
      <c r="I41" s="220"/>
      <c r="J41" s="220"/>
      <c r="K41" s="106"/>
      <c r="L41" s="107">
        <f>SUM(L33:L40)</f>
        <v>1229939522</v>
      </c>
      <c r="M41" s="38"/>
      <c r="N41" s="90"/>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row>
    <row r="42" spans="1:50" s="92" customFormat="1" ht="15.75" customHeight="1">
      <c r="A42" s="82"/>
      <c r="B42" s="89"/>
      <c r="C42" s="98"/>
      <c r="D42" s="98"/>
      <c r="E42" s="98">
        <v>3</v>
      </c>
      <c r="F42" s="98"/>
      <c r="G42" s="98">
        <f>+E42</f>
        <v>3</v>
      </c>
      <c r="H42" s="98" t="s">
        <v>234</v>
      </c>
      <c r="I42" s="98"/>
      <c r="J42" s="98"/>
      <c r="K42" s="98"/>
      <c r="L42" s="167"/>
      <c r="M42" s="38"/>
      <c r="N42" s="90"/>
      <c r="O42" s="91"/>
      <c r="P42" s="91"/>
      <c r="Q42" s="91"/>
      <c r="R42" s="91"/>
      <c r="S42" s="91"/>
      <c r="T42" s="91"/>
      <c r="U42" s="9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row>
    <row r="43" spans="1:50" s="92" customFormat="1" ht="63.75">
      <c r="A43" s="82"/>
      <c r="B43" s="89"/>
      <c r="C43" s="100"/>
      <c r="D43" s="164"/>
      <c r="E43" s="101" t="s">
        <v>235</v>
      </c>
      <c r="F43" s="102" t="s">
        <v>236</v>
      </c>
      <c r="G43" s="101"/>
      <c r="H43" s="168" t="s">
        <v>237</v>
      </c>
      <c r="I43" s="94" t="s">
        <v>238</v>
      </c>
      <c r="J43" s="95">
        <v>1</v>
      </c>
      <c r="K43" s="165">
        <f>ROUND(O43,0)</f>
        <v>237670120</v>
      </c>
      <c r="L43" s="96">
        <f>ROUND(J43*K43,0)</f>
        <v>237670120</v>
      </c>
      <c r="M43" s="38"/>
      <c r="N43" s="90"/>
      <c r="O43" s="39">
        <f>ROUNDUP(237670119.766874,0)</f>
        <v>237670120</v>
      </c>
      <c r="P43" s="91"/>
      <c r="Q43" s="91"/>
      <c r="R43" s="91"/>
      <c r="S43" s="91"/>
      <c r="T43" s="91"/>
      <c r="U43" s="91"/>
      <c r="V43" s="91"/>
      <c r="W43" s="91"/>
      <c r="X43" s="91"/>
      <c r="Y43" s="91"/>
      <c r="Z43" s="91"/>
      <c r="AA43" s="91"/>
      <c r="AB43" s="91"/>
      <c r="AC43" s="91"/>
      <c r="AD43" s="91"/>
      <c r="AE43" s="91"/>
      <c r="AF43" s="91"/>
      <c r="AG43" s="91"/>
      <c r="AH43" s="91"/>
      <c r="AI43" s="91"/>
      <c r="AJ43" s="91"/>
      <c r="AK43" s="91"/>
      <c r="AL43" s="91"/>
      <c r="AM43" s="91"/>
      <c r="AN43" s="91"/>
      <c r="AO43" s="91"/>
      <c r="AP43" s="91"/>
      <c r="AQ43" s="91"/>
      <c r="AR43" s="91"/>
      <c r="AS43" s="91"/>
      <c r="AT43" s="91"/>
      <c r="AU43" s="91"/>
      <c r="AV43" s="91"/>
      <c r="AW43" s="91"/>
      <c r="AX43" s="91"/>
    </row>
    <row r="44" spans="1:50" s="92" customFormat="1">
      <c r="A44" s="82"/>
      <c r="B44" s="89"/>
      <c r="C44" s="220" t="s">
        <v>79</v>
      </c>
      <c r="D44" s="220"/>
      <c r="E44" s="220"/>
      <c r="F44" s="220"/>
      <c r="G44" s="220"/>
      <c r="H44" s="220"/>
      <c r="I44" s="220"/>
      <c r="J44" s="220"/>
      <c r="K44" s="106"/>
      <c r="L44" s="107">
        <f>SUM(L43:L43)</f>
        <v>237670120</v>
      </c>
      <c r="M44" s="38"/>
      <c r="N44" s="90"/>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91"/>
      <c r="AO44" s="91"/>
      <c r="AP44" s="91"/>
      <c r="AQ44" s="91"/>
      <c r="AR44" s="91"/>
      <c r="AS44" s="91"/>
      <c r="AT44" s="91"/>
      <c r="AU44" s="91"/>
      <c r="AV44" s="91"/>
      <c r="AW44" s="91"/>
      <c r="AX44" s="91"/>
    </row>
    <row r="45" spans="1:50" ht="16.5" customHeight="1">
      <c r="A45" s="81"/>
      <c r="B45" s="88"/>
      <c r="C45" s="222"/>
      <c r="D45" s="222"/>
      <c r="E45" s="222"/>
      <c r="F45" s="222"/>
      <c r="G45" s="222"/>
      <c r="H45" s="222"/>
      <c r="I45" s="222"/>
      <c r="J45" s="222"/>
      <c r="K45" s="222"/>
      <c r="L45" s="222"/>
      <c r="M45" s="35"/>
      <c r="N45" s="83"/>
      <c r="O45" s="83"/>
      <c r="P45" s="83"/>
      <c r="Q45" s="83"/>
      <c r="R45" s="83"/>
      <c r="S45" s="83"/>
      <c r="T45" s="83"/>
      <c r="U45" s="83"/>
      <c r="V45" s="83"/>
      <c r="W45" s="83"/>
      <c r="X45" s="83"/>
      <c r="Y45" s="83"/>
      <c r="Z45" s="83"/>
      <c r="AA45" s="83"/>
      <c r="AB45" s="83"/>
      <c r="AC45" s="83"/>
      <c r="AD45" s="83"/>
      <c r="AE45" s="83"/>
      <c r="AF45" s="83"/>
      <c r="AG45" s="83"/>
      <c r="AH45" s="83"/>
      <c r="AI45" s="83"/>
      <c r="AJ45" s="83"/>
      <c r="AK45" s="83"/>
      <c r="AL45" s="83"/>
      <c r="AM45" s="83"/>
      <c r="AN45" s="83"/>
      <c r="AO45" s="83"/>
      <c r="AP45" s="83"/>
      <c r="AQ45" s="83"/>
      <c r="AR45" s="83"/>
      <c r="AS45" s="83"/>
      <c r="AT45" s="83"/>
      <c r="AU45" s="83"/>
      <c r="AV45" s="83"/>
      <c r="AW45" s="83"/>
      <c r="AX45" s="83"/>
    </row>
    <row r="46" spans="1:50" s="174" customFormat="1" ht="31.5" customHeight="1">
      <c r="A46" s="40"/>
      <c r="B46" s="169"/>
      <c r="C46" s="213" t="s">
        <v>239</v>
      </c>
      <c r="D46" s="213"/>
      <c r="E46" s="213"/>
      <c r="F46" s="213"/>
      <c r="G46" s="213"/>
      <c r="H46" s="213"/>
      <c r="I46" s="213"/>
      <c r="J46" s="213"/>
      <c r="K46" s="170"/>
      <c r="L46" s="171">
        <f>L31+L41+L44</f>
        <v>4616556283</v>
      </c>
      <c r="M46" s="172"/>
      <c r="N46" s="173"/>
      <c r="O46" s="39">
        <v>4616534069.6579905</v>
      </c>
      <c r="P46" s="173"/>
      <c r="Q46" s="173"/>
      <c r="R46" s="173"/>
      <c r="S46" s="173"/>
      <c r="T46" s="173"/>
      <c r="U46" s="173"/>
      <c r="V46" s="173"/>
      <c r="W46" s="173"/>
      <c r="X46" s="173"/>
      <c r="Y46" s="173"/>
      <c r="Z46" s="173"/>
      <c r="AA46" s="173"/>
      <c r="AB46" s="173"/>
      <c r="AC46" s="173"/>
      <c r="AD46" s="173"/>
      <c r="AE46" s="173"/>
      <c r="AF46" s="173"/>
      <c r="AG46" s="173"/>
      <c r="AH46" s="173"/>
      <c r="AI46" s="173"/>
      <c r="AJ46" s="173"/>
      <c r="AK46" s="173"/>
      <c r="AL46" s="173"/>
      <c r="AM46" s="173"/>
      <c r="AN46" s="173"/>
      <c r="AO46" s="173"/>
      <c r="AP46" s="173"/>
      <c r="AQ46" s="173"/>
      <c r="AR46" s="173"/>
      <c r="AS46" s="173"/>
      <c r="AT46" s="173"/>
      <c r="AU46" s="173"/>
      <c r="AV46" s="173"/>
      <c r="AW46" s="173"/>
      <c r="AX46" s="173"/>
    </row>
    <row r="47" spans="1:50" ht="17.25" customHeight="1">
      <c r="A47" s="83"/>
      <c r="B47" s="88"/>
      <c r="C47" s="214" t="s">
        <v>82</v>
      </c>
      <c r="D47" s="214"/>
      <c r="E47" s="214"/>
      <c r="F47" s="214"/>
      <c r="G47" s="214"/>
      <c r="H47" s="214"/>
      <c r="I47" s="214"/>
      <c r="J47" s="214"/>
      <c r="K47" s="175">
        <v>0.19</v>
      </c>
      <c r="L47" s="176">
        <f>ROUND(L46*K47,0)</f>
        <v>877145694</v>
      </c>
      <c r="M47" s="44"/>
      <c r="N47" s="83"/>
      <c r="O47" s="83"/>
      <c r="P47" s="83"/>
      <c r="Q47" s="108"/>
      <c r="R47" s="108"/>
      <c r="S47" s="108"/>
      <c r="T47" s="83"/>
      <c r="U47" s="83"/>
      <c r="V47" s="83"/>
      <c r="W47" s="83"/>
      <c r="X47" s="83"/>
      <c r="Y47" s="83"/>
      <c r="Z47" s="83"/>
      <c r="AA47" s="83"/>
      <c r="AB47" s="83"/>
      <c r="AC47" s="83"/>
      <c r="AD47" s="83"/>
      <c r="AE47" s="83"/>
      <c r="AF47" s="83"/>
      <c r="AG47" s="83"/>
      <c r="AH47" s="83"/>
      <c r="AI47" s="83"/>
      <c r="AJ47" s="83"/>
      <c r="AK47" s="83"/>
      <c r="AL47" s="83"/>
      <c r="AM47" s="83"/>
      <c r="AN47" s="83"/>
      <c r="AO47" s="83"/>
      <c r="AP47" s="83"/>
      <c r="AQ47" s="83"/>
      <c r="AR47" s="83"/>
      <c r="AS47" s="83"/>
      <c r="AT47" s="83"/>
      <c r="AU47" s="83"/>
      <c r="AV47" s="83"/>
      <c r="AW47" s="83"/>
      <c r="AX47" s="83"/>
    </row>
    <row r="48" spans="1:50" s="43" customFormat="1" ht="15.75" customHeight="1">
      <c r="A48" s="40"/>
      <c r="B48" s="88"/>
      <c r="C48" s="215" t="s">
        <v>240</v>
      </c>
      <c r="D48" s="215"/>
      <c r="E48" s="215"/>
      <c r="F48" s="215"/>
      <c r="G48" s="215"/>
      <c r="H48" s="215"/>
      <c r="I48" s="215"/>
      <c r="J48" s="215"/>
      <c r="K48" s="216">
        <f>ROUND(+L46+L47,0)</f>
        <v>5493701977</v>
      </c>
      <c r="L48" s="216"/>
      <c r="M48" s="41"/>
      <c r="N48" s="42"/>
      <c r="O48" s="42"/>
      <c r="P48" s="42"/>
      <c r="Q48" s="108"/>
      <c r="R48" s="108"/>
      <c r="S48" s="42"/>
      <c r="T48" s="42"/>
      <c r="U48" s="42"/>
      <c r="V48" s="42"/>
      <c r="W48" s="42"/>
      <c r="X48" s="42"/>
      <c r="Y48" s="42"/>
      <c r="Z48" s="42"/>
      <c r="AA48" s="42"/>
      <c r="AB48" s="42"/>
      <c r="AC48" s="42"/>
      <c r="AD48" s="42"/>
      <c r="AE48" s="42"/>
      <c r="AF48" s="42"/>
      <c r="AG48" s="42"/>
      <c r="AH48" s="42"/>
      <c r="AI48" s="42"/>
      <c r="AJ48" s="42"/>
      <c r="AK48" s="42"/>
      <c r="AL48" s="42"/>
      <c r="AM48" s="42"/>
      <c r="AN48" s="42"/>
      <c r="AO48" s="42"/>
      <c r="AP48" s="42"/>
      <c r="AQ48" s="42"/>
      <c r="AR48" s="42"/>
      <c r="AS48" s="42"/>
      <c r="AT48" s="42"/>
      <c r="AU48" s="42"/>
      <c r="AV48" s="42"/>
      <c r="AW48" s="42"/>
      <c r="AX48" s="42"/>
    </row>
    <row r="49" spans="1:50" ht="16.5" customHeight="1">
      <c r="A49" s="83"/>
      <c r="B49" s="88"/>
      <c r="C49" s="215"/>
      <c r="D49" s="215"/>
      <c r="E49" s="215"/>
      <c r="F49" s="215"/>
      <c r="G49" s="215"/>
      <c r="H49" s="215"/>
      <c r="I49" s="215"/>
      <c r="J49" s="215"/>
      <c r="K49" s="216"/>
      <c r="L49" s="216"/>
      <c r="M49" s="44"/>
      <c r="N49" s="83"/>
      <c r="O49" s="83"/>
      <c r="P49" s="109"/>
      <c r="Q49" s="108"/>
      <c r="R49" s="108"/>
      <c r="S49" s="83"/>
      <c r="T49" s="83"/>
      <c r="U49" s="83"/>
      <c r="V49" s="83"/>
      <c r="W49" s="83"/>
      <c r="X49" s="83"/>
      <c r="Y49" s="83"/>
      <c r="Z49" s="83"/>
      <c r="AA49" s="83"/>
      <c r="AB49" s="83"/>
      <c r="AC49" s="83"/>
      <c r="AD49" s="83"/>
      <c r="AE49" s="83"/>
      <c r="AF49" s="83"/>
      <c r="AG49" s="83"/>
      <c r="AH49" s="83"/>
      <c r="AI49" s="83"/>
      <c r="AJ49" s="83"/>
      <c r="AK49" s="83"/>
      <c r="AL49" s="83"/>
      <c r="AM49" s="83"/>
      <c r="AN49" s="83"/>
      <c r="AO49" s="83"/>
      <c r="AP49" s="83"/>
      <c r="AQ49" s="83"/>
      <c r="AR49" s="83"/>
      <c r="AS49" s="83"/>
      <c r="AT49" s="83"/>
      <c r="AU49" s="83"/>
      <c r="AV49" s="83"/>
      <c r="AW49" s="83"/>
      <c r="AX49" s="83"/>
    </row>
    <row r="50" spans="1:50" ht="17.25" customHeight="1">
      <c r="A50" s="83"/>
      <c r="B50" s="88"/>
      <c r="C50" s="215"/>
      <c r="D50" s="215"/>
      <c r="E50" s="215"/>
      <c r="F50" s="215"/>
      <c r="G50" s="215"/>
      <c r="H50" s="215"/>
      <c r="I50" s="215"/>
      <c r="J50" s="215"/>
      <c r="K50" s="216"/>
      <c r="L50" s="216"/>
      <c r="M50" s="44"/>
      <c r="N50" s="83"/>
      <c r="O50" s="83"/>
      <c r="P50" s="109"/>
      <c r="Q50" s="108"/>
      <c r="R50" s="83"/>
      <c r="S50" s="83"/>
      <c r="T50" s="83"/>
      <c r="U50" s="83"/>
      <c r="V50" s="83"/>
      <c r="W50" s="83"/>
      <c r="X50" s="83"/>
      <c r="Y50" s="83"/>
      <c r="Z50" s="83"/>
      <c r="AA50" s="83"/>
      <c r="AB50" s="83"/>
      <c r="AC50" s="83"/>
      <c r="AD50" s="83"/>
      <c r="AE50" s="83"/>
      <c r="AF50" s="83"/>
      <c r="AG50" s="83"/>
      <c r="AH50" s="83"/>
      <c r="AI50" s="83"/>
      <c r="AJ50" s="83"/>
      <c r="AK50" s="83"/>
      <c r="AL50" s="83"/>
      <c r="AM50" s="83"/>
      <c r="AN50" s="83"/>
      <c r="AO50" s="83"/>
      <c r="AP50" s="83"/>
      <c r="AQ50" s="83"/>
      <c r="AR50" s="83"/>
      <c r="AS50" s="83"/>
      <c r="AT50" s="83"/>
      <c r="AU50" s="83"/>
      <c r="AV50" s="83"/>
      <c r="AW50" s="83"/>
      <c r="AX50" s="83"/>
    </row>
    <row r="51" spans="1:50" ht="17.25" customHeight="1">
      <c r="A51" s="83"/>
      <c r="B51" s="88"/>
      <c r="C51" s="45"/>
      <c r="D51" s="45"/>
      <c r="E51" s="45"/>
      <c r="F51" s="45"/>
      <c r="G51" s="45"/>
      <c r="H51" s="45"/>
      <c r="I51" s="45"/>
      <c r="J51" s="45"/>
      <c r="K51" s="46"/>
      <c r="L51" s="110">
        <f>K48</f>
        <v>5493701977</v>
      </c>
      <c r="M51" s="44"/>
      <c r="N51" s="83"/>
      <c r="O51" s="83"/>
      <c r="P51" s="109"/>
      <c r="Q51" s="108"/>
      <c r="R51" s="83"/>
      <c r="S51" s="83"/>
      <c r="T51" s="83"/>
      <c r="U51" s="83"/>
      <c r="V51" s="83"/>
      <c r="W51" s="83"/>
      <c r="X51" s="83"/>
      <c r="Y51" s="83"/>
      <c r="Z51" s="83"/>
      <c r="AA51" s="83"/>
      <c r="AB51" s="83"/>
      <c r="AC51" s="83"/>
      <c r="AD51" s="83"/>
      <c r="AE51" s="83"/>
      <c r="AF51" s="83"/>
      <c r="AG51" s="83"/>
      <c r="AH51" s="83"/>
      <c r="AI51" s="83"/>
      <c r="AJ51" s="83"/>
      <c r="AK51" s="83"/>
      <c r="AL51" s="83"/>
      <c r="AM51" s="83"/>
      <c r="AN51" s="83"/>
      <c r="AO51" s="83"/>
      <c r="AP51" s="83"/>
      <c r="AQ51" s="83"/>
      <c r="AR51" s="83"/>
      <c r="AS51" s="83"/>
      <c r="AT51" s="83"/>
      <c r="AU51" s="83"/>
      <c r="AV51" s="83"/>
      <c r="AW51" s="83"/>
      <c r="AX51" s="83"/>
    </row>
    <row r="52" spans="1:50" ht="17.25" customHeight="1">
      <c r="A52" s="83"/>
      <c r="B52" s="88"/>
      <c r="C52" s="45"/>
      <c r="D52" s="45"/>
      <c r="E52" s="45"/>
      <c r="F52" s="45"/>
      <c r="G52" s="45"/>
      <c r="H52" s="45"/>
      <c r="I52" s="45"/>
      <c r="J52" s="45"/>
      <c r="K52" s="46"/>
      <c r="L52" s="46"/>
      <c r="M52" s="44"/>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c r="AU52" s="83"/>
      <c r="AV52" s="83"/>
      <c r="AW52" s="83"/>
      <c r="AX52" s="83"/>
    </row>
    <row r="53" spans="1:50" ht="17.25" customHeight="1" thickBot="1">
      <c r="A53" s="111"/>
      <c r="B53" s="112"/>
      <c r="C53" s="113"/>
      <c r="D53" s="113"/>
      <c r="E53" s="113"/>
      <c r="F53" s="114"/>
      <c r="G53" s="113"/>
      <c r="H53" s="115"/>
      <c r="I53" s="113"/>
      <c r="J53" s="114"/>
      <c r="K53" s="113"/>
      <c r="L53" s="113"/>
      <c r="M53" s="47"/>
      <c r="N53" s="83"/>
      <c r="O53" s="83"/>
      <c r="P53" s="83"/>
      <c r="Q53" s="83"/>
      <c r="R53" s="83"/>
      <c r="S53" s="83"/>
      <c r="T53" s="83"/>
      <c r="U53" s="83"/>
      <c r="V53" s="83"/>
      <c r="W53" s="83"/>
      <c r="X53" s="83"/>
      <c r="Y53" s="83"/>
      <c r="Z53" s="83"/>
      <c r="AA53" s="83"/>
      <c r="AB53" s="83"/>
      <c r="AC53" s="83"/>
      <c r="AD53" s="83"/>
      <c r="AE53" s="83"/>
      <c r="AF53" s="83"/>
      <c r="AG53" s="83"/>
      <c r="AH53" s="83"/>
      <c r="AI53" s="83"/>
      <c r="AJ53" s="83"/>
      <c r="AK53" s="83"/>
      <c r="AL53" s="83"/>
      <c r="AM53" s="83"/>
      <c r="AN53" s="83"/>
      <c r="AO53" s="83"/>
      <c r="AP53" s="83"/>
      <c r="AQ53" s="83"/>
      <c r="AR53" s="83"/>
      <c r="AS53" s="83"/>
      <c r="AT53" s="83"/>
      <c r="AU53" s="83"/>
      <c r="AV53" s="83"/>
      <c r="AW53" s="83"/>
      <c r="AX53" s="83"/>
    </row>
    <row r="54" spans="1:50" ht="17.25" thickTop="1">
      <c r="A54" s="83"/>
      <c r="B54" s="83"/>
      <c r="C54" s="83"/>
      <c r="D54" s="83"/>
      <c r="E54" s="83"/>
      <c r="F54" s="116"/>
      <c r="G54" s="83"/>
      <c r="H54" s="91"/>
      <c r="I54" s="83"/>
      <c r="J54" s="116"/>
      <c r="K54" s="83"/>
      <c r="L54" s="83"/>
      <c r="M54" s="33"/>
      <c r="N54" s="83"/>
      <c r="O54" s="83"/>
      <c r="P54" s="83"/>
      <c r="Q54" s="83"/>
      <c r="R54" s="83"/>
      <c r="S54" s="83"/>
      <c r="T54" s="83"/>
      <c r="U54" s="83"/>
      <c r="V54" s="83"/>
      <c r="W54" s="83"/>
      <c r="X54" s="83"/>
      <c r="Y54" s="83"/>
      <c r="Z54" s="83"/>
      <c r="AA54" s="83"/>
      <c r="AB54" s="83"/>
      <c r="AC54" s="83"/>
      <c r="AD54" s="83"/>
      <c r="AE54" s="83"/>
      <c r="AF54" s="83"/>
      <c r="AG54" s="83"/>
      <c r="AH54" s="83"/>
      <c r="AI54" s="83"/>
      <c r="AJ54" s="83"/>
      <c r="AK54" s="83"/>
      <c r="AL54" s="83"/>
      <c r="AM54" s="83"/>
      <c r="AN54" s="83"/>
      <c r="AO54" s="83"/>
      <c r="AP54" s="83"/>
      <c r="AQ54" s="83"/>
      <c r="AR54" s="83"/>
      <c r="AS54" s="83"/>
      <c r="AT54" s="83"/>
      <c r="AU54" s="83"/>
      <c r="AV54" s="83"/>
      <c r="AW54" s="83"/>
      <c r="AX54" s="83"/>
    </row>
    <row r="55" spans="1:50">
      <c r="A55" s="83"/>
      <c r="B55" s="83"/>
      <c r="C55" s="83"/>
      <c r="D55" s="83"/>
      <c r="E55" s="83"/>
      <c r="F55" s="116"/>
      <c r="G55" s="83"/>
      <c r="H55" s="91"/>
      <c r="I55" s="83"/>
      <c r="J55" s="116"/>
      <c r="K55" s="83"/>
      <c r="L55" s="83"/>
      <c r="M55" s="33"/>
      <c r="N55" s="83"/>
      <c r="O55" s="83"/>
      <c r="P55" s="83"/>
      <c r="Q55" s="83"/>
      <c r="R55" s="83"/>
      <c r="S55" s="83"/>
      <c r="T55" s="83"/>
      <c r="U55" s="83"/>
      <c r="V55" s="83"/>
      <c r="W55" s="83"/>
      <c r="X55" s="83"/>
      <c r="Y55" s="83"/>
      <c r="Z55" s="83"/>
      <c r="AA55" s="83"/>
      <c r="AB55" s="83"/>
      <c r="AC55" s="83"/>
      <c r="AD55" s="83"/>
      <c r="AE55" s="83"/>
      <c r="AF55" s="83"/>
      <c r="AG55" s="83"/>
      <c r="AH55" s="83"/>
      <c r="AI55" s="83"/>
      <c r="AJ55" s="83"/>
      <c r="AK55" s="83"/>
      <c r="AL55" s="83"/>
      <c r="AM55" s="83"/>
      <c r="AN55" s="83"/>
      <c r="AO55" s="83"/>
      <c r="AP55" s="83"/>
      <c r="AQ55" s="83"/>
      <c r="AR55" s="83"/>
      <c r="AS55" s="83"/>
      <c r="AT55" s="83"/>
      <c r="AU55" s="83"/>
      <c r="AV55" s="83"/>
      <c r="AW55" s="83"/>
      <c r="AX55" s="83"/>
    </row>
    <row r="56" spans="1:50">
      <c r="A56" s="83"/>
      <c r="B56" s="83"/>
      <c r="C56" s="83"/>
      <c r="D56" s="83"/>
      <c r="E56" s="83"/>
      <c r="F56" s="116"/>
      <c r="G56" s="83"/>
      <c r="H56" s="91"/>
      <c r="I56" s="83"/>
      <c r="J56" s="116"/>
      <c r="K56" s="83"/>
      <c r="L56" s="117"/>
      <c r="M56" s="33"/>
      <c r="N56" s="83"/>
      <c r="O56" s="83"/>
      <c r="P56" s="83"/>
      <c r="Q56" s="83"/>
      <c r="R56" s="83"/>
      <c r="S56" s="83"/>
      <c r="T56" s="83"/>
      <c r="U56" s="83"/>
      <c r="V56" s="83"/>
      <c r="W56" s="83"/>
      <c r="X56" s="83"/>
      <c r="Y56" s="83"/>
      <c r="Z56" s="83"/>
      <c r="AA56" s="83"/>
      <c r="AB56" s="83"/>
      <c r="AC56" s="83"/>
      <c r="AD56" s="83"/>
      <c r="AE56" s="83"/>
      <c r="AF56" s="83"/>
      <c r="AG56" s="83"/>
      <c r="AH56" s="83"/>
      <c r="AI56" s="83"/>
      <c r="AJ56" s="83"/>
      <c r="AK56" s="83"/>
      <c r="AL56" s="83"/>
      <c r="AM56" s="83"/>
      <c r="AN56" s="83"/>
      <c r="AO56" s="83"/>
      <c r="AP56" s="83"/>
      <c r="AQ56" s="83"/>
      <c r="AR56" s="83"/>
      <c r="AS56" s="83"/>
      <c r="AT56" s="83"/>
      <c r="AU56" s="83"/>
      <c r="AV56" s="83"/>
      <c r="AW56" s="83"/>
      <c r="AX56" s="83"/>
    </row>
    <row r="57" spans="1:50">
      <c r="A57" s="83"/>
      <c r="B57" s="83"/>
      <c r="C57" s="83"/>
      <c r="D57" s="83"/>
      <c r="E57" s="83"/>
      <c r="F57" s="116"/>
      <c r="G57" s="83"/>
      <c r="H57" s="91"/>
      <c r="I57" s="83"/>
      <c r="J57" s="116"/>
      <c r="K57" s="83"/>
      <c r="L57" s="118"/>
      <c r="M57" s="33"/>
      <c r="N57" s="83"/>
      <c r="O57" s="83"/>
      <c r="P57" s="83"/>
      <c r="Q57" s="83"/>
      <c r="R57" s="83"/>
      <c r="S57" s="83"/>
      <c r="T57" s="83"/>
      <c r="U57" s="83"/>
      <c r="V57" s="83"/>
      <c r="W57" s="83"/>
      <c r="X57" s="83"/>
      <c r="Y57" s="83"/>
      <c r="Z57" s="83"/>
      <c r="AA57" s="83"/>
      <c r="AB57" s="83"/>
      <c r="AC57" s="83"/>
      <c r="AD57" s="83"/>
      <c r="AE57" s="83"/>
      <c r="AF57" s="83"/>
      <c r="AG57" s="83"/>
      <c r="AH57" s="83"/>
      <c r="AI57" s="83"/>
      <c r="AJ57" s="83"/>
      <c r="AK57" s="83"/>
      <c r="AL57" s="83"/>
      <c r="AM57" s="83"/>
      <c r="AN57" s="83"/>
      <c r="AO57" s="83"/>
      <c r="AP57" s="83"/>
      <c r="AQ57" s="83"/>
      <c r="AR57" s="83"/>
      <c r="AS57" s="83"/>
      <c r="AT57" s="83"/>
      <c r="AU57" s="83"/>
      <c r="AV57" s="83"/>
      <c r="AW57" s="83"/>
      <c r="AX57" s="83"/>
    </row>
    <row r="58" spans="1:50">
      <c r="A58" s="83"/>
      <c r="B58" s="83"/>
      <c r="C58" s="83"/>
      <c r="D58" s="83"/>
      <c r="E58" s="83"/>
      <c r="F58" s="83"/>
      <c r="G58" s="83"/>
      <c r="H58" s="83"/>
      <c r="I58" s="83"/>
      <c r="J58" s="83"/>
      <c r="K58" s="83"/>
      <c r="L58" s="119"/>
      <c r="M58" s="33"/>
      <c r="N58" s="83"/>
      <c r="O58" s="83"/>
      <c r="P58" s="83"/>
      <c r="Q58" s="83"/>
      <c r="R58" s="83"/>
      <c r="S58" s="83"/>
      <c r="T58" s="83"/>
      <c r="U58" s="83"/>
      <c r="V58" s="83"/>
      <c r="W58" s="83"/>
      <c r="X58" s="83"/>
      <c r="Y58" s="83"/>
      <c r="Z58" s="83"/>
      <c r="AA58" s="83"/>
      <c r="AB58" s="83"/>
      <c r="AC58" s="83"/>
      <c r="AD58" s="83"/>
      <c r="AE58" s="83"/>
      <c r="AF58" s="83"/>
      <c r="AG58" s="83"/>
      <c r="AH58" s="83"/>
      <c r="AI58" s="83"/>
      <c r="AJ58" s="83"/>
      <c r="AK58" s="83"/>
      <c r="AL58" s="83"/>
      <c r="AM58" s="83"/>
      <c r="AN58" s="83"/>
      <c r="AO58" s="83"/>
      <c r="AP58" s="83"/>
      <c r="AQ58" s="83"/>
      <c r="AR58" s="83"/>
      <c r="AS58" s="83"/>
      <c r="AT58" s="83"/>
      <c r="AU58" s="83"/>
      <c r="AV58" s="83"/>
      <c r="AW58" s="83"/>
      <c r="AX58" s="83"/>
    </row>
    <row r="59" spans="1:50">
      <c r="A59" s="83"/>
      <c r="B59" s="83"/>
      <c r="C59" s="83"/>
      <c r="D59" s="83"/>
      <c r="E59" s="83"/>
      <c r="F59" s="83"/>
      <c r="G59" s="83"/>
      <c r="H59" s="83"/>
      <c r="I59" s="83"/>
      <c r="J59" s="83"/>
      <c r="K59" s="83"/>
      <c r="L59" s="83"/>
      <c r="M59" s="33"/>
      <c r="N59" s="83"/>
      <c r="O59" s="83"/>
      <c r="P59" s="83"/>
      <c r="Q59" s="83"/>
      <c r="R59" s="83"/>
      <c r="S59" s="83"/>
      <c r="T59" s="83"/>
      <c r="U59" s="83"/>
      <c r="V59" s="83"/>
      <c r="W59" s="83"/>
      <c r="X59" s="83"/>
      <c r="Y59" s="83"/>
      <c r="Z59" s="83"/>
      <c r="AA59" s="83"/>
      <c r="AB59" s="83"/>
      <c r="AC59" s="83"/>
      <c r="AD59" s="83"/>
      <c r="AE59" s="83"/>
      <c r="AF59" s="83"/>
      <c r="AG59" s="83"/>
      <c r="AH59" s="83"/>
      <c r="AI59" s="83"/>
      <c r="AJ59" s="83"/>
      <c r="AK59" s="83"/>
      <c r="AL59" s="83"/>
      <c r="AM59" s="83"/>
      <c r="AN59" s="83"/>
      <c r="AO59" s="83"/>
      <c r="AP59" s="83"/>
      <c r="AQ59" s="83"/>
      <c r="AR59" s="83"/>
      <c r="AS59" s="83"/>
      <c r="AT59" s="83"/>
      <c r="AU59" s="83"/>
      <c r="AV59" s="83"/>
      <c r="AW59" s="83"/>
      <c r="AX59" s="83"/>
    </row>
    <row r="60" spans="1:50">
      <c r="A60" s="83"/>
      <c r="B60" s="83"/>
      <c r="C60" s="83"/>
      <c r="D60" s="83"/>
      <c r="E60" s="83"/>
      <c r="F60" s="83"/>
      <c r="G60" s="83"/>
      <c r="H60" s="83"/>
      <c r="I60" s="83"/>
      <c r="J60" s="83"/>
      <c r="K60" s="83"/>
      <c r="L60" s="83"/>
      <c r="M60" s="33"/>
      <c r="N60" s="83"/>
      <c r="O60" s="83"/>
      <c r="P60" s="83"/>
      <c r="Q60" s="83"/>
      <c r="R60" s="83"/>
      <c r="S60" s="83"/>
      <c r="T60" s="83"/>
      <c r="U60" s="83"/>
      <c r="V60" s="83"/>
      <c r="W60" s="83"/>
      <c r="X60" s="83"/>
      <c r="Y60" s="83"/>
      <c r="Z60" s="83"/>
      <c r="AA60" s="83"/>
      <c r="AB60" s="83"/>
      <c r="AC60" s="83"/>
      <c r="AD60" s="83"/>
      <c r="AE60" s="83"/>
      <c r="AF60" s="83"/>
      <c r="AG60" s="83"/>
      <c r="AH60" s="83"/>
      <c r="AI60" s="83"/>
      <c r="AJ60" s="83"/>
      <c r="AK60" s="83"/>
      <c r="AL60" s="83"/>
      <c r="AM60" s="83"/>
      <c r="AN60" s="83"/>
      <c r="AO60" s="83"/>
      <c r="AP60" s="83"/>
      <c r="AQ60" s="83"/>
      <c r="AR60" s="83"/>
      <c r="AS60" s="83"/>
      <c r="AT60" s="83"/>
      <c r="AU60" s="83"/>
      <c r="AV60" s="83"/>
      <c r="AW60" s="83"/>
      <c r="AX60" s="83"/>
    </row>
    <row r="61" spans="1:50">
      <c r="A61" s="83"/>
      <c r="B61" s="83"/>
      <c r="C61" s="83"/>
      <c r="D61" s="83"/>
      <c r="E61" s="83"/>
      <c r="F61" s="83"/>
      <c r="G61" s="83"/>
      <c r="H61" s="83"/>
      <c r="I61" s="83"/>
      <c r="J61" s="83"/>
      <c r="K61" s="83"/>
      <c r="L61" s="83"/>
      <c r="M61" s="33"/>
      <c r="N61" s="83"/>
      <c r="O61" s="83"/>
      <c r="P61" s="83"/>
      <c r="Q61" s="83"/>
      <c r="R61" s="83"/>
      <c r="S61" s="83"/>
      <c r="T61" s="83"/>
      <c r="U61" s="83"/>
      <c r="V61" s="83"/>
      <c r="W61" s="83"/>
      <c r="X61" s="83"/>
      <c r="Y61" s="83"/>
      <c r="Z61" s="83"/>
      <c r="AA61" s="83"/>
      <c r="AB61" s="83"/>
      <c r="AC61" s="83"/>
      <c r="AD61" s="83"/>
      <c r="AE61" s="83"/>
      <c r="AF61" s="83"/>
      <c r="AG61" s="83"/>
      <c r="AH61" s="83"/>
      <c r="AI61" s="83"/>
      <c r="AJ61" s="83"/>
      <c r="AK61" s="83"/>
      <c r="AL61" s="83"/>
      <c r="AM61" s="83"/>
      <c r="AN61" s="83"/>
      <c r="AO61" s="83"/>
      <c r="AP61" s="83"/>
      <c r="AQ61" s="83"/>
      <c r="AR61" s="83"/>
      <c r="AS61" s="83"/>
      <c r="AT61" s="83"/>
      <c r="AU61" s="83"/>
      <c r="AV61" s="83"/>
      <c r="AW61" s="83"/>
      <c r="AX61" s="83"/>
    </row>
    <row r="62" spans="1:50">
      <c r="A62" s="83"/>
      <c r="B62" s="83"/>
      <c r="C62" s="83"/>
      <c r="D62" s="83"/>
      <c r="E62" s="83"/>
      <c r="F62" s="83"/>
      <c r="G62" s="83"/>
      <c r="H62" s="83"/>
      <c r="I62" s="83"/>
      <c r="J62" s="83"/>
      <c r="K62" s="83"/>
      <c r="L62" s="83"/>
      <c r="M62" s="33"/>
      <c r="N62" s="83"/>
      <c r="O62" s="83"/>
      <c r="P62" s="83"/>
      <c r="Q62" s="83"/>
      <c r="R62" s="83"/>
      <c r="S62" s="83"/>
      <c r="T62" s="83"/>
      <c r="U62" s="83"/>
      <c r="V62" s="83"/>
      <c r="W62" s="83"/>
      <c r="X62" s="83"/>
      <c r="Y62" s="83"/>
      <c r="Z62" s="83"/>
      <c r="AA62" s="83"/>
      <c r="AB62" s="83"/>
      <c r="AC62" s="83"/>
      <c r="AD62" s="83"/>
      <c r="AE62" s="83"/>
      <c r="AF62" s="83"/>
      <c r="AG62" s="83"/>
      <c r="AH62" s="83"/>
      <c r="AI62" s="83"/>
      <c r="AJ62" s="83"/>
      <c r="AK62" s="83"/>
      <c r="AL62" s="83"/>
      <c r="AM62" s="83"/>
      <c r="AN62" s="83"/>
      <c r="AO62" s="83"/>
      <c r="AP62" s="83"/>
      <c r="AQ62" s="83"/>
      <c r="AR62" s="83"/>
      <c r="AS62" s="83"/>
      <c r="AT62" s="83"/>
      <c r="AU62" s="83"/>
      <c r="AV62" s="83"/>
      <c r="AW62" s="83"/>
      <c r="AX62" s="83"/>
    </row>
    <row r="63" spans="1:50">
      <c r="A63" s="83"/>
      <c r="B63" s="83"/>
      <c r="C63" s="83"/>
      <c r="D63" s="83"/>
      <c r="E63" s="83"/>
      <c r="F63" s="83"/>
      <c r="G63" s="83"/>
      <c r="H63" s="83"/>
      <c r="I63" s="83"/>
      <c r="J63" s="83"/>
      <c r="K63" s="83"/>
      <c r="L63" s="83"/>
      <c r="M63" s="33"/>
      <c r="N63" s="83"/>
      <c r="O63" s="83"/>
      <c r="P63" s="83"/>
      <c r="Q63" s="83"/>
      <c r="R63" s="83"/>
      <c r="S63" s="83"/>
      <c r="T63" s="83"/>
      <c r="U63" s="83"/>
      <c r="V63" s="83"/>
      <c r="W63" s="83"/>
      <c r="X63" s="83"/>
      <c r="Y63" s="83"/>
      <c r="Z63" s="83"/>
      <c r="AA63" s="83"/>
      <c r="AB63" s="83"/>
      <c r="AC63" s="83"/>
      <c r="AD63" s="83"/>
      <c r="AE63" s="83"/>
      <c r="AF63" s="83"/>
      <c r="AG63" s="83"/>
      <c r="AH63" s="83"/>
      <c r="AI63" s="83"/>
      <c r="AJ63" s="83"/>
      <c r="AK63" s="83"/>
      <c r="AL63" s="83"/>
      <c r="AM63" s="83"/>
      <c r="AN63" s="83"/>
      <c r="AO63" s="83"/>
      <c r="AP63" s="83"/>
      <c r="AQ63" s="83"/>
      <c r="AR63" s="83"/>
      <c r="AS63" s="83"/>
      <c r="AT63" s="83"/>
      <c r="AU63" s="83"/>
      <c r="AV63" s="83"/>
      <c r="AW63" s="83"/>
      <c r="AX63" s="83"/>
    </row>
    <row r="64" spans="1:50">
      <c r="A64" s="83"/>
      <c r="B64" s="83"/>
      <c r="C64" s="83"/>
      <c r="D64" s="83"/>
      <c r="E64" s="83"/>
      <c r="F64" s="83"/>
      <c r="G64" s="83"/>
      <c r="H64" s="83"/>
      <c r="I64" s="83"/>
      <c r="J64" s="83"/>
      <c r="K64" s="83"/>
      <c r="L64" s="83"/>
      <c r="M64" s="33"/>
      <c r="N64" s="83"/>
      <c r="O64" s="83"/>
      <c r="P64" s="83"/>
      <c r="Q64" s="83"/>
      <c r="R64" s="83"/>
      <c r="S64" s="83"/>
      <c r="T64" s="83"/>
      <c r="U64" s="83"/>
      <c r="V64" s="83"/>
      <c r="W64" s="83"/>
      <c r="X64" s="83"/>
      <c r="Y64" s="83"/>
      <c r="Z64" s="83"/>
      <c r="AA64" s="83"/>
      <c r="AB64" s="83"/>
      <c r="AC64" s="83"/>
      <c r="AD64" s="83"/>
      <c r="AE64" s="83"/>
      <c r="AF64" s="83"/>
      <c r="AG64" s="83"/>
      <c r="AH64" s="83"/>
      <c r="AI64" s="83"/>
      <c r="AJ64" s="83"/>
      <c r="AK64" s="83"/>
      <c r="AL64" s="83"/>
      <c r="AM64" s="83"/>
      <c r="AN64" s="83"/>
      <c r="AO64" s="83"/>
      <c r="AP64" s="83"/>
      <c r="AQ64" s="83"/>
      <c r="AR64" s="83"/>
      <c r="AS64" s="83"/>
      <c r="AT64" s="83"/>
      <c r="AU64" s="83"/>
      <c r="AV64" s="83"/>
      <c r="AW64" s="83"/>
      <c r="AX64" s="83"/>
    </row>
    <row r="65" spans="1:50">
      <c r="A65" s="83"/>
      <c r="B65" s="83"/>
      <c r="C65" s="83"/>
      <c r="D65" s="83"/>
      <c r="E65" s="83"/>
      <c r="F65" s="83"/>
      <c r="G65" s="83"/>
      <c r="H65" s="83"/>
      <c r="I65" s="83"/>
      <c r="J65" s="83"/>
      <c r="K65" s="83"/>
      <c r="L65" s="108"/>
      <c r="M65" s="33"/>
      <c r="N65" s="83"/>
      <c r="O65" s="83"/>
      <c r="P65" s="83"/>
      <c r="Q65" s="83"/>
      <c r="R65" s="83"/>
      <c r="S65" s="83"/>
      <c r="T65" s="83"/>
      <c r="U65" s="83"/>
      <c r="V65" s="83"/>
      <c r="W65" s="83"/>
      <c r="X65" s="83"/>
      <c r="Y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row>
    <row r="66" spans="1:50">
      <c r="A66" s="83"/>
      <c r="B66" s="83"/>
      <c r="C66" s="83"/>
      <c r="D66" s="83"/>
      <c r="E66" s="83"/>
      <c r="F66" s="83"/>
      <c r="G66" s="83"/>
      <c r="H66" s="83"/>
      <c r="I66" s="83"/>
      <c r="J66" s="83"/>
      <c r="K66" s="83"/>
      <c r="L66" s="83"/>
      <c r="M66" s="33"/>
      <c r="N66" s="83"/>
      <c r="O66" s="83"/>
      <c r="P66" s="83"/>
      <c r="Q66" s="83"/>
      <c r="R66" s="83"/>
      <c r="S66" s="83"/>
      <c r="T66" s="83"/>
      <c r="U66" s="83"/>
      <c r="V66" s="83"/>
      <c r="W66" s="83"/>
      <c r="X66" s="83"/>
      <c r="Y66" s="83"/>
      <c r="Z66" s="83"/>
      <c r="AA66" s="83"/>
      <c r="AB66" s="83"/>
      <c r="AC66" s="83"/>
      <c r="AD66" s="83"/>
      <c r="AE66" s="83"/>
      <c r="AF66" s="83"/>
      <c r="AG66" s="83"/>
      <c r="AH66" s="83"/>
      <c r="AI66" s="83"/>
      <c r="AJ66" s="83"/>
      <c r="AK66" s="83"/>
      <c r="AL66" s="83"/>
      <c r="AM66" s="83"/>
      <c r="AN66" s="83"/>
      <c r="AO66" s="83"/>
      <c r="AP66" s="83"/>
      <c r="AQ66" s="83"/>
      <c r="AR66" s="83"/>
      <c r="AS66" s="83"/>
      <c r="AT66" s="83"/>
      <c r="AU66" s="83"/>
      <c r="AV66" s="83"/>
      <c r="AW66" s="83"/>
      <c r="AX66" s="83"/>
    </row>
    <row r="67" spans="1:50">
      <c r="A67" s="83"/>
      <c r="B67" s="83"/>
      <c r="C67" s="83"/>
      <c r="D67" s="83"/>
      <c r="E67" s="83"/>
      <c r="F67" s="83"/>
      <c r="G67" s="83"/>
      <c r="H67" s="83"/>
      <c r="I67" s="83"/>
      <c r="J67" s="83"/>
      <c r="K67" s="83"/>
      <c r="L67" s="83"/>
      <c r="M67" s="33"/>
      <c r="N67" s="83"/>
      <c r="O67" s="83"/>
      <c r="P67" s="83"/>
      <c r="Q67" s="83"/>
      <c r="R67" s="83"/>
      <c r="S67" s="83"/>
      <c r="T67" s="83"/>
      <c r="U67" s="83"/>
      <c r="V67" s="83"/>
      <c r="W67" s="83"/>
      <c r="X67" s="83"/>
      <c r="Y67" s="83"/>
      <c r="Z67" s="83"/>
      <c r="AA67" s="83"/>
      <c r="AB67" s="83"/>
      <c r="AC67" s="83"/>
      <c r="AD67" s="83"/>
      <c r="AE67" s="83"/>
      <c r="AF67" s="83"/>
      <c r="AG67" s="83"/>
      <c r="AH67" s="83"/>
      <c r="AI67" s="83"/>
      <c r="AJ67" s="83"/>
      <c r="AK67" s="83"/>
      <c r="AL67" s="83"/>
      <c r="AM67" s="83"/>
      <c r="AN67" s="83"/>
      <c r="AO67" s="83"/>
      <c r="AP67" s="83"/>
      <c r="AQ67" s="83"/>
      <c r="AR67" s="83"/>
      <c r="AS67" s="83"/>
      <c r="AT67" s="83"/>
      <c r="AU67" s="83"/>
      <c r="AV67" s="83"/>
      <c r="AW67" s="83"/>
      <c r="AX67" s="83"/>
    </row>
    <row r="68" spans="1:50">
      <c r="A68" s="83"/>
      <c r="B68" s="83"/>
      <c r="C68" s="83"/>
      <c r="D68" s="83"/>
      <c r="E68" s="83"/>
      <c r="F68" s="83"/>
      <c r="G68" s="83"/>
      <c r="H68" s="83"/>
      <c r="I68" s="83"/>
      <c r="J68" s="83"/>
      <c r="K68" s="108"/>
      <c r="L68" s="83"/>
      <c r="M68" s="33"/>
      <c r="N68" s="83"/>
      <c r="O68" s="83"/>
      <c r="P68" s="83"/>
      <c r="Q68" s="83"/>
      <c r="R68" s="83"/>
      <c r="S68" s="83"/>
      <c r="T68" s="83"/>
      <c r="U68" s="83"/>
      <c r="V68" s="83"/>
      <c r="W68" s="83"/>
      <c r="X68" s="83"/>
      <c r="Y68" s="83"/>
      <c r="Z68" s="83"/>
      <c r="AA68" s="83"/>
      <c r="AB68" s="83"/>
      <c r="AC68" s="83"/>
      <c r="AD68" s="83"/>
      <c r="AE68" s="83"/>
      <c r="AF68" s="83"/>
      <c r="AG68" s="83"/>
      <c r="AH68" s="83"/>
      <c r="AI68" s="83"/>
      <c r="AJ68" s="83"/>
      <c r="AK68" s="83"/>
      <c r="AL68" s="83"/>
      <c r="AM68" s="83"/>
      <c r="AN68" s="83"/>
      <c r="AO68" s="83"/>
      <c r="AP68" s="83"/>
      <c r="AQ68" s="83"/>
      <c r="AR68" s="83"/>
      <c r="AS68" s="83"/>
      <c r="AT68" s="83"/>
      <c r="AU68" s="83"/>
      <c r="AV68" s="83"/>
      <c r="AW68" s="83"/>
      <c r="AX68" s="83"/>
    </row>
    <row r="69" spans="1:50">
      <c r="A69" s="83"/>
      <c r="B69" s="83"/>
      <c r="C69" s="83"/>
      <c r="D69" s="83"/>
      <c r="E69" s="83"/>
      <c r="F69" s="83"/>
      <c r="G69" s="83"/>
      <c r="H69" s="83"/>
      <c r="I69" s="83"/>
      <c r="J69" s="83"/>
      <c r="K69" s="83"/>
      <c r="L69" s="83"/>
      <c r="M69" s="33"/>
      <c r="N69" s="83"/>
      <c r="O69" s="83"/>
      <c r="P69" s="83"/>
      <c r="Q69" s="83"/>
      <c r="R69" s="83"/>
      <c r="S69" s="83"/>
      <c r="T69" s="83"/>
      <c r="U69" s="83"/>
      <c r="V69" s="83"/>
      <c r="W69" s="83"/>
      <c r="X69" s="83"/>
      <c r="Y69" s="83"/>
      <c r="Z69" s="83"/>
      <c r="AA69" s="83"/>
      <c r="AB69" s="83"/>
      <c r="AC69" s="83"/>
      <c r="AD69" s="83"/>
      <c r="AE69" s="83"/>
      <c r="AF69" s="83"/>
      <c r="AG69" s="83"/>
      <c r="AH69" s="83"/>
      <c r="AI69" s="83"/>
      <c r="AJ69" s="83"/>
      <c r="AK69" s="83"/>
      <c r="AL69" s="83"/>
      <c r="AM69" s="83"/>
      <c r="AN69" s="83"/>
      <c r="AO69" s="83"/>
      <c r="AP69" s="83"/>
      <c r="AQ69" s="83"/>
      <c r="AR69" s="83"/>
      <c r="AS69" s="83"/>
      <c r="AT69" s="83"/>
      <c r="AU69" s="83"/>
      <c r="AV69" s="83"/>
      <c r="AW69" s="83"/>
      <c r="AX69" s="83"/>
    </row>
    <row r="70" spans="1:50">
      <c r="A70" s="83"/>
      <c r="B70" s="83"/>
      <c r="C70" s="83"/>
      <c r="D70" s="83"/>
      <c r="E70" s="83"/>
      <c r="F70" s="83"/>
      <c r="G70" s="83"/>
      <c r="H70" s="83"/>
      <c r="I70" s="83"/>
      <c r="J70" s="83"/>
      <c r="K70" s="83"/>
      <c r="L70" s="83"/>
      <c r="M70" s="33"/>
      <c r="N70" s="83"/>
      <c r="O70" s="83"/>
      <c r="P70" s="83"/>
      <c r="Q70" s="83"/>
      <c r="R70" s="83"/>
      <c r="S70" s="83"/>
      <c r="T70" s="83"/>
      <c r="U70" s="83"/>
      <c r="V70" s="83"/>
      <c r="W70" s="83"/>
      <c r="X70" s="83"/>
      <c r="Y70" s="83"/>
      <c r="Z70" s="83"/>
      <c r="AA70" s="83"/>
      <c r="AB70" s="83"/>
      <c r="AC70" s="83"/>
      <c r="AD70" s="83"/>
      <c r="AE70" s="83"/>
      <c r="AF70" s="83"/>
      <c r="AG70" s="83"/>
      <c r="AH70" s="83"/>
      <c r="AI70" s="83"/>
      <c r="AJ70" s="83"/>
      <c r="AK70" s="83"/>
      <c r="AL70" s="83"/>
      <c r="AM70" s="83"/>
      <c r="AN70" s="83"/>
      <c r="AO70" s="83"/>
      <c r="AP70" s="83"/>
      <c r="AQ70" s="83"/>
      <c r="AR70" s="83"/>
      <c r="AS70" s="83"/>
      <c r="AT70" s="83"/>
      <c r="AU70" s="83"/>
      <c r="AV70" s="83"/>
      <c r="AW70" s="83"/>
      <c r="AX70" s="83"/>
    </row>
    <row r="71" spans="1:50">
      <c r="A71" s="83"/>
      <c r="B71" s="83"/>
      <c r="C71" s="83"/>
      <c r="D71" s="83"/>
      <c r="E71" s="83"/>
      <c r="F71" s="83"/>
      <c r="G71" s="83"/>
      <c r="H71" s="83"/>
      <c r="I71" s="83"/>
      <c r="J71" s="83"/>
      <c r="K71" s="83"/>
      <c r="L71" s="83"/>
      <c r="M71" s="33"/>
      <c r="N71" s="83"/>
      <c r="O71" s="83"/>
      <c r="P71" s="83"/>
      <c r="Q71" s="83"/>
      <c r="R71" s="83"/>
      <c r="S71" s="83"/>
      <c r="T71" s="83"/>
      <c r="U71" s="83"/>
      <c r="V71" s="83"/>
      <c r="W71" s="83"/>
      <c r="X71" s="83"/>
      <c r="Y71" s="83"/>
      <c r="Z71" s="83"/>
      <c r="AA71" s="83"/>
      <c r="AB71" s="83"/>
      <c r="AC71" s="83"/>
      <c r="AD71" s="83"/>
      <c r="AE71" s="83"/>
      <c r="AF71" s="83"/>
      <c r="AG71" s="83"/>
      <c r="AH71" s="83"/>
      <c r="AI71" s="83"/>
      <c r="AJ71" s="83"/>
      <c r="AK71" s="83"/>
      <c r="AL71" s="83"/>
      <c r="AM71" s="83"/>
      <c r="AN71" s="83"/>
      <c r="AO71" s="83"/>
      <c r="AP71" s="83"/>
      <c r="AQ71" s="83"/>
      <c r="AR71" s="83"/>
      <c r="AS71" s="83"/>
      <c r="AT71" s="83"/>
      <c r="AU71" s="83"/>
      <c r="AV71" s="83"/>
      <c r="AW71" s="83"/>
      <c r="AX71" s="83"/>
    </row>
    <row r="72" spans="1:50">
      <c r="A72" s="83"/>
      <c r="B72" s="83"/>
      <c r="C72" s="83"/>
      <c r="D72" s="83"/>
      <c r="E72" s="83"/>
      <c r="F72" s="83"/>
      <c r="G72" s="83"/>
      <c r="H72" s="83"/>
      <c r="I72" s="83"/>
      <c r="J72" s="83"/>
      <c r="K72" s="83"/>
      <c r="L72" s="83"/>
      <c r="M72" s="33"/>
      <c r="N72" s="83"/>
      <c r="O72" s="83"/>
      <c r="P72" s="83"/>
      <c r="Q72" s="83"/>
      <c r="R72" s="83"/>
      <c r="S72" s="83"/>
      <c r="T72" s="83"/>
      <c r="U72" s="83"/>
      <c r="V72" s="83"/>
      <c r="W72" s="83"/>
      <c r="X72" s="83"/>
      <c r="Y72" s="83"/>
      <c r="Z72" s="83"/>
      <c r="AA72" s="83"/>
      <c r="AB72" s="83"/>
      <c r="AC72" s="83"/>
      <c r="AD72" s="83"/>
      <c r="AE72" s="83"/>
      <c r="AF72" s="83"/>
      <c r="AG72" s="83"/>
      <c r="AH72" s="83"/>
      <c r="AI72" s="83"/>
      <c r="AJ72" s="83"/>
      <c r="AK72" s="83"/>
      <c r="AL72" s="83"/>
      <c r="AM72" s="83"/>
      <c r="AN72" s="83"/>
      <c r="AO72" s="83"/>
      <c r="AP72" s="83"/>
      <c r="AQ72" s="83"/>
      <c r="AR72" s="83"/>
      <c r="AS72" s="83"/>
      <c r="AT72" s="83"/>
      <c r="AU72" s="83"/>
      <c r="AV72" s="83"/>
      <c r="AW72" s="83"/>
      <c r="AX72" s="83"/>
    </row>
    <row r="73" spans="1:50">
      <c r="A73" s="83"/>
      <c r="B73" s="83"/>
      <c r="C73" s="83"/>
      <c r="D73" s="83"/>
      <c r="E73" s="83"/>
      <c r="F73" s="83"/>
      <c r="G73" s="83"/>
      <c r="H73" s="83"/>
      <c r="I73" s="83"/>
      <c r="J73" s="83"/>
      <c r="K73" s="83"/>
      <c r="L73" s="83"/>
      <c r="M73" s="33"/>
      <c r="N73" s="83"/>
      <c r="O73" s="83"/>
      <c r="P73" s="83"/>
      <c r="Q73" s="83"/>
      <c r="R73" s="83"/>
      <c r="S73" s="83"/>
      <c r="T73" s="83"/>
      <c r="U73" s="83"/>
      <c r="V73" s="83"/>
      <c r="W73" s="83"/>
      <c r="X73" s="83"/>
      <c r="Y73" s="83"/>
      <c r="Z73" s="83"/>
      <c r="AA73" s="83"/>
      <c r="AB73" s="83"/>
      <c r="AC73" s="83"/>
      <c r="AD73" s="83"/>
      <c r="AE73" s="83"/>
      <c r="AF73" s="83"/>
      <c r="AG73" s="83"/>
      <c r="AH73" s="83"/>
      <c r="AI73" s="83"/>
      <c r="AJ73" s="83"/>
      <c r="AK73" s="83"/>
      <c r="AL73" s="83"/>
      <c r="AM73" s="83"/>
      <c r="AN73" s="83"/>
      <c r="AO73" s="83"/>
      <c r="AP73" s="83"/>
      <c r="AQ73" s="83"/>
      <c r="AR73" s="83"/>
      <c r="AS73" s="83"/>
      <c r="AT73" s="83"/>
      <c r="AU73" s="83"/>
      <c r="AV73" s="83"/>
      <c r="AW73" s="83"/>
      <c r="AX73" s="83"/>
    </row>
    <row r="74" spans="1:50">
      <c r="A74" s="83"/>
      <c r="B74" s="83"/>
      <c r="C74" s="83"/>
      <c r="D74" s="83"/>
      <c r="E74" s="83"/>
      <c r="F74" s="83"/>
      <c r="G74" s="83"/>
      <c r="H74" s="83"/>
      <c r="I74" s="83"/>
      <c r="J74" s="83"/>
      <c r="K74" s="83"/>
      <c r="L74" s="83"/>
      <c r="M74" s="33"/>
      <c r="N74" s="83"/>
      <c r="O74" s="83"/>
      <c r="P74" s="83"/>
      <c r="Q74" s="83"/>
      <c r="R74" s="83"/>
      <c r="S74" s="83"/>
      <c r="T74" s="83"/>
      <c r="U74" s="83"/>
      <c r="V74" s="83"/>
      <c r="W74" s="83"/>
      <c r="X74" s="83"/>
      <c r="Y74" s="83"/>
      <c r="Z74" s="83"/>
      <c r="AA74" s="83"/>
      <c r="AB74" s="83"/>
      <c r="AC74" s="83"/>
      <c r="AD74" s="83"/>
      <c r="AE74" s="83"/>
      <c r="AF74" s="83"/>
      <c r="AG74" s="83"/>
      <c r="AH74" s="83"/>
      <c r="AI74" s="83"/>
      <c r="AJ74" s="83"/>
      <c r="AK74" s="83"/>
      <c r="AL74" s="83"/>
      <c r="AM74" s="83"/>
      <c r="AN74" s="83"/>
      <c r="AO74" s="83"/>
      <c r="AP74" s="83"/>
      <c r="AQ74" s="83"/>
      <c r="AR74" s="83"/>
      <c r="AS74" s="83"/>
      <c r="AT74" s="83"/>
      <c r="AU74" s="83"/>
      <c r="AV74" s="83"/>
      <c r="AW74" s="83"/>
      <c r="AX74" s="83"/>
    </row>
    <row r="75" spans="1:50">
      <c r="F75" s="84"/>
      <c r="H75" s="84"/>
      <c r="J75" s="84"/>
    </row>
    <row r="76" spans="1:50">
      <c r="F76" s="84"/>
      <c r="H76" s="84"/>
      <c r="J76" s="84"/>
    </row>
    <row r="77" spans="1:50">
      <c r="F77" s="84"/>
      <c r="H77" s="84"/>
      <c r="J77" s="84"/>
    </row>
    <row r="78" spans="1:50">
      <c r="F78" s="84"/>
      <c r="H78" s="84"/>
      <c r="J78" s="84"/>
    </row>
    <row r="79" spans="1:50">
      <c r="F79" s="84"/>
      <c r="H79" s="84"/>
      <c r="J79" s="84"/>
    </row>
    <row r="80" spans="1:50">
      <c r="F80" s="84"/>
      <c r="H80" s="84"/>
      <c r="J80" s="84"/>
    </row>
    <row r="81" spans="6:10">
      <c r="F81" s="84"/>
      <c r="H81" s="84"/>
      <c r="J81" s="84"/>
    </row>
    <row r="82" spans="6:10">
      <c r="F82" s="84"/>
      <c r="H82" s="84"/>
      <c r="J82" s="84"/>
    </row>
    <row r="83" spans="6:10">
      <c r="F83" s="84"/>
      <c r="H83" s="84"/>
      <c r="J83" s="84"/>
    </row>
    <row r="84" spans="6:10">
      <c r="F84" s="84"/>
      <c r="H84" s="84"/>
      <c r="J84" s="84"/>
    </row>
  </sheetData>
  <mergeCells count="25">
    <mergeCell ref="C9:K9"/>
    <mergeCell ref="I2:L4"/>
    <mergeCell ref="C3:G3"/>
    <mergeCell ref="C5:L5"/>
    <mergeCell ref="C6:L6"/>
    <mergeCell ref="C7:L8"/>
    <mergeCell ref="H10:H11"/>
    <mergeCell ref="I10:I11"/>
    <mergeCell ref="C45:L45"/>
    <mergeCell ref="C41:J41"/>
    <mergeCell ref="C44:J44"/>
    <mergeCell ref="E32:G32"/>
    <mergeCell ref="C10:C11"/>
    <mergeCell ref="D10:D11"/>
    <mergeCell ref="E10:E11"/>
    <mergeCell ref="F10:G10"/>
    <mergeCell ref="J10:J11"/>
    <mergeCell ref="K10:K11"/>
    <mergeCell ref="L10:L11"/>
    <mergeCell ref="C46:J46"/>
    <mergeCell ref="C47:J47"/>
    <mergeCell ref="C48:J50"/>
    <mergeCell ref="K48:L50"/>
    <mergeCell ref="E12:G12"/>
    <mergeCell ref="C31:J31"/>
  </mergeCells>
  <printOptions horizontalCentered="1" verticalCentered="1"/>
  <pageMargins left="0.23622047244094491" right="0.23622047244094491" top="0.74803149606299213" bottom="0.74803149606299213" header="0.31496062992125984" footer="0.31496062992125984"/>
  <pageSetup paperSize="9" scale="39" orientation="portrait" r:id="rId1"/>
  <colBreaks count="1" manualBreakCount="1">
    <brk id="13" max="156"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37263-9BA0-4394-B93F-FE9E09AED4BB}">
  <sheetPr codeName="Hoja5">
    <tabColor rgb="FF50F828"/>
  </sheetPr>
  <dimension ref="A1:AZ99"/>
  <sheetViews>
    <sheetView topLeftCell="A38" zoomScale="55" zoomScaleNormal="55" zoomScaleSheetLayoutView="55" workbookViewId="0">
      <selection activeCell="A41" sqref="A41:O41"/>
    </sheetView>
  </sheetViews>
  <sheetFormatPr baseColWidth="10" defaultColWidth="11.42578125" defaultRowHeight="16.5"/>
  <cols>
    <col min="1" max="1" width="22.42578125" style="1" bestFit="1" customWidth="1"/>
    <col min="2" max="2" width="25.42578125" style="1" bestFit="1" customWidth="1"/>
    <col min="3" max="3" width="22.5703125" style="1" customWidth="1"/>
    <col min="4" max="4" width="24.85546875" style="1" customWidth="1"/>
    <col min="5" max="5" width="25.7109375" style="1" customWidth="1"/>
    <col min="6" max="6" width="29.42578125" style="1" customWidth="1"/>
    <col min="7" max="7" width="25.85546875" style="1" customWidth="1"/>
    <col min="8" max="8" width="25.7109375" style="1" customWidth="1"/>
    <col min="9" max="9" width="38.5703125" style="1" customWidth="1"/>
    <col min="10" max="10" width="30.42578125" style="1" customWidth="1"/>
    <col min="11" max="11" width="33.42578125" style="1" customWidth="1"/>
    <col min="12" max="12" width="21.42578125" style="1" customWidth="1"/>
    <col min="13" max="13" width="26" style="1" customWidth="1"/>
    <col min="14" max="14" width="20.42578125" style="1" customWidth="1"/>
    <col min="15" max="15" width="26.42578125" style="1" bestFit="1" customWidth="1"/>
    <col min="16" max="17" width="6.7109375" style="1" customWidth="1"/>
    <col min="18" max="18" width="30" style="1" customWidth="1"/>
    <col min="19" max="21" width="18.7109375" style="1" customWidth="1"/>
    <col min="22" max="23" width="18.7109375" style="121" customWidth="1"/>
    <col min="24" max="57" width="18.7109375" style="1" customWidth="1"/>
    <col min="58" max="16384" width="11.42578125" style="1"/>
  </cols>
  <sheetData>
    <row r="1" spans="1:52" ht="27">
      <c r="A1" s="280" t="s">
        <v>45</v>
      </c>
      <c r="B1" s="281"/>
      <c r="C1" s="281"/>
      <c r="D1" s="281"/>
      <c r="E1" s="281"/>
      <c r="F1" s="281"/>
      <c r="G1" s="281"/>
      <c r="H1" s="281"/>
      <c r="I1" s="281"/>
      <c r="J1" s="281"/>
      <c r="K1" s="281"/>
      <c r="L1" s="281"/>
      <c r="M1" s="281"/>
      <c r="N1" s="281"/>
      <c r="O1" s="282"/>
      <c r="P1" s="7"/>
      <c r="Q1" s="7"/>
      <c r="R1" s="7"/>
      <c r="S1" s="7"/>
      <c r="T1" s="7"/>
      <c r="U1" s="135"/>
      <c r="V1" s="134"/>
      <c r="W1" s="134"/>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row>
    <row r="2" spans="1:52" ht="23.25">
      <c r="A2" s="283" t="str">
        <f>'RESUMEN P1'!B7</f>
        <v>PROCESO DE LICITACIÓN PÚBLICA 24001224 H1 2024</v>
      </c>
      <c r="B2" s="284"/>
      <c r="C2" s="284"/>
      <c r="D2" s="284"/>
      <c r="E2" s="284"/>
      <c r="F2" s="284"/>
      <c r="G2" s="284"/>
      <c r="H2" s="284"/>
      <c r="I2" s="284"/>
      <c r="J2" s="284"/>
      <c r="K2" s="284"/>
      <c r="L2" s="284"/>
      <c r="M2" s="284"/>
      <c r="N2" s="284"/>
      <c r="O2" s="285"/>
      <c r="P2" s="7"/>
      <c r="Q2" s="7"/>
      <c r="R2" s="7"/>
      <c r="S2" s="7"/>
      <c r="T2" s="7"/>
      <c r="U2" s="135"/>
      <c r="V2" s="134"/>
      <c r="W2" s="134"/>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row>
    <row r="3" spans="1:52" ht="71.45" customHeight="1">
      <c r="A3" s="286" t="str">
        <f>'RESUMEN P1'!B6</f>
        <v>REALIZAR EL SUMINISTRO E INSTALACIÓN DE LOS SISTEMAS DE AYUDAS VISUALES Y SUS OBRAS
COMPLEMENTARIAS PARA EL AEROPUERTO PERALES DE IBAGUÉ, TOLIMA (VF)</v>
      </c>
      <c r="B3" s="287"/>
      <c r="C3" s="287"/>
      <c r="D3" s="287"/>
      <c r="E3" s="287"/>
      <c r="F3" s="287"/>
      <c r="G3" s="287"/>
      <c r="H3" s="287"/>
      <c r="I3" s="287"/>
      <c r="J3" s="287"/>
      <c r="K3" s="287"/>
      <c r="L3" s="287"/>
      <c r="M3" s="287"/>
      <c r="N3" s="287"/>
      <c r="O3" s="288"/>
      <c r="P3" s="7"/>
      <c r="Q3" s="7"/>
      <c r="R3" s="7"/>
      <c r="S3" s="7"/>
      <c r="T3" s="7"/>
      <c r="U3" s="7"/>
      <c r="V3" s="134"/>
      <c r="W3" s="134"/>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row>
    <row r="4" spans="1:52" ht="21.95" customHeight="1">
      <c r="A4" s="289">
        <f>'RESUMEN P1'!B11</f>
        <v>1</v>
      </c>
      <c r="B4" s="304" t="str">
        <f>'RESUMEN P1'!C11</f>
        <v>SKYTECH</v>
      </c>
      <c r="C4" s="305"/>
      <c r="D4" s="305"/>
      <c r="E4" s="306"/>
      <c r="F4" s="255" t="s">
        <v>9</v>
      </c>
      <c r="G4" s="256"/>
      <c r="H4" s="257"/>
      <c r="I4" s="292" t="s">
        <v>10</v>
      </c>
      <c r="J4" s="293"/>
      <c r="K4" s="293"/>
      <c r="L4" s="293"/>
      <c r="M4" s="293"/>
      <c r="N4" s="294"/>
      <c r="O4" s="14" t="s">
        <v>39</v>
      </c>
      <c r="P4" s="7"/>
      <c r="Q4" s="7"/>
      <c r="R4" s="7"/>
      <c r="S4" s="7"/>
      <c r="T4" s="7"/>
      <c r="U4" s="7"/>
      <c r="V4" s="134"/>
      <c r="W4" s="134"/>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row>
    <row r="5" spans="1:52" ht="21.95" customHeight="1">
      <c r="A5" s="290"/>
      <c r="B5" s="307"/>
      <c r="C5" s="308"/>
      <c r="D5" s="308"/>
      <c r="E5" s="309"/>
      <c r="F5" s="258"/>
      <c r="G5" s="259"/>
      <c r="H5" s="260"/>
      <c r="I5" s="295" t="s">
        <v>53</v>
      </c>
      <c r="J5" s="296"/>
      <c r="K5" s="296"/>
      <c r="L5" s="296"/>
      <c r="M5" s="296"/>
      <c r="N5" s="297"/>
      <c r="O5" s="15">
        <v>1</v>
      </c>
      <c r="P5" s="7"/>
      <c r="Q5" s="7"/>
      <c r="R5" s="122" t="s">
        <v>125</v>
      </c>
      <c r="S5" s="124">
        <v>2024</v>
      </c>
      <c r="T5" s="124">
        <v>2023</v>
      </c>
      <c r="U5" s="124">
        <v>2022</v>
      </c>
      <c r="V5" s="124">
        <v>2021</v>
      </c>
      <c r="W5" s="124">
        <v>2020</v>
      </c>
      <c r="X5" s="124">
        <v>2019</v>
      </c>
      <c r="Y5" s="124">
        <v>2018</v>
      </c>
      <c r="Z5" s="124">
        <v>2017</v>
      </c>
      <c r="AA5" s="124">
        <v>2016</v>
      </c>
      <c r="AB5" s="124">
        <v>2015</v>
      </c>
      <c r="AC5" s="124">
        <v>2014</v>
      </c>
      <c r="AD5" s="124">
        <v>2013</v>
      </c>
      <c r="AE5" s="124">
        <v>2012</v>
      </c>
      <c r="AF5" s="124">
        <v>2011</v>
      </c>
      <c r="AG5" s="7"/>
      <c r="AH5" s="7"/>
      <c r="AI5" s="7"/>
      <c r="AJ5" s="7"/>
      <c r="AK5" s="7"/>
      <c r="AL5" s="7"/>
      <c r="AM5" s="7"/>
      <c r="AN5" s="7"/>
      <c r="AO5" s="7"/>
      <c r="AP5" s="7"/>
      <c r="AQ5" s="7"/>
      <c r="AR5" s="7"/>
      <c r="AS5" s="7"/>
      <c r="AT5" s="7"/>
      <c r="AU5" s="7"/>
      <c r="AV5" s="7"/>
      <c r="AW5" s="7"/>
      <c r="AX5" s="7"/>
      <c r="AY5" s="7"/>
      <c r="AZ5" s="7"/>
    </row>
    <row r="6" spans="1:52" ht="21.95" customHeight="1">
      <c r="A6" s="290"/>
      <c r="B6" s="307"/>
      <c r="C6" s="308"/>
      <c r="D6" s="308"/>
      <c r="E6" s="309"/>
      <c r="F6" s="258"/>
      <c r="G6" s="259"/>
      <c r="H6" s="260"/>
      <c r="I6" s="298"/>
      <c r="J6" s="299"/>
      <c r="K6" s="299"/>
      <c r="L6" s="299"/>
      <c r="M6" s="299"/>
      <c r="N6" s="300"/>
      <c r="O6" s="15"/>
      <c r="P6" s="7"/>
      <c r="Q6" s="7"/>
      <c r="R6" s="123" t="s">
        <v>127</v>
      </c>
      <c r="S6" s="125">
        <v>1300000</v>
      </c>
      <c r="T6" s="125">
        <v>1160000</v>
      </c>
      <c r="U6" s="125">
        <v>1000000</v>
      </c>
      <c r="V6" s="125">
        <v>908526</v>
      </c>
      <c r="W6" s="125">
        <v>877803</v>
      </c>
      <c r="X6" s="125">
        <v>828116</v>
      </c>
      <c r="Y6" s="125">
        <v>781242</v>
      </c>
      <c r="Z6" s="125">
        <v>737717</v>
      </c>
      <c r="AA6" s="125">
        <v>689455</v>
      </c>
      <c r="AB6" s="125">
        <v>644350</v>
      </c>
      <c r="AC6" s="125">
        <v>616000</v>
      </c>
      <c r="AD6" s="125">
        <v>589500</v>
      </c>
      <c r="AE6" s="125">
        <v>566700</v>
      </c>
      <c r="AF6" s="125">
        <v>535600</v>
      </c>
      <c r="AG6" s="7"/>
      <c r="AH6" s="7"/>
      <c r="AI6" s="7"/>
      <c r="AJ6" s="7"/>
      <c r="AK6" s="7"/>
      <c r="AL6" s="7"/>
      <c r="AM6" s="7"/>
      <c r="AN6" s="7"/>
      <c r="AO6" s="7"/>
      <c r="AP6" s="7"/>
      <c r="AQ6" s="7"/>
      <c r="AR6" s="7"/>
      <c r="AS6" s="7"/>
      <c r="AT6" s="7"/>
      <c r="AU6" s="7"/>
      <c r="AV6" s="7"/>
      <c r="AW6" s="7"/>
      <c r="AX6" s="7"/>
      <c r="AY6" s="7"/>
      <c r="AZ6" s="7"/>
    </row>
    <row r="7" spans="1:52" ht="21.95" customHeight="1">
      <c r="A7" s="290"/>
      <c r="B7" s="307"/>
      <c r="C7" s="308"/>
      <c r="D7" s="308"/>
      <c r="E7" s="309"/>
      <c r="F7" s="258"/>
      <c r="G7" s="259"/>
      <c r="H7" s="260"/>
      <c r="I7" s="298"/>
      <c r="J7" s="299"/>
      <c r="K7" s="299"/>
      <c r="L7" s="299"/>
      <c r="M7" s="299"/>
      <c r="N7" s="300"/>
      <c r="O7" s="15"/>
      <c r="P7" s="7"/>
      <c r="Q7" s="7"/>
      <c r="R7" s="122" t="s">
        <v>125</v>
      </c>
      <c r="S7" s="124">
        <v>2010</v>
      </c>
      <c r="T7" s="124">
        <v>2009</v>
      </c>
      <c r="U7" s="124">
        <v>2008</v>
      </c>
      <c r="V7" s="124">
        <v>2007</v>
      </c>
      <c r="W7" s="124">
        <v>2006</v>
      </c>
      <c r="X7" s="124">
        <v>2005</v>
      </c>
      <c r="Y7" s="124">
        <v>2004</v>
      </c>
      <c r="Z7" s="124">
        <v>2003</v>
      </c>
      <c r="AA7" s="124">
        <v>2002</v>
      </c>
      <c r="AB7" s="124">
        <v>2001</v>
      </c>
      <c r="AC7" s="124">
        <v>2000</v>
      </c>
      <c r="AD7" s="124">
        <v>1999</v>
      </c>
      <c r="AE7" s="124">
        <v>1998</v>
      </c>
      <c r="AF7" s="124">
        <v>1997</v>
      </c>
      <c r="AG7" s="7"/>
      <c r="AH7" s="7"/>
      <c r="AI7" s="7"/>
      <c r="AJ7" s="7"/>
      <c r="AK7" s="7"/>
      <c r="AL7" s="7"/>
      <c r="AM7" s="7"/>
      <c r="AN7" s="7"/>
      <c r="AO7" s="7"/>
      <c r="AP7" s="7"/>
      <c r="AQ7" s="7"/>
      <c r="AR7" s="7"/>
      <c r="AS7" s="7"/>
      <c r="AT7" s="7"/>
      <c r="AU7" s="7"/>
      <c r="AV7" s="7"/>
      <c r="AW7" s="7"/>
      <c r="AX7" s="7"/>
      <c r="AY7" s="7"/>
      <c r="AZ7" s="7"/>
    </row>
    <row r="8" spans="1:52" ht="21.95" customHeight="1">
      <c r="A8" s="290"/>
      <c r="B8" s="307"/>
      <c r="C8" s="308"/>
      <c r="D8" s="308"/>
      <c r="E8" s="309"/>
      <c r="F8" s="258"/>
      <c r="G8" s="259"/>
      <c r="H8" s="260"/>
      <c r="I8" s="298"/>
      <c r="J8" s="299"/>
      <c r="K8" s="299"/>
      <c r="L8" s="299"/>
      <c r="M8" s="299"/>
      <c r="N8" s="300"/>
      <c r="O8" s="15"/>
      <c r="P8" s="7"/>
      <c r="Q8" s="7"/>
      <c r="R8" s="123" t="s">
        <v>127</v>
      </c>
      <c r="S8" s="125">
        <v>515000</v>
      </c>
      <c r="T8" s="125">
        <v>496900</v>
      </c>
      <c r="U8" s="125">
        <v>461500</v>
      </c>
      <c r="V8" s="125">
        <v>433700</v>
      </c>
      <c r="W8" s="125">
        <v>408000</v>
      </c>
      <c r="X8" s="125">
        <v>381500</v>
      </c>
      <c r="Y8" s="125">
        <v>358000</v>
      </c>
      <c r="Z8" s="125">
        <v>332000</v>
      </c>
      <c r="AA8" s="125">
        <v>309000</v>
      </c>
      <c r="AB8" s="125">
        <v>286000</v>
      </c>
      <c r="AC8" s="125">
        <v>260100</v>
      </c>
      <c r="AD8" s="125">
        <v>236438</v>
      </c>
      <c r="AE8" s="125">
        <v>203825</v>
      </c>
      <c r="AF8" s="125">
        <v>172005</v>
      </c>
      <c r="AG8" s="7"/>
      <c r="AH8" s="7"/>
      <c r="AI8" s="7"/>
      <c r="AJ8" s="7"/>
      <c r="AK8" s="7"/>
      <c r="AL8" s="7"/>
      <c r="AM8" s="7"/>
      <c r="AN8" s="7"/>
      <c r="AO8" s="7"/>
      <c r="AP8" s="7"/>
      <c r="AQ8" s="7"/>
      <c r="AR8" s="7"/>
      <c r="AS8" s="7"/>
      <c r="AT8" s="7"/>
      <c r="AU8" s="7"/>
      <c r="AV8" s="7"/>
      <c r="AW8" s="7"/>
      <c r="AX8" s="7"/>
      <c r="AY8" s="7"/>
      <c r="AZ8" s="7"/>
    </row>
    <row r="9" spans="1:52" ht="21.95" customHeight="1">
      <c r="A9" s="290"/>
      <c r="B9" s="307"/>
      <c r="C9" s="308"/>
      <c r="D9" s="308"/>
      <c r="E9" s="309"/>
      <c r="F9" s="258"/>
      <c r="G9" s="259"/>
      <c r="H9" s="260"/>
      <c r="I9" s="298"/>
      <c r="J9" s="299"/>
      <c r="K9" s="299"/>
      <c r="L9" s="299"/>
      <c r="M9" s="299"/>
      <c r="N9" s="300"/>
      <c r="O9" s="15"/>
      <c r="P9" s="7"/>
      <c r="Q9" s="7"/>
      <c r="R9" s="122" t="s">
        <v>125</v>
      </c>
      <c r="S9" s="124">
        <v>1996</v>
      </c>
      <c r="T9" s="124">
        <v>1995</v>
      </c>
      <c r="U9" s="124">
        <v>1994</v>
      </c>
      <c r="V9" s="124">
        <v>1993</v>
      </c>
      <c r="W9" s="124">
        <v>1992</v>
      </c>
      <c r="X9" s="124">
        <v>1991</v>
      </c>
      <c r="Y9" s="124">
        <v>1990</v>
      </c>
      <c r="Z9" s="124"/>
      <c r="AA9" s="124"/>
      <c r="AB9" s="124"/>
      <c r="AC9" s="124"/>
      <c r="AD9" s="124"/>
      <c r="AE9" s="124"/>
      <c r="AF9" s="124"/>
      <c r="AG9" s="7"/>
      <c r="AH9" s="7"/>
      <c r="AI9" s="7"/>
      <c r="AJ9" s="7"/>
      <c r="AK9" s="7"/>
      <c r="AL9" s="7"/>
      <c r="AM9" s="7"/>
      <c r="AN9" s="7"/>
      <c r="AO9" s="7"/>
      <c r="AP9" s="7"/>
      <c r="AQ9" s="7"/>
      <c r="AR9" s="7"/>
      <c r="AS9" s="7"/>
      <c r="AT9" s="7"/>
      <c r="AU9" s="7"/>
      <c r="AV9" s="7"/>
      <c r="AW9" s="7"/>
      <c r="AX9" s="7"/>
      <c r="AY9" s="7"/>
      <c r="AZ9" s="7"/>
    </row>
    <row r="10" spans="1:52" ht="21.95" customHeight="1">
      <c r="A10" s="291"/>
      <c r="B10" s="310"/>
      <c r="C10" s="311"/>
      <c r="D10" s="311"/>
      <c r="E10" s="312"/>
      <c r="F10" s="261"/>
      <c r="G10" s="262"/>
      <c r="H10" s="263"/>
      <c r="I10" s="301" t="s">
        <v>11</v>
      </c>
      <c r="J10" s="302"/>
      <c r="K10" s="302"/>
      <c r="L10" s="302"/>
      <c r="M10" s="302"/>
      <c r="N10" s="303"/>
      <c r="O10" s="16">
        <f>+SUM(O5:O9)</f>
        <v>1</v>
      </c>
      <c r="P10" s="27"/>
      <c r="Q10" s="27"/>
      <c r="R10" s="123" t="s">
        <v>127</v>
      </c>
      <c r="S10" s="125">
        <v>142125</v>
      </c>
      <c r="T10" s="125">
        <v>118934</v>
      </c>
      <c r="U10" s="125">
        <v>98700</v>
      </c>
      <c r="V10" s="125">
        <v>81510</v>
      </c>
      <c r="W10" s="125">
        <v>65190</v>
      </c>
      <c r="X10" s="125">
        <v>51720</v>
      </c>
      <c r="Y10" s="125">
        <v>41025</v>
      </c>
      <c r="Z10" s="125"/>
      <c r="AA10" s="125"/>
      <c r="AB10" s="125"/>
      <c r="AC10" s="125"/>
      <c r="AD10" s="125"/>
      <c r="AE10" s="125"/>
      <c r="AF10" s="125"/>
      <c r="AG10" s="7"/>
      <c r="AH10" s="7"/>
      <c r="AI10" s="7"/>
      <c r="AJ10" s="7"/>
      <c r="AK10" s="7"/>
      <c r="AL10" s="7"/>
      <c r="AM10" s="7"/>
      <c r="AN10" s="7"/>
      <c r="AO10" s="7"/>
      <c r="AP10" s="7"/>
      <c r="AQ10" s="7"/>
      <c r="AR10" s="7"/>
      <c r="AS10" s="7"/>
      <c r="AT10" s="7"/>
      <c r="AU10" s="7"/>
      <c r="AV10" s="7"/>
      <c r="AW10" s="7"/>
      <c r="AX10" s="7"/>
      <c r="AY10" s="7"/>
      <c r="AZ10" s="7"/>
    </row>
    <row r="11" spans="1:52" ht="100.5" customHeight="1">
      <c r="A11" s="146" t="s">
        <v>38</v>
      </c>
      <c r="B11" s="13" t="s">
        <v>242</v>
      </c>
      <c r="C11" s="274" t="s">
        <v>12</v>
      </c>
      <c r="D11" s="275"/>
      <c r="E11" s="275"/>
      <c r="F11" s="275"/>
      <c r="G11" s="275"/>
      <c r="H11" s="276"/>
      <c r="I11" s="126">
        <f>'PPTO IBAGUE OFICIAL 2024'!K48</f>
        <v>5493701977</v>
      </c>
      <c r="J11" s="271" t="s">
        <v>13</v>
      </c>
      <c r="K11" s="272"/>
      <c r="L11" s="273"/>
      <c r="M11" s="268">
        <f>I11/S6</f>
        <v>4225.9245976923075</v>
      </c>
      <c r="N11" s="269"/>
      <c r="O11" s="270"/>
      <c r="P11" s="7"/>
      <c r="Q11" s="7"/>
      <c r="R11" s="7"/>
      <c r="S11" s="7"/>
      <c r="T11" s="136"/>
      <c r="U11" s="7"/>
      <c r="V11" s="134"/>
      <c r="W11" s="134"/>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row>
    <row r="12" spans="1:52" ht="26.1" customHeight="1">
      <c r="A12" s="267"/>
      <c r="B12" s="267"/>
      <c r="C12" s="267"/>
      <c r="D12" s="267"/>
      <c r="E12" s="267"/>
      <c r="F12" s="267"/>
      <c r="G12" s="267"/>
      <c r="H12" s="267"/>
      <c r="I12" s="267"/>
      <c r="J12" s="267"/>
      <c r="K12" s="267"/>
      <c r="L12" s="267"/>
      <c r="M12" s="267"/>
      <c r="N12" s="267"/>
      <c r="O12" s="267"/>
      <c r="P12" s="7"/>
      <c r="Q12" s="7"/>
      <c r="R12" s="7"/>
      <c r="S12" s="7"/>
      <c r="T12" s="136"/>
      <c r="U12" s="7"/>
      <c r="V12" s="134"/>
      <c r="W12" s="134"/>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row>
    <row r="13" spans="1:52" ht="33.75">
      <c r="A13" s="254" t="s">
        <v>14</v>
      </c>
      <c r="B13" s="254"/>
      <c r="C13" s="254"/>
      <c r="D13" s="254"/>
      <c r="E13" s="254"/>
      <c r="F13" s="254"/>
      <c r="G13" s="254"/>
      <c r="H13" s="254"/>
      <c r="I13" s="254"/>
      <c r="J13" s="254"/>
      <c r="K13" s="254"/>
      <c r="L13" s="254"/>
      <c r="M13" s="254"/>
      <c r="N13" s="254"/>
      <c r="O13" s="254"/>
      <c r="P13" s="7"/>
      <c r="Q13" s="7"/>
      <c r="R13" s="7"/>
      <c r="S13" s="7"/>
      <c r="T13" s="7"/>
      <c r="U13" s="7"/>
      <c r="V13" s="134"/>
      <c r="W13" s="134"/>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row>
    <row r="14" spans="1:52" ht="32.25" customHeight="1">
      <c r="A14" s="242" t="s">
        <v>44</v>
      </c>
      <c r="B14" s="242"/>
      <c r="C14" s="242"/>
      <c r="D14" s="242"/>
      <c r="E14" s="242"/>
      <c r="F14" s="242"/>
      <c r="G14" s="242"/>
      <c r="H14" s="242"/>
      <c r="I14" s="242"/>
      <c r="J14" s="242"/>
      <c r="K14" s="242"/>
      <c r="L14" s="242"/>
      <c r="M14" s="242"/>
      <c r="N14" s="242"/>
      <c r="O14" s="242"/>
      <c r="P14" s="7"/>
      <c r="Q14" s="7"/>
      <c r="R14" s="7"/>
      <c r="S14" s="7"/>
      <c r="T14" s="7"/>
      <c r="U14" s="7"/>
      <c r="V14" s="134"/>
      <c r="W14" s="134"/>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row>
    <row r="15" spans="1:52" ht="68.099999999999994" customHeight="1">
      <c r="A15" s="264" t="s">
        <v>241</v>
      </c>
      <c r="B15" s="264"/>
      <c r="C15" s="264"/>
      <c r="D15" s="264"/>
      <c r="E15" s="264"/>
      <c r="F15" s="264"/>
      <c r="G15" s="264"/>
      <c r="H15" s="264"/>
      <c r="I15" s="264"/>
      <c r="J15" s="264"/>
      <c r="K15" s="264"/>
      <c r="L15" s="264"/>
      <c r="M15" s="264"/>
      <c r="N15" s="264"/>
      <c r="O15" s="264"/>
      <c r="P15" s="7"/>
      <c r="Q15" s="7"/>
      <c r="R15" s="7"/>
      <c r="S15" s="7"/>
      <c r="T15" s="137"/>
      <c r="U15" s="138"/>
      <c r="V15" s="134"/>
      <c r="W15" s="134"/>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row>
    <row r="16" spans="1:52" ht="147.75" customHeight="1">
      <c r="A16" s="17" t="s">
        <v>46</v>
      </c>
      <c r="B16" s="2" t="s">
        <v>15</v>
      </c>
      <c r="C16" s="2" t="s">
        <v>16</v>
      </c>
      <c r="D16" s="2" t="s">
        <v>17</v>
      </c>
      <c r="E16" s="2" t="s">
        <v>18</v>
      </c>
      <c r="F16" s="2" t="s">
        <v>19</v>
      </c>
      <c r="G16" s="17" t="s">
        <v>243</v>
      </c>
      <c r="H16" s="2" t="s">
        <v>20</v>
      </c>
      <c r="I16" s="2" t="s">
        <v>21</v>
      </c>
      <c r="J16" s="2" t="s">
        <v>40</v>
      </c>
      <c r="K16" s="2" t="s">
        <v>22</v>
      </c>
      <c r="L16" s="2" t="s">
        <v>23</v>
      </c>
      <c r="M16" s="2" t="s">
        <v>41</v>
      </c>
      <c r="N16" s="2" t="s">
        <v>24</v>
      </c>
      <c r="O16" s="2" t="s">
        <v>25</v>
      </c>
      <c r="P16" s="25"/>
      <c r="Q16" s="25"/>
      <c r="R16" s="139"/>
      <c r="S16" s="139"/>
      <c r="T16" s="140"/>
      <c r="U16" s="138"/>
      <c r="V16" s="134"/>
      <c r="W16" s="134"/>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row>
    <row r="17" spans="1:52" ht="198" customHeight="1">
      <c r="A17" s="265">
        <f>M11</f>
        <v>4225.9245976923075</v>
      </c>
      <c r="B17" s="127" t="s">
        <v>26</v>
      </c>
      <c r="C17" s="147">
        <v>71</v>
      </c>
      <c r="D17" s="147" t="s">
        <v>246</v>
      </c>
      <c r="E17" s="3" t="s">
        <v>126</v>
      </c>
      <c r="F17" s="147" t="s">
        <v>7</v>
      </c>
      <c r="G17" s="147" t="s">
        <v>7</v>
      </c>
      <c r="H17" s="147" t="s">
        <v>7</v>
      </c>
      <c r="I17" s="147" t="str">
        <f>I5</f>
        <v>SKYTECH S.A.S</v>
      </c>
      <c r="J17" s="148">
        <v>43357</v>
      </c>
      <c r="K17" s="149">
        <v>1076162982</v>
      </c>
      <c r="L17" s="132">
        <f>K17/Y6</f>
        <v>1377.5027225878794</v>
      </c>
      <c r="M17" s="150">
        <v>1</v>
      </c>
      <c r="N17" s="128">
        <f t="shared" ref="N17:N21" si="0">IF(AND(G17="SI",H17="SI"),(L17*M17),0)</f>
        <v>1377.5027225878794</v>
      </c>
      <c r="O17" s="129" t="str">
        <f>+IF(AND(H17="SI",G17="SI"),"CUMPLE","NO CUMPLE")</f>
        <v>CUMPLE</v>
      </c>
      <c r="P17" s="25"/>
      <c r="Q17" s="25"/>
      <c r="R17" s="141"/>
      <c r="S17" s="25"/>
      <c r="T17" s="142"/>
      <c r="U17" s="7"/>
      <c r="V17" s="134"/>
      <c r="W17" s="134"/>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row>
    <row r="18" spans="1:52" ht="188.25" customHeight="1">
      <c r="A18" s="265"/>
      <c r="B18" s="127" t="s">
        <v>27</v>
      </c>
      <c r="C18" s="147">
        <v>77</v>
      </c>
      <c r="D18" s="147" t="s">
        <v>244</v>
      </c>
      <c r="E18" s="3" t="s">
        <v>245</v>
      </c>
      <c r="F18" s="147" t="s">
        <v>7</v>
      </c>
      <c r="G18" s="147" t="s">
        <v>7</v>
      </c>
      <c r="H18" s="147" t="s">
        <v>7</v>
      </c>
      <c r="I18" s="147" t="str">
        <f>I5</f>
        <v>SKYTECH S.A.S</v>
      </c>
      <c r="J18" s="148">
        <v>43356</v>
      </c>
      <c r="K18" s="149">
        <v>261583417</v>
      </c>
      <c r="L18" s="132">
        <f>K18/Y6</f>
        <v>334.83020242127282</v>
      </c>
      <c r="M18" s="150">
        <v>1</v>
      </c>
      <c r="N18" s="128">
        <f t="shared" si="0"/>
        <v>334.83020242127282</v>
      </c>
      <c r="O18" s="129" t="str">
        <f>+IF(AND(H18="SI",G18="SI"),"CUMPLE","NO CUMPLE")</f>
        <v>CUMPLE</v>
      </c>
      <c r="P18" s="25"/>
      <c r="Q18" s="25"/>
      <c r="R18" s="141"/>
      <c r="S18" s="25"/>
      <c r="T18" s="142"/>
      <c r="U18" s="7"/>
      <c r="V18" s="134"/>
      <c r="W18" s="134"/>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row>
    <row r="19" spans="1:52" ht="256.5" customHeight="1">
      <c r="A19" s="265"/>
      <c r="B19" s="127" t="s">
        <v>28</v>
      </c>
      <c r="C19" s="147">
        <v>110</v>
      </c>
      <c r="D19" s="147" t="s">
        <v>246</v>
      </c>
      <c r="E19" s="3" t="s">
        <v>247</v>
      </c>
      <c r="F19" s="147" t="s">
        <v>7</v>
      </c>
      <c r="G19" s="147" t="s">
        <v>7</v>
      </c>
      <c r="H19" s="147" t="s">
        <v>7</v>
      </c>
      <c r="I19" s="147" t="str">
        <f>I5</f>
        <v>SKYTECH S.A.S</v>
      </c>
      <c r="J19" s="148">
        <v>44438</v>
      </c>
      <c r="K19" s="149">
        <v>2508611313</v>
      </c>
      <c r="L19" s="132">
        <f>K19/V6</f>
        <v>2761.1882466764846</v>
      </c>
      <c r="M19" s="150">
        <v>1</v>
      </c>
      <c r="N19" s="128">
        <f t="shared" si="0"/>
        <v>2761.1882466764846</v>
      </c>
      <c r="O19" s="130" t="str">
        <f t="shared" ref="O19:O21" si="1">+IF(AND(H19="SI",G19="SI"),"CUMPLE","NO CUMPLE")</f>
        <v>CUMPLE</v>
      </c>
      <c r="P19" s="25"/>
      <c r="Q19" s="25"/>
      <c r="R19" s="141"/>
      <c r="S19" s="25"/>
      <c r="T19" s="142"/>
      <c r="U19" s="7"/>
      <c r="V19" s="134"/>
      <c r="W19" s="134"/>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row>
    <row r="20" spans="1:52" ht="234.75" customHeight="1">
      <c r="A20" s="265"/>
      <c r="B20" s="127" t="s">
        <v>29</v>
      </c>
      <c r="C20" s="147">
        <v>128</v>
      </c>
      <c r="D20" s="147" t="s">
        <v>246</v>
      </c>
      <c r="E20" s="3" t="s">
        <v>128</v>
      </c>
      <c r="F20" s="147" t="s">
        <v>7</v>
      </c>
      <c r="G20" s="147" t="s">
        <v>7</v>
      </c>
      <c r="H20" s="147" t="s">
        <v>7</v>
      </c>
      <c r="I20" s="147" t="str">
        <f>I5</f>
        <v>SKYTECH S.A.S</v>
      </c>
      <c r="J20" s="148">
        <v>44847</v>
      </c>
      <c r="K20" s="149">
        <v>2353184261</v>
      </c>
      <c r="L20" s="131">
        <v>2379.9499999999998</v>
      </c>
      <c r="M20" s="150">
        <v>1</v>
      </c>
      <c r="N20" s="128">
        <f t="shared" si="0"/>
        <v>2379.9499999999998</v>
      </c>
      <c r="O20" s="130" t="str">
        <f t="shared" si="1"/>
        <v>CUMPLE</v>
      </c>
      <c r="P20" s="26"/>
      <c r="Q20" s="25"/>
      <c r="R20" s="141"/>
      <c r="S20" s="143"/>
      <c r="T20" s="142"/>
      <c r="U20" s="7"/>
      <c r="V20" s="134"/>
      <c r="W20" s="134"/>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row>
    <row r="21" spans="1:52" ht="291.75" customHeight="1">
      <c r="A21" s="265"/>
      <c r="B21" s="127" t="s">
        <v>30</v>
      </c>
      <c r="C21" s="147">
        <v>129</v>
      </c>
      <c r="D21" s="3" t="s">
        <v>129</v>
      </c>
      <c r="E21" s="3" t="s">
        <v>130</v>
      </c>
      <c r="F21" s="147" t="s">
        <v>7</v>
      </c>
      <c r="G21" s="147" t="s">
        <v>7</v>
      </c>
      <c r="H21" s="147" t="s">
        <v>7</v>
      </c>
      <c r="I21" s="147" t="str">
        <f>I5</f>
        <v>SKYTECH S.A.S</v>
      </c>
      <c r="J21" s="148">
        <v>44884</v>
      </c>
      <c r="K21" s="149">
        <v>4602898739</v>
      </c>
      <c r="L21" s="132">
        <f>K21/U6</f>
        <v>4602.8987390000002</v>
      </c>
      <c r="M21" s="150">
        <v>1</v>
      </c>
      <c r="N21" s="128">
        <f t="shared" si="0"/>
        <v>4602.8987390000002</v>
      </c>
      <c r="O21" s="130" t="str">
        <f t="shared" si="1"/>
        <v>CUMPLE</v>
      </c>
      <c r="P21" s="25"/>
      <c r="Q21" s="25"/>
      <c r="R21" s="141"/>
      <c r="S21" s="143"/>
      <c r="T21" s="140"/>
      <c r="U21" s="7"/>
      <c r="V21" s="134"/>
      <c r="W21" s="134"/>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row>
    <row r="22" spans="1:52" ht="33" customHeight="1">
      <c r="A22" s="266" t="s">
        <v>42</v>
      </c>
      <c r="B22" s="266"/>
      <c r="C22" s="266"/>
      <c r="D22" s="266"/>
      <c r="E22" s="266"/>
      <c r="F22" s="266"/>
      <c r="G22" s="266"/>
      <c r="H22" s="266"/>
      <c r="I22" s="266"/>
      <c r="J22" s="266"/>
      <c r="K22" s="266"/>
      <c r="L22" s="266"/>
      <c r="M22" s="266"/>
      <c r="N22" s="11">
        <f>SUM(N17:N21)</f>
        <v>11456.369910685637</v>
      </c>
      <c r="O22" s="12" t="str">
        <f>+IF(OR(O18="CUMPLE",O21="CUMPLE",O20="CUMPLE",O19="CUMPLE",O17="CUMPLE")*AND(N22&gt;=A17),"CUMPLE","NO CUMPLE")</f>
        <v>CUMPLE</v>
      </c>
      <c r="P22" s="25"/>
      <c r="Q22" s="25"/>
      <c r="R22" s="25"/>
      <c r="S22" s="25"/>
      <c r="T22" s="140"/>
      <c r="U22" s="7"/>
      <c r="V22" s="134"/>
      <c r="W22" s="134"/>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row>
    <row r="23" spans="1:52" ht="36" customHeight="1">
      <c r="A23" s="242" t="s">
        <v>43</v>
      </c>
      <c r="B23" s="242"/>
      <c r="C23" s="242"/>
      <c r="D23" s="242"/>
      <c r="E23" s="242"/>
      <c r="F23" s="242"/>
      <c r="G23" s="242"/>
      <c r="H23" s="242"/>
      <c r="I23" s="242"/>
      <c r="J23" s="242"/>
      <c r="K23" s="242"/>
      <c r="L23" s="242"/>
      <c r="M23" s="242"/>
      <c r="N23" s="242"/>
      <c r="O23" s="242"/>
      <c r="P23" s="5"/>
      <c r="Q23" s="25"/>
      <c r="R23" s="7"/>
      <c r="S23" s="25"/>
      <c r="T23" s="144"/>
      <c r="U23" s="7"/>
      <c r="V23" s="134"/>
      <c r="W23" s="134"/>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row>
    <row r="24" spans="1:52" ht="68.099999999999994" customHeight="1">
      <c r="A24" s="264" t="s">
        <v>248</v>
      </c>
      <c r="B24" s="264"/>
      <c r="C24" s="264"/>
      <c r="D24" s="264"/>
      <c r="E24" s="264"/>
      <c r="F24" s="264"/>
      <c r="G24" s="264"/>
      <c r="H24" s="264"/>
      <c r="I24" s="264"/>
      <c r="J24" s="264"/>
      <c r="K24" s="264"/>
      <c r="L24" s="264"/>
      <c r="M24" s="264"/>
      <c r="N24" s="264"/>
      <c r="O24" s="264"/>
      <c r="P24" s="7"/>
      <c r="Q24" s="7"/>
      <c r="R24" s="7"/>
      <c r="S24" s="7"/>
      <c r="T24" s="7"/>
      <c r="U24" s="7"/>
      <c r="V24" s="134"/>
      <c r="W24" s="134"/>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row>
    <row r="25" spans="1:52" ht="63.75" customHeight="1">
      <c r="A25" s="264" t="s">
        <v>249</v>
      </c>
      <c r="B25" s="264"/>
      <c r="C25" s="264"/>
      <c r="D25" s="264"/>
      <c r="E25" s="264"/>
      <c r="F25" s="264"/>
      <c r="G25" s="264"/>
      <c r="H25" s="264"/>
      <c r="I25" s="264"/>
      <c r="J25" s="264"/>
      <c r="K25" s="264"/>
      <c r="L25" s="264"/>
      <c r="M25" s="264"/>
      <c r="N25" s="264"/>
      <c r="O25" s="264"/>
      <c r="P25" s="7"/>
      <c r="Q25" s="7"/>
      <c r="R25" s="7"/>
      <c r="S25" s="7"/>
      <c r="T25" s="137"/>
      <c r="U25" s="7"/>
      <c r="V25" s="134"/>
      <c r="W25" s="134"/>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row>
    <row r="26" spans="1:52" ht="111" customHeight="1">
      <c r="A26" s="17" t="s">
        <v>31</v>
      </c>
      <c r="B26" s="2" t="s">
        <v>15</v>
      </c>
      <c r="C26" s="2" t="s">
        <v>16</v>
      </c>
      <c r="D26" s="2" t="s">
        <v>17</v>
      </c>
      <c r="E26" s="2" t="s">
        <v>18</v>
      </c>
      <c r="F26" s="2" t="s">
        <v>19</v>
      </c>
      <c r="G26" s="17" t="s">
        <v>243</v>
      </c>
      <c r="H26" s="2" t="s">
        <v>20</v>
      </c>
      <c r="I26" s="2" t="s">
        <v>21</v>
      </c>
      <c r="J26" s="2" t="s">
        <v>40</v>
      </c>
      <c r="K26" s="2" t="s">
        <v>22</v>
      </c>
      <c r="L26" s="2" t="s">
        <v>23</v>
      </c>
      <c r="M26" s="2" t="s">
        <v>41</v>
      </c>
      <c r="N26" s="2" t="s">
        <v>24</v>
      </c>
      <c r="O26" s="2" t="s">
        <v>25</v>
      </c>
      <c r="P26" s="25"/>
      <c r="Q26" s="25"/>
      <c r="R26" s="139"/>
      <c r="S26" s="139"/>
      <c r="T26" s="140"/>
      <c r="U26" s="7"/>
      <c r="V26" s="134"/>
      <c r="W26" s="134"/>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row>
    <row r="27" spans="1:52" ht="210" customHeight="1">
      <c r="A27" s="277">
        <f>M11*50%</f>
        <v>2112.9622988461538</v>
      </c>
      <c r="B27" s="127" t="s">
        <v>26</v>
      </c>
      <c r="C27" s="147">
        <v>71</v>
      </c>
      <c r="D27" s="147" t="s">
        <v>246</v>
      </c>
      <c r="E27" s="3" t="s">
        <v>126</v>
      </c>
      <c r="F27" s="147" t="s">
        <v>7</v>
      </c>
      <c r="G27" s="147" t="s">
        <v>7</v>
      </c>
      <c r="H27" s="147" t="s">
        <v>7</v>
      </c>
      <c r="I27" s="147" t="str">
        <f>I5</f>
        <v>SKYTECH S.A.S</v>
      </c>
      <c r="J27" s="148">
        <v>43357</v>
      </c>
      <c r="K27" s="149">
        <v>1076162982</v>
      </c>
      <c r="L27" s="132">
        <f>K27/Y6</f>
        <v>1377.5027225878794</v>
      </c>
      <c r="M27" s="150">
        <v>1</v>
      </c>
      <c r="N27" s="128">
        <f t="shared" ref="N27:N30" si="2">IF(AND(G27="SI",H27="SI"),(L27*M27),0)</f>
        <v>1377.5027225878794</v>
      </c>
      <c r="O27" s="129" t="str">
        <f>+IF(AND(H27="SI",G27="SI"),"CUMPLE","NO CUMPLE")</f>
        <v>CUMPLE</v>
      </c>
      <c r="P27" s="25"/>
      <c r="Q27" s="25"/>
      <c r="R27" s="139"/>
      <c r="S27" s="139"/>
      <c r="T27" s="140"/>
      <c r="U27" s="7"/>
      <c r="V27" s="134"/>
      <c r="W27" s="134"/>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row>
    <row r="28" spans="1:52" ht="188.25" customHeight="1">
      <c r="A28" s="278"/>
      <c r="B28" s="127" t="s">
        <v>27</v>
      </c>
      <c r="C28" s="147">
        <v>77</v>
      </c>
      <c r="D28" s="147" t="s">
        <v>244</v>
      </c>
      <c r="E28" s="3" t="s">
        <v>245</v>
      </c>
      <c r="F28" s="147" t="s">
        <v>7</v>
      </c>
      <c r="G28" s="147" t="s">
        <v>7</v>
      </c>
      <c r="H28" s="147" t="s">
        <v>7</v>
      </c>
      <c r="I28" s="147" t="str">
        <f>I5</f>
        <v>SKYTECH S.A.S</v>
      </c>
      <c r="J28" s="148">
        <v>43356</v>
      </c>
      <c r="K28" s="149">
        <v>261583417</v>
      </c>
      <c r="L28" s="132">
        <f>K28/Y6</f>
        <v>334.83020242127282</v>
      </c>
      <c r="M28" s="150">
        <v>1</v>
      </c>
      <c r="N28" s="128">
        <f t="shared" ref="N28:N29" si="3">IF(AND(G28="SI",H28="SI"),(L28*M28),0)</f>
        <v>334.83020242127282</v>
      </c>
      <c r="O28" s="129" t="str">
        <f>+IF(AND(H28="SI",G28="SI"),"CUMPLE","NO CUMPLE")</f>
        <v>CUMPLE</v>
      </c>
      <c r="P28" s="25"/>
      <c r="Q28" s="25"/>
      <c r="R28" s="141"/>
      <c r="S28" s="25"/>
      <c r="T28" s="140"/>
      <c r="U28" s="7"/>
      <c r="V28" s="134"/>
      <c r="W28" s="134"/>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row>
    <row r="29" spans="1:52" ht="249.75" customHeight="1">
      <c r="A29" s="278"/>
      <c r="B29" s="127" t="s">
        <v>28</v>
      </c>
      <c r="C29" s="147">
        <v>110</v>
      </c>
      <c r="D29" s="147" t="s">
        <v>246</v>
      </c>
      <c r="E29" s="3" t="s">
        <v>247</v>
      </c>
      <c r="F29" s="147" t="s">
        <v>7</v>
      </c>
      <c r="G29" s="147" t="s">
        <v>7</v>
      </c>
      <c r="H29" s="147" t="s">
        <v>7</v>
      </c>
      <c r="I29" s="147" t="str">
        <f>I5</f>
        <v>SKYTECH S.A.S</v>
      </c>
      <c r="J29" s="148">
        <v>44438</v>
      </c>
      <c r="K29" s="149">
        <v>2508611313</v>
      </c>
      <c r="L29" s="132">
        <f>K29/V6</f>
        <v>2761.1882466764846</v>
      </c>
      <c r="M29" s="150">
        <v>1</v>
      </c>
      <c r="N29" s="128">
        <f t="shared" si="3"/>
        <v>2761.1882466764846</v>
      </c>
      <c r="O29" s="129" t="str">
        <f>+IF(AND(H29="SI",G29="SI"),"CUMPLE","NO CUMPLE")</f>
        <v>CUMPLE</v>
      </c>
      <c r="P29" s="25"/>
      <c r="Q29" s="25"/>
      <c r="R29" s="141"/>
      <c r="S29" s="25"/>
      <c r="T29" s="140"/>
      <c r="U29" s="7"/>
      <c r="V29" s="134"/>
      <c r="W29" s="134"/>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row>
    <row r="30" spans="1:52" ht="236.25" customHeight="1">
      <c r="A30" s="278"/>
      <c r="B30" s="127" t="s">
        <v>29</v>
      </c>
      <c r="C30" s="147">
        <v>128</v>
      </c>
      <c r="D30" s="147" t="s">
        <v>246</v>
      </c>
      <c r="E30" s="3" t="s">
        <v>128</v>
      </c>
      <c r="F30" s="147" t="s">
        <v>7</v>
      </c>
      <c r="G30" s="147" t="s">
        <v>7</v>
      </c>
      <c r="H30" s="147" t="s">
        <v>7</v>
      </c>
      <c r="I30" s="147">
        <f>I15</f>
        <v>0</v>
      </c>
      <c r="J30" s="148">
        <v>44847</v>
      </c>
      <c r="K30" s="149">
        <v>2353184261</v>
      </c>
      <c r="L30" s="131">
        <v>2379.9499999999998</v>
      </c>
      <c r="M30" s="150">
        <v>1</v>
      </c>
      <c r="N30" s="128">
        <f t="shared" si="2"/>
        <v>2379.9499999999998</v>
      </c>
      <c r="O30" s="129" t="str">
        <f>+IF(AND(H30="SI",G30="SI"),"CUMPLE","NO CUMPLE")</f>
        <v>CUMPLE</v>
      </c>
      <c r="P30" s="25"/>
      <c r="Q30" s="25"/>
      <c r="R30" s="141"/>
      <c r="S30" s="25"/>
      <c r="T30" s="140"/>
      <c r="U30" s="7"/>
      <c r="V30" s="134"/>
      <c r="W30" s="134"/>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row>
    <row r="31" spans="1:52" ht="287.25" customHeight="1">
      <c r="A31" s="279"/>
      <c r="B31" s="127" t="s">
        <v>30</v>
      </c>
      <c r="C31" s="147">
        <v>129</v>
      </c>
      <c r="D31" s="3" t="s">
        <v>129</v>
      </c>
      <c r="E31" s="3" t="s">
        <v>130</v>
      </c>
      <c r="F31" s="147" t="s">
        <v>7</v>
      </c>
      <c r="G31" s="147" t="s">
        <v>7</v>
      </c>
      <c r="H31" s="147" t="s">
        <v>7</v>
      </c>
      <c r="I31" s="147" t="str">
        <f>I5</f>
        <v>SKYTECH S.A.S</v>
      </c>
      <c r="J31" s="148">
        <v>44884</v>
      </c>
      <c r="K31" s="149">
        <v>4602898739</v>
      </c>
      <c r="L31" s="132">
        <f>K31/U6</f>
        <v>4602.8987390000002</v>
      </c>
      <c r="M31" s="150">
        <v>1</v>
      </c>
      <c r="N31" s="128">
        <f t="shared" ref="N31" si="4">IF(AND(G31="SI",H31="SI"),(L31*M31),0)</f>
        <v>4602.8987390000002</v>
      </c>
      <c r="O31" s="129" t="str">
        <f>+IF(AND(H31="SI",G31="SI"),"CUMPLE","NO CUMPLE")</f>
        <v>CUMPLE</v>
      </c>
      <c r="P31" s="25"/>
      <c r="Q31" s="25"/>
      <c r="R31" s="141"/>
      <c r="S31" s="25"/>
      <c r="T31" s="140"/>
      <c r="U31" s="7"/>
      <c r="V31" s="134"/>
      <c r="W31" s="134"/>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row>
    <row r="32" spans="1:52" ht="36" customHeight="1">
      <c r="A32" s="266" t="s">
        <v>47</v>
      </c>
      <c r="B32" s="266"/>
      <c r="C32" s="266"/>
      <c r="D32" s="266"/>
      <c r="E32" s="266"/>
      <c r="F32" s="266"/>
      <c r="G32" s="266"/>
      <c r="H32" s="266"/>
      <c r="I32" s="266"/>
      <c r="J32" s="266"/>
      <c r="K32" s="266"/>
      <c r="L32" s="266"/>
      <c r="M32" s="266"/>
      <c r="N32" s="4">
        <f>SUM(N27:N31)</f>
        <v>11456.369910685637</v>
      </c>
      <c r="O32" s="12" t="str">
        <f>+IF(OR(O30="CUMPLE",O27="CUMPLE")*AND(N32&gt;=A27),"CUMPLE","NO CUMPLE")</f>
        <v>CUMPLE</v>
      </c>
      <c r="P32" s="5"/>
      <c r="Q32" s="25"/>
      <c r="R32" s="7"/>
      <c r="S32" s="25"/>
      <c r="T32" s="144"/>
      <c r="U32" s="7"/>
      <c r="V32" s="134"/>
      <c r="W32" s="134"/>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row>
    <row r="33" spans="1:52" ht="26.45" customHeight="1">
      <c r="A33" s="242" t="s">
        <v>131</v>
      </c>
      <c r="B33" s="242"/>
      <c r="C33" s="242"/>
      <c r="D33" s="242"/>
      <c r="E33" s="242"/>
      <c r="F33" s="242"/>
      <c r="G33" s="242"/>
      <c r="H33" s="242"/>
      <c r="I33" s="242"/>
      <c r="J33" s="242"/>
      <c r="K33" s="242"/>
      <c r="L33" s="242"/>
      <c r="M33" s="242"/>
      <c r="N33" s="242"/>
      <c r="O33" s="242"/>
      <c r="P33" s="25"/>
      <c r="Q33" s="25"/>
      <c r="R33" s="25"/>
      <c r="S33" s="25"/>
      <c r="T33" s="25"/>
      <c r="U33" s="7"/>
      <c r="V33" s="134"/>
      <c r="W33" s="134"/>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row>
    <row r="34" spans="1:52" ht="68.25" customHeight="1">
      <c r="A34" s="253" t="s">
        <v>132</v>
      </c>
      <c r="B34" s="253"/>
      <c r="C34" s="253"/>
      <c r="D34" s="253"/>
      <c r="E34" s="253"/>
      <c r="F34" s="253"/>
      <c r="G34" s="253"/>
      <c r="H34" s="253"/>
      <c r="I34" s="253"/>
      <c r="J34" s="253"/>
      <c r="K34" s="253"/>
      <c r="L34" s="253"/>
      <c r="M34" s="253"/>
      <c r="N34" s="253"/>
      <c r="O34" s="133" t="s">
        <v>8</v>
      </c>
      <c r="P34" s="25"/>
      <c r="Q34" s="25"/>
      <c r="R34" s="25"/>
      <c r="S34" s="25"/>
      <c r="T34" s="25"/>
      <c r="U34" s="7"/>
      <c r="V34" s="134"/>
      <c r="W34" s="134"/>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row>
    <row r="35" spans="1:52" ht="26.45" customHeight="1">
      <c r="A35" s="242" t="s">
        <v>274</v>
      </c>
      <c r="B35" s="242"/>
      <c r="C35" s="242"/>
      <c r="D35" s="242"/>
      <c r="E35" s="242"/>
      <c r="F35" s="242"/>
      <c r="G35" s="242"/>
      <c r="H35" s="242"/>
      <c r="I35" s="242"/>
      <c r="J35" s="242"/>
      <c r="K35" s="242"/>
      <c r="L35" s="242"/>
      <c r="M35" s="242"/>
      <c r="N35" s="242"/>
      <c r="O35" s="242"/>
      <c r="P35" s="25"/>
      <c r="Q35" s="25"/>
      <c r="R35" s="25"/>
      <c r="S35" s="25"/>
      <c r="T35" s="25"/>
      <c r="U35" s="7"/>
      <c r="V35" s="134"/>
      <c r="W35" s="134"/>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row>
    <row r="36" spans="1:52" ht="68.25" customHeight="1">
      <c r="A36" s="253" t="s">
        <v>250</v>
      </c>
      <c r="B36" s="253"/>
      <c r="C36" s="253"/>
      <c r="D36" s="253"/>
      <c r="E36" s="253"/>
      <c r="F36" s="253"/>
      <c r="G36" s="253"/>
      <c r="H36" s="253"/>
      <c r="I36" s="253"/>
      <c r="J36" s="253"/>
      <c r="K36" s="253"/>
      <c r="L36" s="253"/>
      <c r="M36" s="253"/>
      <c r="N36" s="253"/>
      <c r="O36" s="133" t="s">
        <v>8</v>
      </c>
      <c r="P36" s="25"/>
      <c r="Q36" s="25"/>
      <c r="R36" s="25"/>
      <c r="S36" s="25"/>
      <c r="T36" s="25"/>
      <c r="U36" s="7"/>
      <c r="V36" s="134"/>
      <c r="W36" s="134"/>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row>
    <row r="37" spans="1:52" ht="26.45" customHeight="1">
      <c r="A37" s="242" t="s">
        <v>251</v>
      </c>
      <c r="B37" s="242"/>
      <c r="C37" s="242"/>
      <c r="D37" s="242"/>
      <c r="E37" s="242"/>
      <c r="F37" s="242"/>
      <c r="G37" s="242"/>
      <c r="H37" s="242"/>
      <c r="I37" s="242"/>
      <c r="J37" s="242"/>
      <c r="K37" s="242"/>
      <c r="L37" s="242"/>
      <c r="M37" s="242"/>
      <c r="N37" s="242"/>
      <c r="O37" s="242"/>
      <c r="P37" s="25"/>
      <c r="Q37" s="25"/>
      <c r="R37" s="25"/>
      <c r="S37" s="25"/>
      <c r="T37" s="25"/>
      <c r="U37" s="7"/>
      <c r="V37" s="134"/>
      <c r="W37" s="134"/>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row>
    <row r="38" spans="1:52" ht="68.25" customHeight="1">
      <c r="A38" s="253" t="s">
        <v>252</v>
      </c>
      <c r="B38" s="253"/>
      <c r="C38" s="253"/>
      <c r="D38" s="253"/>
      <c r="E38" s="253"/>
      <c r="F38" s="253"/>
      <c r="G38" s="253"/>
      <c r="H38" s="253"/>
      <c r="I38" s="253"/>
      <c r="J38" s="253"/>
      <c r="K38" s="253"/>
      <c r="L38" s="253"/>
      <c r="M38" s="253"/>
      <c r="N38" s="253"/>
      <c r="O38" s="133" t="s">
        <v>8</v>
      </c>
      <c r="P38" s="25"/>
      <c r="Q38" s="25"/>
      <c r="R38" s="25"/>
      <c r="S38" s="25"/>
      <c r="T38" s="25"/>
      <c r="U38" s="7"/>
      <c r="V38" s="134"/>
      <c r="W38" s="134"/>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row>
    <row r="39" spans="1:52" ht="26.45" customHeight="1">
      <c r="A39" s="241" t="s">
        <v>253</v>
      </c>
      <c r="B39" s="242"/>
      <c r="C39" s="242"/>
      <c r="D39" s="242"/>
      <c r="E39" s="242"/>
      <c r="F39" s="242"/>
      <c r="G39" s="242"/>
      <c r="H39" s="242"/>
      <c r="I39" s="242"/>
      <c r="J39" s="242"/>
      <c r="K39" s="242"/>
      <c r="L39" s="242"/>
      <c r="M39" s="242"/>
      <c r="N39" s="242"/>
      <c r="O39" s="242"/>
      <c r="P39" s="25"/>
      <c r="Q39" s="25"/>
      <c r="R39" s="25"/>
      <c r="S39" s="25"/>
      <c r="T39" s="25"/>
      <c r="U39" s="7"/>
      <c r="V39" s="134"/>
      <c r="W39" s="134"/>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row>
    <row r="40" spans="1:52" ht="90" customHeight="1">
      <c r="A40" s="253" t="s">
        <v>254</v>
      </c>
      <c r="B40" s="253"/>
      <c r="C40" s="253"/>
      <c r="D40" s="253"/>
      <c r="E40" s="253"/>
      <c r="F40" s="253"/>
      <c r="G40" s="253"/>
      <c r="H40" s="253"/>
      <c r="I40" s="253"/>
      <c r="J40" s="253"/>
      <c r="K40" s="253"/>
      <c r="L40" s="253"/>
      <c r="M40" s="253"/>
      <c r="N40" s="253"/>
      <c r="O40" s="133" t="s">
        <v>8</v>
      </c>
      <c r="P40" s="25"/>
      <c r="Q40" s="25"/>
      <c r="R40" s="25"/>
      <c r="S40" s="25"/>
      <c r="T40" s="25"/>
      <c r="U40" s="7"/>
      <c r="V40" s="134"/>
      <c r="W40" s="134"/>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row>
    <row r="41" spans="1:52" ht="26.45" customHeight="1">
      <c r="A41" s="241" t="s">
        <v>275</v>
      </c>
      <c r="B41" s="242"/>
      <c r="C41" s="242"/>
      <c r="D41" s="242"/>
      <c r="E41" s="242"/>
      <c r="F41" s="242"/>
      <c r="G41" s="242"/>
      <c r="H41" s="242"/>
      <c r="I41" s="242"/>
      <c r="J41" s="242"/>
      <c r="K41" s="242"/>
      <c r="L41" s="242"/>
      <c r="M41" s="242"/>
      <c r="N41" s="242"/>
      <c r="O41" s="242"/>
      <c r="P41" s="25"/>
      <c r="Q41" s="25"/>
      <c r="R41" s="25"/>
      <c r="S41" s="25"/>
      <c r="T41" s="25"/>
      <c r="U41" s="7"/>
      <c r="V41" s="134"/>
      <c r="W41" s="134"/>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row>
    <row r="42" spans="1:52" ht="69.75" customHeight="1">
      <c r="A42" s="253" t="s">
        <v>255</v>
      </c>
      <c r="B42" s="253"/>
      <c r="C42" s="253"/>
      <c r="D42" s="253"/>
      <c r="E42" s="253"/>
      <c r="F42" s="253"/>
      <c r="G42" s="253"/>
      <c r="H42" s="253"/>
      <c r="I42" s="253"/>
      <c r="J42" s="253"/>
      <c r="K42" s="253"/>
      <c r="L42" s="253"/>
      <c r="M42" s="253"/>
      <c r="N42" s="253"/>
      <c r="O42" s="133" t="s">
        <v>8</v>
      </c>
      <c r="P42" s="25"/>
      <c r="Q42" s="25"/>
      <c r="R42" s="25"/>
      <c r="S42" s="25"/>
      <c r="T42" s="25"/>
      <c r="U42" s="7"/>
      <c r="V42" s="134"/>
      <c r="W42" s="134"/>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row>
    <row r="43" spans="1:52" ht="26.45" customHeight="1">
      <c r="A43" s="241" t="s">
        <v>133</v>
      </c>
      <c r="B43" s="242"/>
      <c r="C43" s="242"/>
      <c r="D43" s="242"/>
      <c r="E43" s="242"/>
      <c r="F43" s="242"/>
      <c r="G43" s="242"/>
      <c r="H43" s="242"/>
      <c r="I43" s="242"/>
      <c r="J43" s="242"/>
      <c r="K43" s="242"/>
      <c r="L43" s="242"/>
      <c r="M43" s="242"/>
      <c r="N43" s="242"/>
      <c r="O43" s="242"/>
      <c r="P43" s="25"/>
      <c r="Q43" s="25"/>
      <c r="R43" s="25"/>
      <c r="S43" s="25"/>
      <c r="T43" s="25"/>
      <c r="U43" s="7"/>
      <c r="V43" s="134"/>
      <c r="W43" s="134"/>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row>
    <row r="44" spans="1:52" ht="77.25" customHeight="1">
      <c r="A44" s="253" t="s">
        <v>134</v>
      </c>
      <c r="B44" s="253"/>
      <c r="C44" s="253"/>
      <c r="D44" s="253"/>
      <c r="E44" s="253"/>
      <c r="F44" s="253"/>
      <c r="G44" s="253"/>
      <c r="H44" s="253"/>
      <c r="I44" s="253"/>
      <c r="J44" s="253"/>
      <c r="K44" s="253"/>
      <c r="L44" s="253"/>
      <c r="M44" s="253"/>
      <c r="N44" s="253"/>
      <c r="O44" s="133" t="s">
        <v>8</v>
      </c>
      <c r="P44" s="25"/>
      <c r="Q44" s="25"/>
      <c r="R44" s="25"/>
      <c r="S44" s="25"/>
      <c r="T44" s="25"/>
      <c r="U44" s="7"/>
      <c r="V44" s="134"/>
      <c r="W44" s="134"/>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row>
    <row r="45" spans="1:52" ht="44.25" customHeight="1">
      <c r="A45" s="254" t="s">
        <v>135</v>
      </c>
      <c r="B45" s="254"/>
      <c r="C45" s="254"/>
      <c r="D45" s="254"/>
      <c r="E45" s="254"/>
      <c r="F45" s="254"/>
      <c r="G45" s="254"/>
      <c r="H45" s="254"/>
      <c r="I45" s="254"/>
      <c r="J45" s="254"/>
      <c r="K45" s="254"/>
      <c r="L45" s="254"/>
      <c r="M45" s="254"/>
      <c r="N45" s="254"/>
      <c r="O45" s="254"/>
      <c r="P45" s="6"/>
      <c r="Q45" s="7"/>
      <c r="R45" s="7"/>
      <c r="S45" s="7"/>
      <c r="T45" s="7"/>
      <c r="U45" s="7"/>
      <c r="V45" s="134"/>
      <c r="W45" s="134"/>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row>
    <row r="46" spans="1:52" ht="26.45" customHeight="1">
      <c r="A46" s="241" t="s">
        <v>141</v>
      </c>
      <c r="B46" s="242"/>
      <c r="C46" s="242"/>
      <c r="D46" s="242"/>
      <c r="E46" s="242"/>
      <c r="F46" s="242"/>
      <c r="G46" s="242"/>
      <c r="H46" s="242"/>
      <c r="I46" s="242"/>
      <c r="J46" s="242"/>
      <c r="K46" s="242"/>
      <c r="L46" s="242"/>
      <c r="M46" s="242"/>
      <c r="N46" s="242"/>
      <c r="O46" s="242"/>
      <c r="P46" s="25"/>
      <c r="Q46" s="25"/>
      <c r="R46" s="25"/>
      <c r="S46" s="25"/>
      <c r="T46" s="25"/>
      <c r="U46" s="7"/>
      <c r="V46" s="134"/>
      <c r="W46" s="134"/>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row>
    <row r="47" spans="1:52" ht="77.25" customHeight="1">
      <c r="A47" s="253" t="s">
        <v>155</v>
      </c>
      <c r="B47" s="253"/>
      <c r="C47" s="253"/>
      <c r="D47" s="253"/>
      <c r="E47" s="253"/>
      <c r="F47" s="253"/>
      <c r="G47" s="253"/>
      <c r="H47" s="253"/>
      <c r="I47" s="253"/>
      <c r="J47" s="253"/>
      <c r="K47" s="253"/>
      <c r="L47" s="253"/>
      <c r="M47" s="253"/>
      <c r="N47" s="253"/>
      <c r="O47" s="133" t="s">
        <v>8</v>
      </c>
      <c r="P47" s="25"/>
      <c r="Q47" s="25"/>
      <c r="R47" s="25"/>
      <c r="S47" s="25"/>
      <c r="T47" s="25"/>
      <c r="U47" s="7"/>
      <c r="V47" s="134"/>
      <c r="W47" s="134"/>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row>
    <row r="48" spans="1:52" ht="31.35" customHeight="1">
      <c r="A48" s="241" t="s">
        <v>147</v>
      </c>
      <c r="B48" s="242"/>
      <c r="C48" s="242"/>
      <c r="D48" s="242"/>
      <c r="E48" s="242"/>
      <c r="F48" s="242"/>
      <c r="G48" s="242"/>
      <c r="H48" s="242"/>
      <c r="I48" s="242"/>
      <c r="J48" s="242"/>
      <c r="K48" s="242"/>
      <c r="L48" s="242"/>
      <c r="M48" s="242"/>
      <c r="N48" s="242"/>
      <c r="O48" s="242"/>
      <c r="P48" s="6"/>
      <c r="Q48" s="7"/>
      <c r="R48" s="7"/>
      <c r="S48" s="7"/>
      <c r="T48" s="7"/>
      <c r="U48" s="7"/>
      <c r="V48" s="134"/>
      <c r="W48" s="134"/>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row>
    <row r="49" spans="1:52" ht="111" customHeight="1">
      <c r="A49" s="243" t="s">
        <v>256</v>
      </c>
      <c r="B49" s="243"/>
      <c r="C49" s="243"/>
      <c r="D49" s="243"/>
      <c r="E49" s="243"/>
      <c r="F49" s="243"/>
      <c r="G49" s="243"/>
      <c r="H49" s="243"/>
      <c r="I49" s="243"/>
      <c r="J49" s="243"/>
      <c r="K49" s="243"/>
      <c r="L49" s="243"/>
      <c r="M49" s="244" t="s">
        <v>8</v>
      </c>
      <c r="N49" s="244"/>
      <c r="O49" s="80">
        <v>18.5</v>
      </c>
      <c r="P49" s="6"/>
      <c r="Q49" s="7"/>
      <c r="R49" s="7"/>
      <c r="S49" s="7"/>
      <c r="T49" s="7"/>
      <c r="U49" s="7"/>
      <c r="V49" s="134"/>
      <c r="W49" s="134"/>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row>
    <row r="50" spans="1:52" ht="30.95" customHeight="1">
      <c r="A50" s="241" t="s">
        <v>143</v>
      </c>
      <c r="B50" s="242"/>
      <c r="C50" s="242"/>
      <c r="D50" s="242"/>
      <c r="E50" s="242"/>
      <c r="F50" s="242"/>
      <c r="G50" s="242"/>
      <c r="H50" s="242"/>
      <c r="I50" s="242"/>
      <c r="J50" s="242"/>
      <c r="K50" s="242"/>
      <c r="L50" s="242"/>
      <c r="M50" s="242"/>
      <c r="N50" s="242"/>
      <c r="O50" s="242"/>
      <c r="P50" s="6"/>
      <c r="Q50" s="7"/>
      <c r="R50" s="7"/>
      <c r="S50" s="7"/>
      <c r="T50" s="7"/>
      <c r="U50" s="7"/>
      <c r="V50" s="134"/>
      <c r="W50" s="134"/>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row>
    <row r="51" spans="1:52" ht="33.950000000000003" customHeight="1">
      <c r="A51" s="246" t="s">
        <v>33</v>
      </c>
      <c r="B51" s="246"/>
      <c r="C51" s="246" t="s">
        <v>48</v>
      </c>
      <c r="D51" s="246"/>
      <c r="E51" s="246"/>
      <c r="F51" s="246"/>
      <c r="G51" s="246"/>
      <c r="H51" s="246"/>
      <c r="I51" s="246"/>
      <c r="J51" s="246"/>
      <c r="K51" s="246"/>
      <c r="L51" s="246"/>
      <c r="M51" s="245" t="s">
        <v>32</v>
      </c>
      <c r="N51" s="245"/>
      <c r="O51" s="245"/>
      <c r="P51" s="8"/>
      <c r="Q51" s="7"/>
      <c r="R51" s="7"/>
      <c r="S51" s="7"/>
      <c r="T51" s="7"/>
      <c r="U51" s="7"/>
      <c r="V51" s="134"/>
      <c r="W51" s="134"/>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row>
    <row r="52" spans="1:52" ht="33.950000000000003" customHeight="1">
      <c r="A52" s="246"/>
      <c r="B52" s="246"/>
      <c r="C52" s="246"/>
      <c r="D52" s="246"/>
      <c r="E52" s="246"/>
      <c r="F52" s="246"/>
      <c r="G52" s="246"/>
      <c r="H52" s="246"/>
      <c r="I52" s="246"/>
      <c r="J52" s="246"/>
      <c r="K52" s="246"/>
      <c r="L52" s="246"/>
      <c r="M52" s="247" t="s">
        <v>8</v>
      </c>
      <c r="N52" s="248"/>
      <c r="O52" s="249"/>
      <c r="P52" s="8"/>
      <c r="Q52" s="7"/>
      <c r="R52" s="7"/>
      <c r="S52" s="7"/>
      <c r="T52" s="7"/>
      <c r="U52" s="7"/>
      <c r="V52" s="134"/>
      <c r="W52" s="134"/>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row>
    <row r="53" spans="1:52" ht="31.7" customHeight="1">
      <c r="A53" s="246"/>
      <c r="B53" s="246"/>
      <c r="C53" s="246"/>
      <c r="D53" s="246"/>
      <c r="E53" s="246"/>
      <c r="F53" s="246"/>
      <c r="G53" s="246"/>
      <c r="H53" s="246"/>
      <c r="I53" s="246"/>
      <c r="J53" s="246"/>
      <c r="K53" s="246"/>
      <c r="L53" s="246"/>
      <c r="M53" s="313">
        <v>10</v>
      </c>
      <c r="N53" s="313"/>
      <c r="O53" s="313"/>
      <c r="P53" s="8"/>
      <c r="Q53" s="7"/>
      <c r="R53" s="7"/>
      <c r="S53" s="7"/>
      <c r="T53" s="7"/>
      <c r="U53" s="7"/>
      <c r="V53" s="134"/>
      <c r="W53" s="134"/>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row>
    <row r="54" spans="1:52" ht="92.25" customHeight="1">
      <c r="A54" s="246"/>
      <c r="B54" s="246"/>
      <c r="C54" s="246"/>
      <c r="D54" s="246"/>
      <c r="E54" s="246"/>
      <c r="F54" s="246"/>
      <c r="G54" s="246"/>
      <c r="H54" s="246"/>
      <c r="I54" s="246"/>
      <c r="J54" s="246"/>
      <c r="K54" s="246"/>
      <c r="L54" s="246"/>
      <c r="M54" s="313"/>
      <c r="N54" s="313"/>
      <c r="O54" s="313"/>
      <c r="P54" s="8"/>
      <c r="Q54" s="7"/>
      <c r="R54" s="7"/>
      <c r="S54" s="7"/>
      <c r="T54" s="7"/>
      <c r="U54" s="7"/>
      <c r="V54" s="134"/>
      <c r="W54" s="134"/>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row>
    <row r="55" spans="1:52" ht="98.45" customHeight="1">
      <c r="A55" s="246" t="s">
        <v>34</v>
      </c>
      <c r="B55" s="246"/>
      <c r="C55" s="246" t="s">
        <v>97</v>
      </c>
      <c r="D55" s="246"/>
      <c r="E55" s="246"/>
      <c r="F55" s="246"/>
      <c r="G55" s="246"/>
      <c r="H55" s="246"/>
      <c r="I55" s="246"/>
      <c r="J55" s="246"/>
      <c r="K55" s="246"/>
      <c r="L55" s="246"/>
      <c r="M55" s="313"/>
      <c r="N55" s="313"/>
      <c r="O55" s="313"/>
      <c r="P55" s="8"/>
      <c r="Q55" s="7"/>
      <c r="R55" s="7"/>
      <c r="S55" s="7"/>
      <c r="T55" s="7"/>
      <c r="U55" s="7"/>
      <c r="V55" s="134"/>
      <c r="W55" s="134"/>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row>
    <row r="56" spans="1:52" ht="108.75" customHeight="1">
      <c r="A56" s="246"/>
      <c r="B56" s="246"/>
      <c r="C56" s="246"/>
      <c r="D56" s="246"/>
      <c r="E56" s="246"/>
      <c r="F56" s="246"/>
      <c r="G56" s="246"/>
      <c r="H56" s="246"/>
      <c r="I56" s="246"/>
      <c r="J56" s="246"/>
      <c r="K56" s="246"/>
      <c r="L56" s="246"/>
      <c r="M56" s="313"/>
      <c r="N56" s="313"/>
      <c r="O56" s="313"/>
      <c r="P56" s="8"/>
      <c r="Q56" s="7"/>
      <c r="R56" s="7"/>
      <c r="S56" s="7"/>
      <c r="T56" s="7"/>
      <c r="U56" s="7"/>
      <c r="V56" s="134"/>
      <c r="W56" s="134"/>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row>
    <row r="57" spans="1:52" ht="193.35" customHeight="1">
      <c r="A57" s="246" t="s">
        <v>98</v>
      </c>
      <c r="B57" s="246"/>
      <c r="C57" s="246"/>
      <c r="D57" s="246"/>
      <c r="E57" s="246"/>
      <c r="F57" s="246"/>
      <c r="G57" s="246"/>
      <c r="H57" s="246"/>
      <c r="I57" s="246"/>
      <c r="J57" s="246"/>
      <c r="K57" s="246"/>
      <c r="L57" s="246"/>
      <c r="M57" s="313"/>
      <c r="N57" s="313"/>
      <c r="O57" s="313"/>
      <c r="P57" s="8"/>
      <c r="Q57" s="7"/>
      <c r="R57" s="7"/>
      <c r="S57" s="7"/>
      <c r="T57" s="7"/>
      <c r="U57" s="7"/>
      <c r="V57" s="134"/>
      <c r="W57" s="134"/>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row>
    <row r="58" spans="1:52" ht="28.5" customHeight="1">
      <c r="A58" s="241" t="s">
        <v>145</v>
      </c>
      <c r="B58" s="242"/>
      <c r="C58" s="242"/>
      <c r="D58" s="242"/>
      <c r="E58" s="242"/>
      <c r="F58" s="242"/>
      <c r="G58" s="242"/>
      <c r="H58" s="242"/>
      <c r="I58" s="242"/>
      <c r="J58" s="242"/>
      <c r="K58" s="242"/>
      <c r="L58" s="242"/>
      <c r="M58" s="242"/>
      <c r="N58" s="242"/>
      <c r="O58" s="242"/>
      <c r="P58" s="7"/>
      <c r="Q58" s="7"/>
      <c r="R58" s="7"/>
      <c r="S58" s="7"/>
      <c r="T58" s="7"/>
      <c r="U58" s="7"/>
      <c r="V58" s="134"/>
      <c r="W58" s="134"/>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row>
    <row r="59" spans="1:52" ht="76.5" customHeight="1">
      <c r="A59" s="246" t="s">
        <v>35</v>
      </c>
      <c r="B59" s="246"/>
      <c r="C59" s="246"/>
      <c r="D59" s="246"/>
      <c r="E59" s="246"/>
      <c r="F59" s="246"/>
      <c r="G59" s="246"/>
      <c r="H59" s="246"/>
      <c r="I59" s="246"/>
      <c r="J59" s="246"/>
      <c r="K59" s="246"/>
      <c r="L59" s="246"/>
      <c r="M59" s="245" t="s">
        <v>32</v>
      </c>
      <c r="N59" s="245"/>
      <c r="O59" s="245"/>
      <c r="P59" s="6"/>
      <c r="Q59" s="7"/>
      <c r="R59" s="7"/>
      <c r="S59" s="7"/>
      <c r="T59" s="7"/>
      <c r="U59" s="7"/>
      <c r="V59" s="134"/>
      <c r="W59" s="134"/>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row>
    <row r="60" spans="1:52" ht="99.75" customHeight="1">
      <c r="A60" s="246" t="s">
        <v>50</v>
      </c>
      <c r="B60" s="246"/>
      <c r="C60" s="246"/>
      <c r="D60" s="246"/>
      <c r="E60" s="246"/>
      <c r="F60" s="246"/>
      <c r="G60" s="246"/>
      <c r="H60" s="246"/>
      <c r="I60" s="246"/>
      <c r="J60" s="246"/>
      <c r="K60" s="246"/>
      <c r="L60" s="246"/>
      <c r="M60" s="250" t="s">
        <v>8</v>
      </c>
      <c r="N60" s="251"/>
      <c r="O60" s="252"/>
      <c r="P60" s="6"/>
      <c r="Q60" s="7"/>
      <c r="R60" s="7"/>
      <c r="S60" s="7"/>
      <c r="T60" s="7"/>
      <c r="U60" s="7"/>
      <c r="V60" s="134"/>
      <c r="W60" s="134"/>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row>
    <row r="61" spans="1:52" ht="99.75" customHeight="1">
      <c r="A61" s="246" t="s">
        <v>36</v>
      </c>
      <c r="B61" s="246"/>
      <c r="C61" s="246"/>
      <c r="D61" s="246"/>
      <c r="E61" s="246"/>
      <c r="F61" s="246"/>
      <c r="G61" s="246"/>
      <c r="H61" s="246"/>
      <c r="I61" s="246"/>
      <c r="J61" s="246"/>
      <c r="K61" s="246"/>
      <c r="L61" s="246"/>
      <c r="M61" s="314">
        <v>1</v>
      </c>
      <c r="N61" s="315"/>
      <c r="O61" s="316"/>
      <c r="P61" s="6"/>
      <c r="Q61" s="7"/>
      <c r="R61" s="7"/>
      <c r="S61" s="7"/>
      <c r="T61" s="7"/>
      <c r="U61" s="7"/>
      <c r="V61" s="134"/>
      <c r="W61" s="134"/>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row>
    <row r="62" spans="1:52" ht="31.35" customHeight="1">
      <c r="A62" s="241" t="s">
        <v>148</v>
      </c>
      <c r="B62" s="242"/>
      <c r="C62" s="242"/>
      <c r="D62" s="242"/>
      <c r="E62" s="242"/>
      <c r="F62" s="242"/>
      <c r="G62" s="242"/>
      <c r="H62" s="242"/>
      <c r="I62" s="242"/>
      <c r="J62" s="242"/>
      <c r="K62" s="242"/>
      <c r="L62" s="242"/>
      <c r="M62" s="242"/>
      <c r="N62" s="242"/>
      <c r="O62" s="242"/>
      <c r="P62" s="6"/>
      <c r="Q62" s="7"/>
      <c r="R62" s="7"/>
      <c r="S62" s="7"/>
      <c r="T62" s="7"/>
      <c r="U62" s="7"/>
      <c r="V62" s="134"/>
      <c r="W62" s="134"/>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row>
    <row r="63" spans="1:52" ht="31.35" customHeight="1">
      <c r="A63" s="246" t="s">
        <v>149</v>
      </c>
      <c r="B63" s="246"/>
      <c r="C63" s="246"/>
      <c r="D63" s="246"/>
      <c r="E63" s="246"/>
      <c r="F63" s="246"/>
      <c r="G63" s="246"/>
      <c r="H63" s="246"/>
      <c r="I63" s="246"/>
      <c r="J63" s="246"/>
      <c r="K63" s="246"/>
      <c r="L63" s="246"/>
      <c r="M63" s="245" t="s">
        <v>32</v>
      </c>
      <c r="N63" s="245"/>
      <c r="O63" s="245"/>
      <c r="P63" s="6"/>
      <c r="Q63" s="7"/>
      <c r="R63" s="7"/>
      <c r="S63" s="7"/>
      <c r="T63" s="7"/>
      <c r="U63" s="7"/>
      <c r="V63" s="134"/>
      <c r="W63" s="134"/>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row>
    <row r="64" spans="1:52" ht="62.25" customHeight="1">
      <c r="A64" s="246" t="s">
        <v>152</v>
      </c>
      <c r="B64" s="246"/>
      <c r="C64" s="246"/>
      <c r="D64" s="246"/>
      <c r="E64" s="246"/>
      <c r="F64" s="246"/>
      <c r="G64" s="246"/>
      <c r="H64" s="246"/>
      <c r="I64" s="246"/>
      <c r="J64" s="246"/>
      <c r="K64" s="246"/>
      <c r="L64" s="246"/>
      <c r="M64" s="250" t="s">
        <v>8</v>
      </c>
      <c r="N64" s="252"/>
      <c r="O64" s="80">
        <v>0.25</v>
      </c>
      <c r="P64" s="6"/>
      <c r="Q64" s="7"/>
      <c r="R64" s="7"/>
      <c r="S64" s="7"/>
      <c r="T64" s="7"/>
      <c r="U64" s="7"/>
      <c r="V64" s="134"/>
      <c r="W64" s="134"/>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row>
    <row r="65" spans="1:52" ht="29.25" customHeight="1">
      <c r="A65" s="241" t="s">
        <v>151</v>
      </c>
      <c r="B65" s="242"/>
      <c r="C65" s="242"/>
      <c r="D65" s="242"/>
      <c r="E65" s="242"/>
      <c r="F65" s="242"/>
      <c r="G65" s="242"/>
      <c r="H65" s="242"/>
      <c r="I65" s="242"/>
      <c r="J65" s="242"/>
      <c r="K65" s="242"/>
      <c r="L65" s="242"/>
      <c r="M65" s="242"/>
      <c r="N65" s="242"/>
      <c r="O65" s="242"/>
      <c r="P65" s="6"/>
      <c r="Q65" s="7"/>
      <c r="R65" s="7"/>
      <c r="S65" s="7"/>
      <c r="T65" s="7"/>
      <c r="U65" s="7"/>
      <c r="V65" s="134"/>
      <c r="W65" s="134"/>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row>
    <row r="66" spans="1:52" ht="55.5" customHeight="1">
      <c r="A66" s="246" t="s">
        <v>153</v>
      </c>
      <c r="B66" s="246"/>
      <c r="C66" s="246"/>
      <c r="D66" s="246"/>
      <c r="E66" s="246"/>
      <c r="F66" s="246"/>
      <c r="G66" s="246"/>
      <c r="H66" s="246"/>
      <c r="I66" s="246"/>
      <c r="J66" s="246"/>
      <c r="K66" s="246"/>
      <c r="L66" s="246"/>
      <c r="M66" s="245" t="s">
        <v>32</v>
      </c>
      <c r="N66" s="245"/>
      <c r="O66" s="245"/>
      <c r="P66" s="6"/>
      <c r="Q66" s="7"/>
      <c r="R66" s="7"/>
      <c r="S66" s="7"/>
      <c r="T66" s="7"/>
      <c r="U66" s="7"/>
      <c r="V66" s="134"/>
      <c r="W66" s="134"/>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row>
    <row r="67" spans="1:52" ht="131.85" customHeight="1">
      <c r="A67" s="246" t="s">
        <v>154</v>
      </c>
      <c r="B67" s="246"/>
      <c r="C67" s="246"/>
      <c r="D67" s="246"/>
      <c r="E67" s="246"/>
      <c r="F67" s="246"/>
      <c r="G67" s="246"/>
      <c r="H67" s="246"/>
      <c r="I67" s="246"/>
      <c r="J67" s="246"/>
      <c r="K67" s="246"/>
      <c r="L67" s="246"/>
      <c r="M67" s="250" t="s">
        <v>8</v>
      </c>
      <c r="N67" s="252"/>
      <c r="O67" s="80">
        <v>0.25</v>
      </c>
      <c r="P67" s="6"/>
      <c r="Q67" s="7"/>
      <c r="R67" s="7"/>
      <c r="S67" s="7"/>
      <c r="T67" s="7"/>
      <c r="U67" s="7"/>
      <c r="V67" s="134"/>
      <c r="W67" s="134"/>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row>
    <row r="68" spans="1:52" ht="180" customHeight="1">
      <c r="A68" s="238" t="s">
        <v>116</v>
      </c>
      <c r="B68" s="239"/>
      <c r="C68" s="239"/>
      <c r="D68" s="239"/>
      <c r="E68" s="239"/>
      <c r="F68" s="239"/>
      <c r="G68" s="239"/>
      <c r="H68" s="239"/>
      <c r="I68" s="239"/>
      <c r="J68" s="239"/>
      <c r="K68" s="239"/>
      <c r="L68" s="239"/>
      <c r="M68" s="239"/>
      <c r="N68" s="239"/>
      <c r="O68" s="240"/>
      <c r="P68" s="8"/>
      <c r="Q68" s="7"/>
      <c r="R68" s="7"/>
      <c r="S68" s="7"/>
      <c r="T68" s="7"/>
      <c r="U68" s="7"/>
      <c r="V68" s="134"/>
      <c r="W68" s="134"/>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row>
    <row r="69" spans="1:52">
      <c r="A69" s="7"/>
      <c r="B69" s="7"/>
      <c r="C69" s="7"/>
      <c r="D69" s="7"/>
      <c r="E69" s="7"/>
      <c r="F69" s="7"/>
      <c r="G69" s="7"/>
      <c r="H69" s="7"/>
      <c r="I69" s="7"/>
      <c r="J69" s="7"/>
      <c r="K69" s="7"/>
      <c r="L69" s="7"/>
      <c r="M69" s="7"/>
      <c r="N69" s="7"/>
      <c r="O69" s="7"/>
      <c r="P69" s="8"/>
      <c r="Q69" s="7"/>
      <c r="R69" s="7"/>
      <c r="S69" s="7"/>
      <c r="T69" s="7"/>
      <c r="U69" s="7"/>
      <c r="V69" s="134"/>
      <c r="W69" s="134"/>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row>
    <row r="70" spans="1:52">
      <c r="A70" s="7"/>
      <c r="B70" s="7"/>
      <c r="C70" s="7"/>
      <c r="D70" s="7"/>
      <c r="E70" s="7"/>
      <c r="F70" s="7"/>
      <c r="G70" s="7"/>
      <c r="H70" s="7"/>
      <c r="I70" s="7"/>
      <c r="J70" s="7"/>
      <c r="K70" s="7"/>
      <c r="L70" s="7"/>
      <c r="M70" s="7"/>
      <c r="N70" s="7"/>
      <c r="O70" s="7"/>
      <c r="P70" s="8"/>
      <c r="Q70" s="7"/>
      <c r="R70" s="7"/>
      <c r="S70" s="7"/>
      <c r="T70" s="7"/>
      <c r="U70" s="7"/>
      <c r="V70" s="134"/>
      <c r="W70" s="134"/>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row>
    <row r="71" spans="1:52">
      <c r="A71" s="7"/>
      <c r="B71" s="7"/>
      <c r="C71" s="7"/>
      <c r="D71" s="7"/>
      <c r="E71" s="7"/>
      <c r="F71" s="7"/>
      <c r="G71" s="7"/>
      <c r="H71" s="7"/>
      <c r="I71" s="7"/>
      <c r="J71" s="7"/>
      <c r="K71" s="7"/>
      <c r="L71" s="7"/>
      <c r="M71" s="7"/>
      <c r="N71" s="7"/>
      <c r="O71" s="7"/>
      <c r="P71" s="8"/>
      <c r="Q71" s="7"/>
      <c r="R71" s="7"/>
      <c r="S71" s="7"/>
      <c r="T71" s="7"/>
      <c r="U71" s="7"/>
      <c r="V71" s="134"/>
      <c r="W71" s="134"/>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row>
    <row r="72" spans="1:52">
      <c r="A72" s="9"/>
      <c r="B72" s="7"/>
      <c r="C72" s="7"/>
      <c r="D72" s="7"/>
      <c r="E72" s="7"/>
      <c r="F72" s="7"/>
      <c r="G72" s="7"/>
      <c r="H72" s="7"/>
      <c r="I72" s="7"/>
      <c r="J72" s="7"/>
      <c r="K72" s="7"/>
      <c r="L72" s="7"/>
      <c r="M72" s="7"/>
      <c r="N72" s="7"/>
      <c r="O72" s="7"/>
      <c r="P72" s="8"/>
      <c r="Q72" s="7"/>
      <c r="R72" s="7"/>
      <c r="S72" s="7"/>
      <c r="T72" s="7"/>
      <c r="U72" s="7"/>
      <c r="V72" s="134"/>
      <c r="W72" s="134"/>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row>
    <row r="73" spans="1:52">
      <c r="A73" s="9"/>
      <c r="B73" s="7"/>
      <c r="C73" s="7"/>
      <c r="D73" s="7"/>
      <c r="E73" s="7"/>
      <c r="F73" s="7"/>
      <c r="G73" s="7"/>
      <c r="H73" s="7"/>
      <c r="I73" s="7"/>
      <c r="J73" s="7"/>
      <c r="K73" s="7"/>
      <c r="L73" s="7"/>
      <c r="M73" s="7"/>
      <c r="N73" s="7"/>
      <c r="O73" s="7"/>
      <c r="P73" s="8"/>
      <c r="Q73" s="7"/>
      <c r="R73" s="7"/>
      <c r="S73" s="7"/>
      <c r="T73" s="7"/>
      <c r="U73" s="7"/>
      <c r="V73" s="134"/>
      <c r="W73" s="134"/>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row>
    <row r="74" spans="1:52">
      <c r="A74" s="9"/>
      <c r="B74" s="7"/>
      <c r="C74" s="7"/>
      <c r="D74" s="7"/>
      <c r="E74" s="7"/>
      <c r="F74" s="7"/>
      <c r="G74" s="7"/>
      <c r="H74" s="7"/>
      <c r="I74" s="7"/>
      <c r="J74" s="7"/>
      <c r="K74" s="7"/>
      <c r="L74" s="7"/>
      <c r="M74" s="7"/>
      <c r="N74" s="7"/>
      <c r="O74" s="7"/>
      <c r="P74" s="8"/>
      <c r="Q74" s="7"/>
      <c r="R74" s="7"/>
      <c r="S74" s="7"/>
      <c r="T74" s="7"/>
      <c r="U74" s="7"/>
      <c r="V74" s="134"/>
      <c r="W74" s="134"/>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row>
    <row r="75" spans="1:52">
      <c r="A75" s="9"/>
      <c r="B75" s="7"/>
      <c r="C75" s="7"/>
      <c r="D75" s="7"/>
      <c r="E75" s="7"/>
      <c r="F75" s="7"/>
      <c r="G75" s="7"/>
      <c r="H75" s="7"/>
      <c r="I75" s="7"/>
      <c r="J75" s="7"/>
      <c r="K75" s="7"/>
      <c r="L75" s="7"/>
      <c r="M75" s="7"/>
      <c r="N75" s="7"/>
      <c r="O75" s="7"/>
      <c r="P75" s="8"/>
      <c r="Q75" s="7"/>
      <c r="R75" s="7"/>
      <c r="S75" s="7"/>
      <c r="T75" s="7"/>
      <c r="U75" s="7"/>
      <c r="V75" s="134"/>
      <c r="W75" s="134"/>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row>
    <row r="76" spans="1:52">
      <c r="A76" s="7"/>
      <c r="B76" s="7"/>
      <c r="C76" s="7"/>
      <c r="D76" s="7"/>
      <c r="E76" s="7"/>
      <c r="F76" s="7"/>
      <c r="G76" s="7"/>
      <c r="H76" s="7"/>
      <c r="I76" s="7"/>
      <c r="J76" s="7"/>
      <c r="K76" s="7"/>
      <c r="L76" s="7"/>
      <c r="M76" s="7"/>
      <c r="N76" s="7"/>
      <c r="O76" s="7"/>
      <c r="P76" s="8"/>
      <c r="Q76" s="7"/>
      <c r="R76" s="7"/>
      <c r="S76" s="7"/>
      <c r="T76" s="7"/>
      <c r="U76" s="7"/>
      <c r="V76" s="134"/>
      <c r="W76" s="134"/>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row>
    <row r="77" spans="1:52">
      <c r="A77" s="7"/>
      <c r="B77" s="7"/>
      <c r="C77" s="7"/>
      <c r="D77" s="7"/>
      <c r="E77" s="7"/>
      <c r="F77" s="7"/>
      <c r="G77" s="7"/>
      <c r="H77" s="7"/>
      <c r="I77" s="7"/>
      <c r="J77" s="7"/>
      <c r="K77" s="7"/>
      <c r="L77" s="7"/>
      <c r="M77" s="7"/>
      <c r="N77" s="7"/>
      <c r="O77" s="7"/>
      <c r="P77" s="8"/>
      <c r="Q77" s="7"/>
      <c r="R77" s="7"/>
      <c r="S77" s="7"/>
      <c r="T77" s="7"/>
      <c r="U77" s="7"/>
      <c r="V77" s="134"/>
      <c r="W77" s="134"/>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row>
    <row r="78" spans="1:52">
      <c r="A78" s="7"/>
      <c r="B78" s="7"/>
      <c r="C78" s="7"/>
      <c r="D78" s="7"/>
      <c r="E78" s="7"/>
      <c r="F78" s="7"/>
      <c r="G78" s="7"/>
      <c r="H78" s="7"/>
      <c r="I78" s="7"/>
      <c r="J78" s="7"/>
      <c r="K78" s="7"/>
      <c r="L78" s="7"/>
      <c r="M78" s="7"/>
      <c r="N78" s="7"/>
      <c r="O78" s="7"/>
      <c r="P78" s="8"/>
      <c r="Q78" s="7"/>
      <c r="R78" s="7"/>
      <c r="S78" s="7"/>
      <c r="T78" s="7"/>
      <c r="U78" s="7"/>
      <c r="V78" s="134"/>
      <c r="W78" s="134"/>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row>
    <row r="79" spans="1:52">
      <c r="A79" s="7"/>
      <c r="B79" s="7"/>
      <c r="C79" s="7"/>
      <c r="D79" s="7"/>
      <c r="E79" s="7"/>
      <c r="F79" s="7"/>
      <c r="G79" s="7"/>
      <c r="H79" s="7"/>
      <c r="I79" s="7"/>
      <c r="J79" s="7"/>
      <c r="K79" s="7"/>
      <c r="L79" s="7"/>
      <c r="M79" s="7"/>
      <c r="N79" s="7"/>
      <c r="O79" s="7"/>
      <c r="P79" s="8"/>
      <c r="Q79" s="7"/>
      <c r="R79" s="7"/>
      <c r="S79" s="7"/>
      <c r="T79" s="7"/>
      <c r="U79" s="7"/>
      <c r="V79" s="134"/>
      <c r="W79" s="134"/>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row>
    <row r="80" spans="1:52">
      <c r="A80" s="18"/>
      <c r="B80" s="19"/>
      <c r="C80" s="20"/>
      <c r="D80" s="7"/>
      <c r="E80" s="7"/>
      <c r="F80" s="7"/>
      <c r="G80" s="7"/>
      <c r="H80" s="7"/>
      <c r="I80" s="7"/>
      <c r="J80" s="7"/>
      <c r="K80" s="7"/>
      <c r="L80" s="7"/>
      <c r="M80" s="7"/>
      <c r="N80" s="7"/>
      <c r="O80" s="7"/>
      <c r="P80" s="8"/>
      <c r="Q80" s="7"/>
      <c r="R80" s="7"/>
      <c r="S80" s="7"/>
      <c r="T80" s="7"/>
      <c r="U80" s="7"/>
      <c r="V80" s="134"/>
      <c r="W80" s="134"/>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row>
    <row r="81" spans="1:52" ht="16.5" customHeight="1">
      <c r="A81" s="21"/>
      <c r="B81" s="19"/>
      <c r="C81" s="19"/>
      <c r="D81" s="7"/>
      <c r="E81" s="7"/>
      <c r="F81" s="7"/>
      <c r="G81" s="7"/>
      <c r="H81" s="7"/>
      <c r="I81" s="7"/>
      <c r="J81" s="7"/>
      <c r="K81" s="7"/>
      <c r="L81" s="7"/>
      <c r="M81" s="7"/>
      <c r="N81" s="7"/>
      <c r="O81" s="7"/>
      <c r="P81" s="8"/>
      <c r="Q81" s="7"/>
      <c r="R81" s="7"/>
      <c r="S81" s="7"/>
      <c r="T81" s="7"/>
      <c r="U81" s="7"/>
      <c r="V81" s="134"/>
      <c r="W81" s="134"/>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row>
    <row r="82" spans="1:52" ht="16.5" customHeight="1">
      <c r="A82" s="21"/>
      <c r="B82" s="19"/>
      <c r="C82" s="19"/>
      <c r="D82" s="7"/>
      <c r="E82" s="7"/>
      <c r="F82" s="7"/>
      <c r="G82" s="7"/>
      <c r="H82" s="7"/>
      <c r="I82" s="7"/>
      <c r="J82" s="7"/>
      <c r="K82" s="7"/>
      <c r="L82" s="7"/>
      <c r="M82" s="7"/>
      <c r="N82" s="7"/>
      <c r="O82" s="7"/>
      <c r="P82" s="8"/>
      <c r="Q82" s="7"/>
      <c r="R82" s="7"/>
      <c r="S82" s="7"/>
      <c r="T82" s="7"/>
      <c r="U82" s="7"/>
      <c r="V82" s="134"/>
      <c r="W82" s="134"/>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row>
    <row r="83" spans="1:52">
      <c r="A83" s="22"/>
      <c r="B83" s="7"/>
      <c r="C83" s="23"/>
      <c r="D83" s="7"/>
      <c r="E83" s="7"/>
      <c r="F83" s="7"/>
      <c r="G83" s="7"/>
      <c r="H83" s="7"/>
      <c r="I83" s="7"/>
      <c r="J83" s="7"/>
      <c r="K83" s="7"/>
      <c r="L83" s="7"/>
      <c r="M83" s="7"/>
      <c r="N83" s="7"/>
      <c r="O83" s="7"/>
      <c r="P83" s="8"/>
      <c r="Q83" s="7"/>
      <c r="R83" s="7"/>
      <c r="S83" s="7"/>
      <c r="T83" s="7"/>
      <c r="U83" s="7"/>
      <c r="V83" s="134"/>
      <c r="W83" s="134"/>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row>
    <row r="84" spans="1:52">
      <c r="A84" s="22"/>
      <c r="B84" s="7"/>
      <c r="C84" s="23"/>
      <c r="D84" s="7"/>
      <c r="E84" s="7"/>
      <c r="F84" s="7"/>
      <c r="G84" s="7"/>
      <c r="H84" s="7"/>
      <c r="I84" s="7"/>
      <c r="J84" s="7"/>
      <c r="K84" s="7"/>
      <c r="L84" s="7"/>
      <c r="M84" s="7"/>
      <c r="N84" s="7"/>
      <c r="O84" s="7"/>
      <c r="P84" s="8"/>
      <c r="Q84" s="7"/>
      <c r="R84" s="7"/>
      <c r="S84" s="7"/>
      <c r="T84" s="7"/>
      <c r="U84" s="7"/>
      <c r="V84" s="134"/>
      <c r="W84" s="134"/>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row>
    <row r="85" spans="1:52">
      <c r="A85" s="22"/>
      <c r="B85" s="7"/>
      <c r="C85" s="23"/>
      <c r="D85" s="7"/>
      <c r="E85" s="7"/>
      <c r="F85" s="7"/>
      <c r="G85" s="7"/>
      <c r="H85" s="7"/>
      <c r="I85" s="7"/>
      <c r="J85" s="7"/>
      <c r="K85" s="7"/>
      <c r="L85" s="7"/>
      <c r="M85" s="7"/>
      <c r="N85" s="7"/>
      <c r="O85" s="24"/>
      <c r="P85" s="7"/>
      <c r="Q85" s="7"/>
      <c r="R85" s="7"/>
      <c r="S85" s="7"/>
      <c r="T85" s="7"/>
      <c r="U85" s="7"/>
      <c r="V85" s="134"/>
      <c r="W85" s="134"/>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row>
    <row r="86" spans="1:52">
      <c r="A86" s="22"/>
      <c r="B86" s="7"/>
      <c r="C86" s="23"/>
      <c r="D86" s="7"/>
      <c r="E86" s="7"/>
      <c r="F86" s="7"/>
      <c r="G86" s="7"/>
      <c r="H86" s="7"/>
      <c r="I86" s="7"/>
      <c r="J86" s="7"/>
      <c r="K86" s="7"/>
      <c r="L86" s="7"/>
      <c r="M86" s="7"/>
      <c r="N86" s="7"/>
      <c r="O86" s="7"/>
      <c r="P86" s="7"/>
      <c r="Q86" s="7"/>
      <c r="R86" s="7"/>
      <c r="S86" s="7"/>
      <c r="T86" s="7"/>
      <c r="U86" s="7"/>
      <c r="V86" s="134"/>
      <c r="W86" s="134"/>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row>
    <row r="87" spans="1:52">
      <c r="A87" s="22"/>
      <c r="B87" s="7"/>
      <c r="C87" s="23"/>
      <c r="D87" s="7"/>
      <c r="E87" s="7"/>
      <c r="F87" s="7"/>
      <c r="G87" s="7"/>
      <c r="H87" s="7"/>
      <c r="I87" s="7"/>
      <c r="J87" s="7"/>
      <c r="K87" s="7"/>
      <c r="L87" s="7"/>
      <c r="M87" s="7"/>
      <c r="N87" s="7"/>
      <c r="O87" s="7"/>
      <c r="P87" s="7"/>
      <c r="Q87" s="7"/>
      <c r="R87" s="7"/>
      <c r="S87" s="7"/>
      <c r="T87" s="7"/>
      <c r="U87" s="7"/>
      <c r="V87" s="134"/>
      <c r="W87" s="134"/>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row>
    <row r="88" spans="1:52">
      <c r="A88" s="7"/>
      <c r="B88" s="7"/>
      <c r="C88" s="7"/>
      <c r="D88" s="7"/>
      <c r="E88" s="7"/>
      <c r="F88" s="7"/>
      <c r="G88" s="7"/>
      <c r="H88" s="7"/>
      <c r="I88" s="7"/>
      <c r="J88" s="7"/>
      <c r="K88" s="7"/>
      <c r="L88" s="7"/>
      <c r="M88" s="7"/>
      <c r="N88" s="7"/>
      <c r="O88" s="7"/>
      <c r="P88" s="7"/>
      <c r="Q88" s="7"/>
      <c r="R88" s="7"/>
      <c r="S88" s="7"/>
      <c r="T88" s="7"/>
      <c r="U88" s="7"/>
      <c r="V88" s="134"/>
      <c r="W88" s="134"/>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row>
    <row r="89" spans="1:52">
      <c r="A89" s="7"/>
      <c r="B89" s="7"/>
      <c r="C89" s="7"/>
      <c r="D89" s="7"/>
      <c r="E89" s="7"/>
      <c r="F89" s="7"/>
      <c r="G89" s="7"/>
      <c r="H89" s="7"/>
      <c r="I89" s="7"/>
      <c r="J89" s="7"/>
      <c r="K89" s="7"/>
      <c r="L89" s="7"/>
      <c r="M89" s="7"/>
      <c r="N89" s="7"/>
      <c r="O89" s="7"/>
      <c r="P89" s="7"/>
      <c r="Q89" s="7"/>
      <c r="R89" s="7"/>
      <c r="S89" s="7"/>
      <c r="T89" s="7"/>
      <c r="U89" s="7"/>
      <c r="V89" s="134"/>
      <c r="W89" s="134"/>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row>
    <row r="90" spans="1:52">
      <c r="A90" s="7"/>
      <c r="B90" s="7"/>
      <c r="C90" s="7"/>
      <c r="D90" s="7"/>
      <c r="E90" s="7"/>
      <c r="F90" s="7"/>
      <c r="G90" s="7"/>
      <c r="H90" s="7"/>
      <c r="I90" s="7"/>
      <c r="J90" s="7"/>
      <c r="K90" s="7"/>
      <c r="L90" s="7"/>
      <c r="M90" s="7"/>
      <c r="N90" s="7"/>
      <c r="O90" s="7"/>
      <c r="P90" s="7"/>
      <c r="Q90" s="7"/>
      <c r="R90" s="7"/>
      <c r="S90" s="7"/>
      <c r="T90" s="7"/>
      <c r="U90" s="7"/>
      <c r="V90" s="134"/>
      <c r="W90" s="134"/>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row>
    <row r="91" spans="1:52">
      <c r="A91" s="7"/>
      <c r="B91" s="7"/>
      <c r="C91" s="7"/>
      <c r="D91" s="7"/>
      <c r="E91" s="7"/>
      <c r="F91" s="7"/>
      <c r="G91" s="7"/>
      <c r="H91" s="7"/>
      <c r="I91" s="7"/>
      <c r="J91" s="7"/>
      <c r="K91" s="7"/>
      <c r="L91" s="7"/>
      <c r="M91" s="7"/>
      <c r="N91" s="7"/>
      <c r="O91" s="7"/>
      <c r="P91" s="7"/>
      <c r="Q91" s="7"/>
      <c r="R91" s="7"/>
      <c r="S91" s="7"/>
      <c r="T91" s="7"/>
      <c r="U91" s="7"/>
      <c r="V91" s="134"/>
      <c r="W91" s="134"/>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row>
    <row r="92" spans="1:52">
      <c r="A92" s="7"/>
      <c r="B92" s="7"/>
      <c r="C92" s="7"/>
      <c r="D92" s="7"/>
      <c r="E92" s="7"/>
      <c r="F92" s="7"/>
      <c r="G92" s="7"/>
      <c r="H92" s="7"/>
      <c r="I92" s="7"/>
      <c r="J92" s="7"/>
      <c r="K92" s="7"/>
      <c r="L92" s="7"/>
      <c r="M92" s="7"/>
      <c r="N92" s="7"/>
      <c r="O92" s="7"/>
      <c r="P92" s="7"/>
      <c r="Q92" s="7"/>
      <c r="R92" s="7"/>
      <c r="S92" s="7"/>
      <c r="T92" s="7"/>
      <c r="U92" s="7"/>
      <c r="V92" s="134"/>
      <c r="W92" s="134"/>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row>
    <row r="93" spans="1:52">
      <c r="A93" s="7"/>
      <c r="B93" s="7"/>
      <c r="C93" s="7"/>
      <c r="D93" s="7"/>
      <c r="E93" s="7"/>
      <c r="F93" s="7"/>
      <c r="G93" s="7"/>
      <c r="H93" s="7"/>
      <c r="I93" s="7"/>
      <c r="J93" s="7"/>
      <c r="K93" s="7"/>
      <c r="L93" s="7"/>
      <c r="M93" s="7"/>
      <c r="N93" s="7"/>
      <c r="O93" s="7"/>
      <c r="P93" s="7"/>
      <c r="Q93" s="7"/>
      <c r="R93" s="7"/>
      <c r="S93" s="7"/>
      <c r="T93" s="7"/>
      <c r="U93" s="7"/>
      <c r="V93" s="134"/>
      <c r="W93" s="134"/>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row>
    <row r="94" spans="1:52">
      <c r="A94" s="7"/>
      <c r="B94" s="7"/>
      <c r="C94" s="145"/>
      <c r="D94" s="7"/>
      <c r="E94" s="7"/>
      <c r="F94" s="7"/>
      <c r="G94" s="7"/>
      <c r="H94" s="7"/>
      <c r="I94" s="7"/>
      <c r="J94" s="7"/>
      <c r="K94" s="7"/>
      <c r="L94" s="7"/>
      <c r="M94" s="7"/>
      <c r="N94" s="7"/>
      <c r="O94" s="7"/>
      <c r="P94" s="7"/>
      <c r="Q94" s="7"/>
      <c r="R94" s="7"/>
      <c r="S94" s="7"/>
      <c r="T94" s="7"/>
      <c r="U94" s="7"/>
      <c r="V94" s="134"/>
      <c r="W94" s="134"/>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row>
    <row r="95" spans="1:52">
      <c r="A95" s="7"/>
      <c r="B95" s="7"/>
      <c r="C95" s="145"/>
      <c r="D95" s="7"/>
      <c r="E95" s="7"/>
      <c r="F95" s="7"/>
      <c r="G95" s="7"/>
      <c r="H95" s="7"/>
      <c r="I95" s="7"/>
      <c r="J95" s="7"/>
      <c r="K95" s="7"/>
      <c r="L95" s="7"/>
      <c r="M95" s="7"/>
      <c r="N95" s="7"/>
      <c r="O95" s="7"/>
      <c r="P95" s="7"/>
      <c r="Q95" s="7"/>
      <c r="R95" s="7"/>
      <c r="S95" s="7"/>
      <c r="T95" s="7"/>
      <c r="U95" s="7"/>
      <c r="V95" s="134"/>
      <c r="W95" s="134"/>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row>
    <row r="96" spans="1:52">
      <c r="A96" s="7"/>
      <c r="B96" s="7"/>
      <c r="C96" s="7"/>
      <c r="D96" s="7"/>
      <c r="E96" s="7"/>
      <c r="F96" s="7"/>
      <c r="G96" s="7"/>
      <c r="H96" s="7"/>
      <c r="I96" s="7"/>
      <c r="J96" s="7"/>
      <c r="K96" s="7"/>
      <c r="L96" s="7"/>
      <c r="M96" s="7"/>
      <c r="N96" s="7"/>
      <c r="O96" s="7"/>
      <c r="P96" s="7"/>
      <c r="Q96" s="7"/>
      <c r="R96" s="7"/>
      <c r="S96" s="7"/>
      <c r="T96" s="7"/>
      <c r="U96" s="7"/>
      <c r="V96" s="134"/>
      <c r="W96" s="134"/>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row>
    <row r="97" spans="1:52">
      <c r="A97" s="7"/>
      <c r="B97" s="7"/>
      <c r="C97" s="145"/>
      <c r="D97" s="7"/>
      <c r="E97" s="7"/>
      <c r="F97" s="7"/>
      <c r="G97" s="7"/>
      <c r="H97" s="7"/>
      <c r="I97" s="7"/>
      <c r="J97" s="7"/>
      <c r="K97" s="7"/>
      <c r="L97" s="7"/>
      <c r="M97" s="7"/>
      <c r="N97" s="7"/>
      <c r="O97" s="7"/>
      <c r="P97" s="7"/>
      <c r="Q97" s="7"/>
      <c r="R97" s="7"/>
      <c r="S97" s="7"/>
      <c r="T97" s="7"/>
      <c r="U97" s="7"/>
      <c r="V97" s="134"/>
      <c r="W97" s="134"/>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row>
    <row r="98" spans="1:52">
      <c r="A98" s="7"/>
      <c r="B98" s="7"/>
      <c r="C98" s="7"/>
      <c r="D98" s="7"/>
      <c r="E98" s="7"/>
      <c r="F98" s="7"/>
      <c r="G98" s="7"/>
      <c r="H98" s="7"/>
      <c r="I98" s="7"/>
      <c r="J98" s="7"/>
      <c r="K98" s="7"/>
      <c r="L98" s="7"/>
      <c r="M98" s="7"/>
      <c r="N98" s="7"/>
      <c r="O98" s="7"/>
      <c r="P98" s="7"/>
      <c r="Q98" s="7"/>
      <c r="R98" s="7"/>
      <c r="S98" s="7"/>
      <c r="T98" s="7"/>
      <c r="U98" s="7"/>
      <c r="V98" s="134"/>
      <c r="W98" s="134"/>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row>
    <row r="99" spans="1:52">
      <c r="C99" s="10"/>
    </row>
  </sheetData>
  <dataConsolidate/>
  <mergeCells count="72">
    <mergeCell ref="A39:O39"/>
    <mergeCell ref="A40:N40"/>
    <mergeCell ref="A41:O41"/>
    <mergeCell ref="A42:N42"/>
    <mergeCell ref="M67:N67"/>
    <mergeCell ref="A58:O58"/>
    <mergeCell ref="M53:O57"/>
    <mergeCell ref="A57:L57"/>
    <mergeCell ref="M61:O61"/>
    <mergeCell ref="M64:N64"/>
    <mergeCell ref="A59:L59"/>
    <mergeCell ref="M59:O59"/>
    <mergeCell ref="A50:O50"/>
    <mergeCell ref="A51:B54"/>
    <mergeCell ref="C51:L54"/>
    <mergeCell ref="M51:O51"/>
    <mergeCell ref="A55:B56"/>
    <mergeCell ref="C55:L56"/>
    <mergeCell ref="A1:O1"/>
    <mergeCell ref="A2:O2"/>
    <mergeCell ref="A3:O3"/>
    <mergeCell ref="A4:A10"/>
    <mergeCell ref="I4:N4"/>
    <mergeCell ref="I5:N5"/>
    <mergeCell ref="I6:N6"/>
    <mergeCell ref="I7:N7"/>
    <mergeCell ref="I8:N8"/>
    <mergeCell ref="I9:N9"/>
    <mergeCell ref="I10:N10"/>
    <mergeCell ref="B4:E10"/>
    <mergeCell ref="A38:N38"/>
    <mergeCell ref="A24:O24"/>
    <mergeCell ref="A36:N36"/>
    <mergeCell ref="A37:O37"/>
    <mergeCell ref="M11:O11"/>
    <mergeCell ref="J11:L11"/>
    <mergeCell ref="C11:H11"/>
    <mergeCell ref="A25:O25"/>
    <mergeCell ref="A33:O33"/>
    <mergeCell ref="A34:N34"/>
    <mergeCell ref="A32:M32"/>
    <mergeCell ref="A27:A31"/>
    <mergeCell ref="F4:H10"/>
    <mergeCell ref="A35:O35"/>
    <mergeCell ref="A13:O13"/>
    <mergeCell ref="A15:O15"/>
    <mergeCell ref="A17:A21"/>
    <mergeCell ref="A22:M22"/>
    <mergeCell ref="A12:O12"/>
    <mergeCell ref="A23:O23"/>
    <mergeCell ref="A14:O14"/>
    <mergeCell ref="A43:O43"/>
    <mergeCell ref="A44:N44"/>
    <mergeCell ref="A46:O46"/>
    <mergeCell ref="A47:N47"/>
    <mergeCell ref="A45:O45"/>
    <mergeCell ref="A68:O68"/>
    <mergeCell ref="A48:O48"/>
    <mergeCell ref="A49:L49"/>
    <mergeCell ref="M49:N49"/>
    <mergeCell ref="M63:O63"/>
    <mergeCell ref="A66:L66"/>
    <mergeCell ref="M66:O66"/>
    <mergeCell ref="A60:L60"/>
    <mergeCell ref="A61:L61"/>
    <mergeCell ref="A63:L63"/>
    <mergeCell ref="A64:L64"/>
    <mergeCell ref="A67:L67"/>
    <mergeCell ref="A62:O62"/>
    <mergeCell ref="A65:O65"/>
    <mergeCell ref="M52:O52"/>
    <mergeCell ref="M60:O60"/>
  </mergeCells>
  <conditionalFormatting sqref="O22">
    <cfRule type="cellIs" dxfId="74" priority="40" operator="equal">
      <formula>100</formula>
    </cfRule>
  </conditionalFormatting>
  <conditionalFormatting sqref="O22">
    <cfRule type="cellIs" dxfId="73" priority="38" operator="equal">
      <formula>"NO CUMPLE"</formula>
    </cfRule>
    <cfRule type="cellIs" dxfId="72" priority="39" operator="equal">
      <formula>"CUMPLE"</formula>
    </cfRule>
  </conditionalFormatting>
  <conditionalFormatting sqref="P23">
    <cfRule type="cellIs" dxfId="71" priority="34" operator="equal">
      <formula>100</formula>
    </cfRule>
  </conditionalFormatting>
  <conditionalFormatting sqref="P23">
    <cfRule type="cellIs" dxfId="70" priority="32" operator="equal">
      <formula>"NO CUMPLE"</formula>
    </cfRule>
    <cfRule type="cellIs" dxfId="69" priority="33" operator="equal">
      <formula>"CUMPLE"</formula>
    </cfRule>
  </conditionalFormatting>
  <conditionalFormatting sqref="P45 P56 P50:P54">
    <cfRule type="cellIs" dxfId="68" priority="31" operator="equal">
      <formula>100</formula>
    </cfRule>
  </conditionalFormatting>
  <conditionalFormatting sqref="P45 P56 P50:P54">
    <cfRule type="cellIs" dxfId="67" priority="29" operator="equal">
      <formula>"NO CUMPLE"</formula>
    </cfRule>
    <cfRule type="cellIs" dxfId="66" priority="30" operator="equal">
      <formula>"CUMPLE"</formula>
    </cfRule>
  </conditionalFormatting>
  <conditionalFormatting sqref="O32">
    <cfRule type="cellIs" dxfId="65" priority="25" operator="equal">
      <formula>100</formula>
    </cfRule>
  </conditionalFormatting>
  <conditionalFormatting sqref="O32">
    <cfRule type="cellIs" dxfId="64" priority="23" operator="equal">
      <formula>"NO CUMPLE"</formula>
    </cfRule>
    <cfRule type="cellIs" dxfId="63" priority="24" operator="equal">
      <formula>"CUMPLE"</formula>
    </cfRule>
  </conditionalFormatting>
  <conditionalFormatting sqref="P32">
    <cfRule type="cellIs" dxfId="62" priority="22" operator="equal">
      <formula>100</formula>
    </cfRule>
  </conditionalFormatting>
  <conditionalFormatting sqref="P32">
    <cfRule type="cellIs" dxfId="61" priority="20" operator="equal">
      <formula>"NO CUMPLE"</formula>
    </cfRule>
    <cfRule type="cellIs" dxfId="60" priority="21" operator="equal">
      <formula>"CUMPLE"</formula>
    </cfRule>
  </conditionalFormatting>
  <conditionalFormatting sqref="P55">
    <cfRule type="cellIs" dxfId="59" priority="13" operator="equal">
      <formula>100</formula>
    </cfRule>
  </conditionalFormatting>
  <conditionalFormatting sqref="P55">
    <cfRule type="cellIs" dxfId="58" priority="11" operator="equal">
      <formula>"NO CUMPLE"</formula>
    </cfRule>
    <cfRule type="cellIs" dxfId="57" priority="12" operator="equal">
      <formula>"CUMPLE"</formula>
    </cfRule>
  </conditionalFormatting>
  <conditionalFormatting sqref="P57">
    <cfRule type="cellIs" dxfId="56" priority="10" operator="equal">
      <formula>100</formula>
    </cfRule>
  </conditionalFormatting>
  <conditionalFormatting sqref="P57">
    <cfRule type="cellIs" dxfId="55" priority="8" operator="equal">
      <formula>"NO CUMPLE"</formula>
    </cfRule>
    <cfRule type="cellIs" dxfId="54" priority="9" operator="equal">
      <formula>"CUMPLE"</formula>
    </cfRule>
  </conditionalFormatting>
  <conditionalFormatting sqref="O36">
    <cfRule type="containsText" dxfId="53" priority="3" operator="containsText" text="NO CUMPLE">
      <formula>NOT(ISERROR(SEARCH("NO CUMPLE",O36)))</formula>
    </cfRule>
  </conditionalFormatting>
  <conditionalFormatting sqref="O38">
    <cfRule type="containsText" dxfId="52" priority="2" operator="containsText" text="NO CUMPLE">
      <formula>NOT(ISERROR(SEARCH("NO CUMPLE",O38)))</formula>
    </cfRule>
  </conditionalFormatting>
  <conditionalFormatting sqref="O40">
    <cfRule type="containsText" dxfId="51" priority="1" operator="containsText" text="NO CUMPLE">
      <formula>NOT(ISERROR(SEARCH("NO CUMPLE",O40)))</formula>
    </cfRule>
  </conditionalFormatting>
  <dataValidations disablePrompts="1" count="2">
    <dataValidation type="list" allowBlank="1" showInputMessage="1" showErrorMessage="1" sqref="V1:V2" xr:uid="{4FA0A062-4061-4AA7-A73F-75D0D7395368}">
      <formula1>$V$1:$V$2</formula1>
    </dataValidation>
    <dataValidation type="list" allowBlank="1" showInputMessage="1" showErrorMessage="1" sqref="O50" xr:uid="{47ED97BB-56C0-4853-A3EA-C7DD9161244C}">
      <formula1>$R$4:$R$5</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3" max="14" man="1"/>
    <brk id="79" max="11" man="1"/>
  </rowBreaks>
  <ignoredErrors>
    <ignoredError sqref="N27 N31:N32 O32 N29"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4DE71-F7C5-4EE3-AD80-9F27AE2756D5}">
  <sheetPr>
    <tabColor rgb="FF50F828"/>
  </sheetPr>
  <dimension ref="A1:AZ99"/>
  <sheetViews>
    <sheetView topLeftCell="A59" zoomScale="55" zoomScaleNormal="55" zoomScaleSheetLayoutView="55" workbookViewId="0">
      <selection activeCell="A69" sqref="A69"/>
    </sheetView>
  </sheetViews>
  <sheetFormatPr baseColWidth="10" defaultColWidth="11.42578125" defaultRowHeight="16.5"/>
  <cols>
    <col min="1" max="1" width="22.42578125" style="1" bestFit="1" customWidth="1"/>
    <col min="2" max="2" width="25.42578125" style="1" bestFit="1" customWidth="1"/>
    <col min="3" max="3" width="22.5703125" style="1" customWidth="1"/>
    <col min="4" max="4" width="24.85546875" style="1" customWidth="1"/>
    <col min="5" max="5" width="25.7109375" style="1" customWidth="1"/>
    <col min="6" max="6" width="29.42578125" style="1" customWidth="1"/>
    <col min="7" max="7" width="25.85546875" style="1" customWidth="1"/>
    <col min="8" max="8" width="25.7109375" style="1" customWidth="1"/>
    <col min="9" max="9" width="38.5703125" style="1" customWidth="1"/>
    <col min="10" max="10" width="30.42578125" style="1" customWidth="1"/>
    <col min="11" max="11" width="33.42578125" style="1" customWidth="1"/>
    <col min="12" max="12" width="21.42578125" style="1" customWidth="1"/>
    <col min="13" max="13" width="26" style="1" customWidth="1"/>
    <col min="14" max="14" width="20.42578125" style="1" customWidth="1"/>
    <col min="15" max="15" width="26.42578125" style="1" bestFit="1" customWidth="1"/>
    <col min="16" max="17" width="6.7109375" style="1" customWidth="1"/>
    <col min="18" max="18" width="30" style="1" customWidth="1"/>
    <col min="19" max="21" width="18.7109375" style="1" customWidth="1"/>
    <col min="22" max="23" width="18.7109375" style="121" customWidth="1"/>
    <col min="24" max="57" width="18.7109375" style="1" customWidth="1"/>
    <col min="58" max="16384" width="11.42578125" style="1"/>
  </cols>
  <sheetData>
    <row r="1" spans="1:52" ht="27">
      <c r="A1" s="280" t="s">
        <v>45</v>
      </c>
      <c r="B1" s="281"/>
      <c r="C1" s="281"/>
      <c r="D1" s="281"/>
      <c r="E1" s="281"/>
      <c r="F1" s="281"/>
      <c r="G1" s="281"/>
      <c r="H1" s="281"/>
      <c r="I1" s="281"/>
      <c r="J1" s="281"/>
      <c r="K1" s="281"/>
      <c r="L1" s="281"/>
      <c r="M1" s="281"/>
      <c r="N1" s="281"/>
      <c r="O1" s="282"/>
      <c r="P1" s="7"/>
      <c r="Q1" s="7"/>
      <c r="R1" s="7"/>
      <c r="S1" s="7"/>
      <c r="T1" s="7"/>
      <c r="U1" s="135"/>
      <c r="V1" s="134"/>
      <c r="W1" s="134"/>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row>
    <row r="2" spans="1:52" ht="23.25">
      <c r="A2" s="283" t="str">
        <f>'RESUMEN P1'!B7</f>
        <v>PROCESO DE LICITACIÓN PÚBLICA 24001224 H1 2024</v>
      </c>
      <c r="B2" s="284"/>
      <c r="C2" s="284"/>
      <c r="D2" s="284"/>
      <c r="E2" s="284"/>
      <c r="F2" s="284"/>
      <c r="G2" s="284"/>
      <c r="H2" s="284"/>
      <c r="I2" s="284"/>
      <c r="J2" s="284"/>
      <c r="K2" s="284"/>
      <c r="L2" s="284"/>
      <c r="M2" s="284"/>
      <c r="N2" s="284"/>
      <c r="O2" s="285"/>
      <c r="P2" s="7"/>
      <c r="Q2" s="7"/>
      <c r="R2" s="7"/>
      <c r="S2" s="7"/>
      <c r="T2" s="7"/>
      <c r="U2" s="135"/>
      <c r="V2" s="134"/>
      <c r="W2" s="134"/>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row>
    <row r="3" spans="1:52" ht="71.45" customHeight="1">
      <c r="A3" s="286" t="str">
        <f>'RESUMEN P1'!B6</f>
        <v>REALIZAR EL SUMINISTRO E INSTALACIÓN DE LOS SISTEMAS DE AYUDAS VISUALES Y SUS OBRAS
COMPLEMENTARIAS PARA EL AEROPUERTO PERALES DE IBAGUÉ, TOLIMA (VF)</v>
      </c>
      <c r="B3" s="287"/>
      <c r="C3" s="287"/>
      <c r="D3" s="287"/>
      <c r="E3" s="287"/>
      <c r="F3" s="287"/>
      <c r="G3" s="287"/>
      <c r="H3" s="287"/>
      <c r="I3" s="287"/>
      <c r="J3" s="287"/>
      <c r="K3" s="287"/>
      <c r="L3" s="287"/>
      <c r="M3" s="287"/>
      <c r="N3" s="287"/>
      <c r="O3" s="288"/>
      <c r="P3" s="7"/>
      <c r="Q3" s="7"/>
      <c r="R3" s="7"/>
      <c r="S3" s="7"/>
      <c r="T3" s="7"/>
      <c r="U3" s="7"/>
      <c r="V3" s="134"/>
      <c r="W3" s="134"/>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row>
    <row r="4" spans="1:52" ht="21.95" customHeight="1">
      <c r="A4" s="289">
        <f>'RESUMEN P1'!B12</f>
        <v>2</v>
      </c>
      <c r="B4" s="304" t="str">
        <f>'RESUMEN P1'!C12</f>
        <v>RAPIDEXXUS</v>
      </c>
      <c r="C4" s="305"/>
      <c r="D4" s="305"/>
      <c r="E4" s="306"/>
      <c r="F4" s="255" t="s">
        <v>9</v>
      </c>
      <c r="G4" s="256"/>
      <c r="H4" s="257"/>
      <c r="I4" s="292" t="s">
        <v>10</v>
      </c>
      <c r="J4" s="293"/>
      <c r="K4" s="293"/>
      <c r="L4" s="293"/>
      <c r="M4" s="293"/>
      <c r="N4" s="294"/>
      <c r="O4" s="14" t="s">
        <v>39</v>
      </c>
      <c r="P4" s="7"/>
      <c r="Q4" s="7"/>
      <c r="R4" s="7"/>
      <c r="S4" s="7"/>
      <c r="T4" s="7"/>
      <c r="U4" s="7"/>
      <c r="V4" s="134"/>
      <c r="W4" s="134"/>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row>
    <row r="5" spans="1:52" ht="21.95" customHeight="1">
      <c r="A5" s="290"/>
      <c r="B5" s="307"/>
      <c r="C5" s="308"/>
      <c r="D5" s="308"/>
      <c r="E5" s="309"/>
      <c r="F5" s="258"/>
      <c r="G5" s="259"/>
      <c r="H5" s="260"/>
      <c r="I5" s="295" t="s">
        <v>258</v>
      </c>
      <c r="J5" s="296"/>
      <c r="K5" s="296"/>
      <c r="L5" s="296"/>
      <c r="M5" s="296"/>
      <c r="N5" s="297"/>
      <c r="O5" s="15">
        <v>1</v>
      </c>
      <c r="P5" s="7"/>
      <c r="Q5" s="7"/>
      <c r="R5" s="122" t="s">
        <v>125</v>
      </c>
      <c r="S5" s="124">
        <v>2024</v>
      </c>
      <c r="T5" s="124">
        <v>2023</v>
      </c>
      <c r="U5" s="124">
        <v>2022</v>
      </c>
      <c r="V5" s="124">
        <v>2021</v>
      </c>
      <c r="W5" s="124">
        <v>2020</v>
      </c>
      <c r="X5" s="124">
        <v>2019</v>
      </c>
      <c r="Y5" s="124">
        <v>2018</v>
      </c>
      <c r="Z5" s="124">
        <v>2017</v>
      </c>
      <c r="AA5" s="124">
        <v>2016</v>
      </c>
      <c r="AB5" s="124">
        <v>2015</v>
      </c>
      <c r="AC5" s="124">
        <v>2014</v>
      </c>
      <c r="AD5" s="124">
        <v>2013</v>
      </c>
      <c r="AE5" s="124">
        <v>2012</v>
      </c>
      <c r="AF5" s="124">
        <v>2011</v>
      </c>
      <c r="AG5" s="7"/>
      <c r="AH5" s="7"/>
      <c r="AI5" s="7"/>
      <c r="AJ5" s="7"/>
      <c r="AK5" s="7"/>
      <c r="AL5" s="7"/>
      <c r="AM5" s="7"/>
      <c r="AN5" s="7"/>
      <c r="AO5" s="7"/>
      <c r="AP5" s="7"/>
      <c r="AQ5" s="7"/>
      <c r="AR5" s="7"/>
      <c r="AS5" s="7"/>
      <c r="AT5" s="7"/>
      <c r="AU5" s="7"/>
      <c r="AV5" s="7"/>
      <c r="AW5" s="7"/>
      <c r="AX5" s="7"/>
      <c r="AY5" s="7"/>
      <c r="AZ5" s="7"/>
    </row>
    <row r="6" spans="1:52" ht="21.95" customHeight="1">
      <c r="A6" s="290"/>
      <c r="B6" s="307"/>
      <c r="C6" s="308"/>
      <c r="D6" s="308"/>
      <c r="E6" s="309"/>
      <c r="F6" s="258"/>
      <c r="G6" s="259"/>
      <c r="H6" s="260"/>
      <c r="I6" s="298"/>
      <c r="J6" s="299"/>
      <c r="K6" s="299"/>
      <c r="L6" s="299"/>
      <c r="M6" s="299"/>
      <c r="N6" s="300"/>
      <c r="O6" s="15"/>
      <c r="P6" s="7"/>
      <c r="Q6" s="7"/>
      <c r="R6" s="123" t="s">
        <v>127</v>
      </c>
      <c r="S6" s="125">
        <v>1300000</v>
      </c>
      <c r="T6" s="125">
        <v>1160000</v>
      </c>
      <c r="U6" s="125">
        <v>1000000</v>
      </c>
      <c r="V6" s="125">
        <v>908526</v>
      </c>
      <c r="W6" s="125">
        <v>877803</v>
      </c>
      <c r="X6" s="125">
        <v>828116</v>
      </c>
      <c r="Y6" s="125">
        <v>781242</v>
      </c>
      <c r="Z6" s="125">
        <v>737717</v>
      </c>
      <c r="AA6" s="125">
        <v>689455</v>
      </c>
      <c r="AB6" s="125">
        <v>644350</v>
      </c>
      <c r="AC6" s="125">
        <v>616000</v>
      </c>
      <c r="AD6" s="125">
        <v>589500</v>
      </c>
      <c r="AE6" s="125">
        <v>566700</v>
      </c>
      <c r="AF6" s="125">
        <v>535600</v>
      </c>
      <c r="AG6" s="7"/>
      <c r="AH6" s="7"/>
      <c r="AI6" s="7"/>
      <c r="AJ6" s="7"/>
      <c r="AK6" s="7"/>
      <c r="AL6" s="7"/>
      <c r="AM6" s="7"/>
      <c r="AN6" s="7"/>
      <c r="AO6" s="7"/>
      <c r="AP6" s="7"/>
      <c r="AQ6" s="7"/>
      <c r="AR6" s="7"/>
      <c r="AS6" s="7"/>
      <c r="AT6" s="7"/>
      <c r="AU6" s="7"/>
      <c r="AV6" s="7"/>
      <c r="AW6" s="7"/>
      <c r="AX6" s="7"/>
      <c r="AY6" s="7"/>
      <c r="AZ6" s="7"/>
    </row>
    <row r="7" spans="1:52" ht="21.95" customHeight="1">
      <c r="A7" s="290"/>
      <c r="B7" s="307"/>
      <c r="C7" s="308"/>
      <c r="D7" s="308"/>
      <c r="E7" s="309"/>
      <c r="F7" s="258"/>
      <c r="G7" s="259"/>
      <c r="H7" s="260"/>
      <c r="I7" s="298"/>
      <c r="J7" s="299"/>
      <c r="K7" s="299"/>
      <c r="L7" s="299"/>
      <c r="M7" s="299"/>
      <c r="N7" s="300"/>
      <c r="O7" s="15"/>
      <c r="P7" s="7"/>
      <c r="Q7" s="7"/>
      <c r="R7" s="122" t="s">
        <v>125</v>
      </c>
      <c r="S7" s="124">
        <v>2010</v>
      </c>
      <c r="T7" s="124">
        <v>2009</v>
      </c>
      <c r="U7" s="124">
        <v>2008</v>
      </c>
      <c r="V7" s="124">
        <v>2007</v>
      </c>
      <c r="W7" s="124">
        <v>2006</v>
      </c>
      <c r="X7" s="124">
        <v>2005</v>
      </c>
      <c r="Y7" s="124">
        <v>2004</v>
      </c>
      <c r="Z7" s="124">
        <v>2003</v>
      </c>
      <c r="AA7" s="124">
        <v>2002</v>
      </c>
      <c r="AB7" s="124">
        <v>2001</v>
      </c>
      <c r="AC7" s="124">
        <v>2000</v>
      </c>
      <c r="AD7" s="124">
        <v>1999</v>
      </c>
      <c r="AE7" s="124">
        <v>1998</v>
      </c>
      <c r="AF7" s="124">
        <v>1997</v>
      </c>
      <c r="AG7" s="7"/>
      <c r="AH7" s="7"/>
      <c r="AI7" s="7"/>
      <c r="AJ7" s="7"/>
      <c r="AK7" s="7"/>
      <c r="AL7" s="7"/>
      <c r="AM7" s="7"/>
      <c r="AN7" s="7"/>
      <c r="AO7" s="7"/>
      <c r="AP7" s="7"/>
      <c r="AQ7" s="7"/>
      <c r="AR7" s="7"/>
      <c r="AS7" s="7"/>
      <c r="AT7" s="7"/>
      <c r="AU7" s="7"/>
      <c r="AV7" s="7"/>
      <c r="AW7" s="7"/>
      <c r="AX7" s="7"/>
      <c r="AY7" s="7"/>
      <c r="AZ7" s="7"/>
    </row>
    <row r="8" spans="1:52" ht="21.95" customHeight="1">
      <c r="A8" s="290"/>
      <c r="B8" s="307"/>
      <c r="C8" s="308"/>
      <c r="D8" s="308"/>
      <c r="E8" s="309"/>
      <c r="F8" s="258"/>
      <c r="G8" s="259"/>
      <c r="H8" s="260"/>
      <c r="I8" s="298"/>
      <c r="J8" s="299"/>
      <c r="K8" s="299"/>
      <c r="L8" s="299"/>
      <c r="M8" s="299"/>
      <c r="N8" s="300"/>
      <c r="O8" s="15"/>
      <c r="P8" s="7"/>
      <c r="Q8" s="7"/>
      <c r="R8" s="123" t="s">
        <v>127</v>
      </c>
      <c r="S8" s="125">
        <v>515000</v>
      </c>
      <c r="T8" s="125">
        <v>496900</v>
      </c>
      <c r="U8" s="125">
        <v>461500</v>
      </c>
      <c r="V8" s="125">
        <v>433700</v>
      </c>
      <c r="W8" s="125">
        <v>408000</v>
      </c>
      <c r="X8" s="125">
        <v>381500</v>
      </c>
      <c r="Y8" s="125">
        <v>358000</v>
      </c>
      <c r="Z8" s="125">
        <v>332000</v>
      </c>
      <c r="AA8" s="125">
        <v>309000</v>
      </c>
      <c r="AB8" s="125">
        <v>286000</v>
      </c>
      <c r="AC8" s="125">
        <v>260100</v>
      </c>
      <c r="AD8" s="125">
        <v>236438</v>
      </c>
      <c r="AE8" s="125">
        <v>203825</v>
      </c>
      <c r="AF8" s="125">
        <v>172005</v>
      </c>
      <c r="AG8" s="7"/>
      <c r="AH8" s="7"/>
      <c r="AI8" s="7"/>
      <c r="AJ8" s="7"/>
      <c r="AK8" s="7"/>
      <c r="AL8" s="7"/>
      <c r="AM8" s="7"/>
      <c r="AN8" s="7"/>
      <c r="AO8" s="7"/>
      <c r="AP8" s="7"/>
      <c r="AQ8" s="7"/>
      <c r="AR8" s="7"/>
      <c r="AS8" s="7"/>
      <c r="AT8" s="7"/>
      <c r="AU8" s="7"/>
      <c r="AV8" s="7"/>
      <c r="AW8" s="7"/>
      <c r="AX8" s="7"/>
      <c r="AY8" s="7"/>
      <c r="AZ8" s="7"/>
    </row>
    <row r="9" spans="1:52" ht="21.95" customHeight="1">
      <c r="A9" s="290"/>
      <c r="B9" s="307"/>
      <c r="C9" s="308"/>
      <c r="D9" s="308"/>
      <c r="E9" s="309"/>
      <c r="F9" s="258"/>
      <c r="G9" s="259"/>
      <c r="H9" s="260"/>
      <c r="I9" s="298"/>
      <c r="J9" s="299"/>
      <c r="K9" s="299"/>
      <c r="L9" s="299"/>
      <c r="M9" s="299"/>
      <c r="N9" s="300"/>
      <c r="O9" s="15"/>
      <c r="P9" s="7"/>
      <c r="Q9" s="7"/>
      <c r="R9" s="122" t="s">
        <v>125</v>
      </c>
      <c r="S9" s="124">
        <v>1996</v>
      </c>
      <c r="T9" s="124">
        <v>1995</v>
      </c>
      <c r="U9" s="124">
        <v>1994</v>
      </c>
      <c r="V9" s="124">
        <v>1993</v>
      </c>
      <c r="W9" s="124">
        <v>1992</v>
      </c>
      <c r="X9" s="124">
        <v>1991</v>
      </c>
      <c r="Y9" s="124">
        <v>1990</v>
      </c>
      <c r="Z9" s="124"/>
      <c r="AA9" s="124"/>
      <c r="AB9" s="124"/>
      <c r="AC9" s="124"/>
      <c r="AD9" s="124"/>
      <c r="AE9" s="124"/>
      <c r="AF9" s="124"/>
      <c r="AG9" s="7"/>
      <c r="AH9" s="7"/>
      <c r="AI9" s="7"/>
      <c r="AJ9" s="7"/>
      <c r="AK9" s="7"/>
      <c r="AL9" s="7"/>
      <c r="AM9" s="7"/>
      <c r="AN9" s="7"/>
      <c r="AO9" s="7"/>
      <c r="AP9" s="7"/>
      <c r="AQ9" s="7"/>
      <c r="AR9" s="7"/>
      <c r="AS9" s="7"/>
      <c r="AT9" s="7"/>
      <c r="AU9" s="7"/>
      <c r="AV9" s="7"/>
      <c r="AW9" s="7"/>
      <c r="AX9" s="7"/>
      <c r="AY9" s="7"/>
      <c r="AZ9" s="7"/>
    </row>
    <row r="10" spans="1:52" ht="21.95" customHeight="1">
      <c r="A10" s="291"/>
      <c r="B10" s="310"/>
      <c r="C10" s="311"/>
      <c r="D10" s="311"/>
      <c r="E10" s="312"/>
      <c r="F10" s="261"/>
      <c r="G10" s="262"/>
      <c r="H10" s="263"/>
      <c r="I10" s="301" t="s">
        <v>11</v>
      </c>
      <c r="J10" s="302"/>
      <c r="K10" s="302"/>
      <c r="L10" s="302"/>
      <c r="M10" s="302"/>
      <c r="N10" s="303"/>
      <c r="O10" s="16">
        <f>+SUM(O5:O9)</f>
        <v>1</v>
      </c>
      <c r="P10" s="27"/>
      <c r="Q10" s="27"/>
      <c r="R10" s="123" t="s">
        <v>127</v>
      </c>
      <c r="S10" s="125">
        <v>142125</v>
      </c>
      <c r="T10" s="125">
        <v>118934</v>
      </c>
      <c r="U10" s="125">
        <v>98700</v>
      </c>
      <c r="V10" s="125">
        <v>81510</v>
      </c>
      <c r="W10" s="125">
        <v>65190</v>
      </c>
      <c r="X10" s="125">
        <v>51720</v>
      </c>
      <c r="Y10" s="125">
        <v>41025</v>
      </c>
      <c r="Z10" s="125"/>
      <c r="AA10" s="125"/>
      <c r="AB10" s="125"/>
      <c r="AC10" s="125"/>
      <c r="AD10" s="125"/>
      <c r="AE10" s="125"/>
      <c r="AF10" s="125"/>
      <c r="AG10" s="7"/>
      <c r="AH10" s="7"/>
      <c r="AI10" s="7"/>
      <c r="AJ10" s="7"/>
      <c r="AK10" s="7"/>
      <c r="AL10" s="7"/>
      <c r="AM10" s="7"/>
      <c r="AN10" s="7"/>
      <c r="AO10" s="7"/>
      <c r="AP10" s="7"/>
      <c r="AQ10" s="7"/>
      <c r="AR10" s="7"/>
      <c r="AS10" s="7"/>
      <c r="AT10" s="7"/>
      <c r="AU10" s="7"/>
      <c r="AV10" s="7"/>
      <c r="AW10" s="7"/>
      <c r="AX10" s="7"/>
      <c r="AY10" s="7"/>
      <c r="AZ10" s="7"/>
    </row>
    <row r="11" spans="1:52" ht="100.5" customHeight="1">
      <c r="A11" s="146" t="s">
        <v>38</v>
      </c>
      <c r="B11" s="13" t="s">
        <v>242</v>
      </c>
      <c r="C11" s="274" t="s">
        <v>12</v>
      </c>
      <c r="D11" s="275"/>
      <c r="E11" s="275"/>
      <c r="F11" s="275"/>
      <c r="G11" s="275"/>
      <c r="H11" s="276"/>
      <c r="I11" s="126">
        <f>'PPTO IBAGUE OFICIAL 2024'!K48</f>
        <v>5493701977</v>
      </c>
      <c r="J11" s="271" t="s">
        <v>13</v>
      </c>
      <c r="K11" s="272"/>
      <c r="L11" s="273"/>
      <c r="M11" s="268">
        <f>I11/S6</f>
        <v>4225.9245976923075</v>
      </c>
      <c r="N11" s="269"/>
      <c r="O11" s="270"/>
      <c r="P11" s="7"/>
      <c r="Q11" s="7"/>
      <c r="R11" s="7"/>
      <c r="S11" s="7"/>
      <c r="T11" s="136"/>
      <c r="U11" s="7"/>
      <c r="V11" s="134"/>
      <c r="W11" s="134"/>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row>
    <row r="12" spans="1:52" ht="26.1" customHeight="1">
      <c r="A12" s="267"/>
      <c r="B12" s="267"/>
      <c r="C12" s="267"/>
      <c r="D12" s="267"/>
      <c r="E12" s="267"/>
      <c r="F12" s="267"/>
      <c r="G12" s="267"/>
      <c r="H12" s="267"/>
      <c r="I12" s="267"/>
      <c r="J12" s="267"/>
      <c r="K12" s="267"/>
      <c r="L12" s="267"/>
      <c r="M12" s="267"/>
      <c r="N12" s="267"/>
      <c r="O12" s="267"/>
      <c r="P12" s="7"/>
      <c r="Q12" s="7"/>
      <c r="R12" s="7"/>
      <c r="S12" s="7"/>
      <c r="T12" s="136"/>
      <c r="U12" s="7"/>
      <c r="V12" s="134"/>
      <c r="W12" s="134"/>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row>
    <row r="13" spans="1:52" ht="33.75">
      <c r="A13" s="254" t="s">
        <v>14</v>
      </c>
      <c r="B13" s="254"/>
      <c r="C13" s="254"/>
      <c r="D13" s="254"/>
      <c r="E13" s="254"/>
      <c r="F13" s="254"/>
      <c r="G13" s="254"/>
      <c r="H13" s="254"/>
      <c r="I13" s="254"/>
      <c r="J13" s="254"/>
      <c r="K13" s="254"/>
      <c r="L13" s="254"/>
      <c r="M13" s="254"/>
      <c r="N13" s="254"/>
      <c r="O13" s="254"/>
      <c r="P13" s="7"/>
      <c r="Q13" s="7"/>
      <c r="R13" s="7"/>
      <c r="S13" s="7"/>
      <c r="T13" s="7"/>
      <c r="U13" s="7"/>
      <c r="V13" s="134"/>
      <c r="W13" s="134"/>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row>
    <row r="14" spans="1:52" ht="32.25" customHeight="1">
      <c r="A14" s="242" t="s">
        <v>44</v>
      </c>
      <c r="B14" s="242"/>
      <c r="C14" s="242"/>
      <c r="D14" s="242"/>
      <c r="E14" s="242"/>
      <c r="F14" s="242"/>
      <c r="G14" s="242"/>
      <c r="H14" s="242"/>
      <c r="I14" s="242"/>
      <c r="J14" s="242"/>
      <c r="K14" s="242"/>
      <c r="L14" s="242"/>
      <c r="M14" s="242"/>
      <c r="N14" s="242"/>
      <c r="O14" s="242"/>
      <c r="P14" s="7"/>
      <c r="Q14" s="7"/>
      <c r="R14" s="7"/>
      <c r="S14" s="7"/>
      <c r="T14" s="7"/>
      <c r="U14" s="7"/>
      <c r="V14" s="134"/>
      <c r="W14" s="134"/>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row>
    <row r="15" spans="1:52" ht="68.099999999999994" customHeight="1">
      <c r="A15" s="264" t="s">
        <v>241</v>
      </c>
      <c r="B15" s="264"/>
      <c r="C15" s="264"/>
      <c r="D15" s="264"/>
      <c r="E15" s="264"/>
      <c r="F15" s="264"/>
      <c r="G15" s="264"/>
      <c r="H15" s="264"/>
      <c r="I15" s="264"/>
      <c r="J15" s="264"/>
      <c r="K15" s="264"/>
      <c r="L15" s="264"/>
      <c r="M15" s="264"/>
      <c r="N15" s="264"/>
      <c r="O15" s="264"/>
      <c r="P15" s="7"/>
      <c r="Q15" s="7"/>
      <c r="R15" s="7"/>
      <c r="S15" s="7"/>
      <c r="T15" s="137"/>
      <c r="U15" s="138"/>
      <c r="V15" s="134"/>
      <c r="W15" s="134"/>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row>
    <row r="16" spans="1:52" ht="147.75" customHeight="1">
      <c r="A16" s="17" t="s">
        <v>46</v>
      </c>
      <c r="B16" s="2" t="s">
        <v>15</v>
      </c>
      <c r="C16" s="2" t="s">
        <v>16</v>
      </c>
      <c r="D16" s="2" t="s">
        <v>17</v>
      </c>
      <c r="E16" s="2" t="s">
        <v>18</v>
      </c>
      <c r="F16" s="2" t="s">
        <v>19</v>
      </c>
      <c r="G16" s="17" t="s">
        <v>243</v>
      </c>
      <c r="H16" s="2" t="s">
        <v>20</v>
      </c>
      <c r="I16" s="2" t="s">
        <v>21</v>
      </c>
      <c r="J16" s="2" t="s">
        <v>40</v>
      </c>
      <c r="K16" s="2" t="s">
        <v>22</v>
      </c>
      <c r="L16" s="2" t="s">
        <v>23</v>
      </c>
      <c r="M16" s="2" t="s">
        <v>41</v>
      </c>
      <c r="N16" s="2" t="s">
        <v>24</v>
      </c>
      <c r="O16" s="2" t="s">
        <v>25</v>
      </c>
      <c r="P16" s="25"/>
      <c r="Q16" s="25"/>
      <c r="R16" s="139"/>
      <c r="S16" s="139"/>
      <c r="T16" s="140"/>
      <c r="U16" s="138"/>
      <c r="V16" s="134"/>
      <c r="W16" s="134"/>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row>
    <row r="17" spans="1:52" ht="294" customHeight="1">
      <c r="A17" s="265">
        <f>M11</f>
        <v>4225.9245976923075</v>
      </c>
      <c r="B17" s="127" t="s">
        <v>26</v>
      </c>
      <c r="C17" s="147">
        <v>191</v>
      </c>
      <c r="D17" s="147" t="s">
        <v>259</v>
      </c>
      <c r="E17" s="3" t="s">
        <v>260</v>
      </c>
      <c r="F17" s="147" t="s">
        <v>7</v>
      </c>
      <c r="G17" s="147" t="s">
        <v>7</v>
      </c>
      <c r="H17" s="147" t="s">
        <v>7</v>
      </c>
      <c r="I17" s="147" t="str">
        <f>I5</f>
        <v>RAPIDEXXUS S.A.S</v>
      </c>
      <c r="J17" s="148">
        <v>44334</v>
      </c>
      <c r="K17" s="149">
        <v>3091615020.8000002</v>
      </c>
      <c r="L17" s="131">
        <v>4253.6099999999997</v>
      </c>
      <c r="M17" s="150">
        <v>0.8</v>
      </c>
      <c r="N17" s="128">
        <f t="shared" ref="N17:N19" si="0">IF(AND(G17="SI",H17="SI"),(L17*M17),0)</f>
        <v>3402.8879999999999</v>
      </c>
      <c r="O17" s="129" t="str">
        <f>+IF(AND(H17="SI",G17="SI"),"CUMPLE","NO CUMPLE")</f>
        <v>CUMPLE</v>
      </c>
      <c r="P17" s="25"/>
      <c r="Q17" s="25"/>
      <c r="R17" s="141"/>
      <c r="S17" s="25"/>
      <c r="T17" s="142"/>
      <c r="U17" s="7"/>
      <c r="V17" s="134"/>
      <c r="W17" s="134"/>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row>
    <row r="18" spans="1:52" ht="188.25" customHeight="1">
      <c r="A18" s="265"/>
      <c r="B18" s="127" t="s">
        <v>27</v>
      </c>
      <c r="C18" s="147">
        <v>41</v>
      </c>
      <c r="D18" s="147" t="s">
        <v>259</v>
      </c>
      <c r="E18" s="3" t="s">
        <v>261</v>
      </c>
      <c r="F18" s="147" t="s">
        <v>7</v>
      </c>
      <c r="G18" s="147" t="s">
        <v>7</v>
      </c>
      <c r="H18" s="147" t="s">
        <v>7</v>
      </c>
      <c r="I18" s="147" t="str">
        <f>I5</f>
        <v>RAPIDEXXUS S.A.S</v>
      </c>
      <c r="J18" s="148">
        <v>41183</v>
      </c>
      <c r="K18" s="149">
        <v>1045840858</v>
      </c>
      <c r="L18" s="132">
        <f>K18/AE6</f>
        <v>1845.4929557084877</v>
      </c>
      <c r="M18" s="150">
        <v>1</v>
      </c>
      <c r="N18" s="128">
        <f t="shared" si="0"/>
        <v>1845.4929557084877</v>
      </c>
      <c r="O18" s="129" t="str">
        <f>+IF(AND(H18="SI",G18="SI"),"CUMPLE","NO CUMPLE")</f>
        <v>CUMPLE</v>
      </c>
      <c r="P18" s="25"/>
      <c r="Q18" s="25"/>
      <c r="R18" s="141"/>
      <c r="S18" s="25"/>
      <c r="T18" s="142"/>
      <c r="U18" s="7"/>
      <c r="V18" s="134"/>
      <c r="W18" s="134"/>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row>
    <row r="19" spans="1:52" ht="256.5" customHeight="1">
      <c r="A19" s="265"/>
      <c r="B19" s="127" t="s">
        <v>28</v>
      </c>
      <c r="C19" s="147">
        <v>153</v>
      </c>
      <c r="D19" s="147" t="s">
        <v>259</v>
      </c>
      <c r="E19" s="3" t="s">
        <v>262</v>
      </c>
      <c r="F19" s="147" t="s">
        <v>7</v>
      </c>
      <c r="G19" s="147" t="s">
        <v>7</v>
      </c>
      <c r="H19" s="147" t="s">
        <v>7</v>
      </c>
      <c r="I19" s="147" t="str">
        <f>I5</f>
        <v>RAPIDEXXUS S.A.S</v>
      </c>
      <c r="J19" s="148">
        <v>42668</v>
      </c>
      <c r="K19" s="149">
        <v>2546880029</v>
      </c>
      <c r="L19" s="132">
        <f>K19/AA6</f>
        <v>3694.0482395515296</v>
      </c>
      <c r="M19" s="150">
        <v>1</v>
      </c>
      <c r="N19" s="128">
        <f t="shared" si="0"/>
        <v>3694.0482395515296</v>
      </c>
      <c r="O19" s="130" t="str">
        <f t="shared" ref="O19" si="1">+IF(AND(H19="SI",G19="SI"),"CUMPLE","NO CUMPLE")</f>
        <v>CUMPLE</v>
      </c>
      <c r="P19" s="25"/>
      <c r="Q19" s="25"/>
      <c r="R19" s="141"/>
      <c r="S19" s="25"/>
      <c r="T19" s="142"/>
      <c r="U19" s="7"/>
      <c r="V19" s="134"/>
      <c r="W19" s="134"/>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row>
    <row r="20" spans="1:52" ht="25.5">
      <c r="A20" s="265"/>
      <c r="B20" s="127"/>
      <c r="C20" s="147"/>
      <c r="D20" s="147"/>
      <c r="E20" s="3"/>
      <c r="F20" s="147"/>
      <c r="G20" s="147"/>
      <c r="H20" s="147"/>
      <c r="I20" s="147"/>
      <c r="J20" s="148"/>
      <c r="K20" s="149"/>
      <c r="L20" s="154"/>
      <c r="M20" s="150"/>
      <c r="N20" s="155"/>
      <c r="O20" s="127"/>
      <c r="P20" s="26"/>
      <c r="Q20" s="25"/>
      <c r="R20" s="141"/>
      <c r="S20" s="143"/>
      <c r="T20" s="142"/>
      <c r="U20" s="7"/>
      <c r="V20" s="134"/>
      <c r="W20" s="134"/>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row>
    <row r="21" spans="1:52" ht="25.5">
      <c r="A21" s="265"/>
      <c r="B21" s="127"/>
      <c r="C21" s="147"/>
      <c r="D21" s="3"/>
      <c r="E21" s="3"/>
      <c r="F21" s="147"/>
      <c r="G21" s="147"/>
      <c r="H21" s="147"/>
      <c r="I21" s="147"/>
      <c r="J21" s="148"/>
      <c r="K21" s="149"/>
      <c r="L21" s="154"/>
      <c r="M21" s="150"/>
      <c r="N21" s="155"/>
      <c r="O21" s="127"/>
      <c r="P21" s="25"/>
      <c r="Q21" s="25"/>
      <c r="R21" s="141"/>
      <c r="S21" s="143"/>
      <c r="T21" s="140"/>
      <c r="U21" s="7"/>
      <c r="V21" s="134"/>
      <c r="W21" s="134"/>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row>
    <row r="22" spans="1:52" ht="33" customHeight="1">
      <c r="A22" s="266" t="s">
        <v>42</v>
      </c>
      <c r="B22" s="266"/>
      <c r="C22" s="266"/>
      <c r="D22" s="266"/>
      <c r="E22" s="266"/>
      <c r="F22" s="266"/>
      <c r="G22" s="266"/>
      <c r="H22" s="266"/>
      <c r="I22" s="266"/>
      <c r="J22" s="266"/>
      <c r="K22" s="266"/>
      <c r="L22" s="266"/>
      <c r="M22" s="266"/>
      <c r="N22" s="11">
        <f>SUM(N17:N21)</f>
        <v>8942.4291952600179</v>
      </c>
      <c r="O22" s="12" t="str">
        <f>+IF(OR(O18="CUMPLE",O21="CUMPLE",O20="CUMPLE",O19="CUMPLE",O17="CUMPLE")*AND(N22&gt;=A17),"CUMPLE","NO CUMPLE")</f>
        <v>CUMPLE</v>
      </c>
      <c r="P22" s="25"/>
      <c r="Q22" s="25"/>
      <c r="R22" s="25"/>
      <c r="S22" s="25"/>
      <c r="T22" s="140"/>
      <c r="U22" s="7"/>
      <c r="V22" s="134"/>
      <c r="W22" s="134"/>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row>
    <row r="23" spans="1:52" ht="36" customHeight="1">
      <c r="A23" s="242" t="s">
        <v>43</v>
      </c>
      <c r="B23" s="242"/>
      <c r="C23" s="242"/>
      <c r="D23" s="242"/>
      <c r="E23" s="242"/>
      <c r="F23" s="242"/>
      <c r="G23" s="242"/>
      <c r="H23" s="242"/>
      <c r="I23" s="242"/>
      <c r="J23" s="242"/>
      <c r="K23" s="242"/>
      <c r="L23" s="242"/>
      <c r="M23" s="242"/>
      <c r="N23" s="242"/>
      <c r="O23" s="242"/>
      <c r="P23" s="5"/>
      <c r="Q23" s="25"/>
      <c r="R23" s="7"/>
      <c r="S23" s="25"/>
      <c r="T23" s="144"/>
      <c r="U23" s="7"/>
      <c r="V23" s="134"/>
      <c r="W23" s="134"/>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row>
    <row r="24" spans="1:52" ht="68.099999999999994" customHeight="1">
      <c r="A24" s="264" t="s">
        <v>248</v>
      </c>
      <c r="B24" s="264"/>
      <c r="C24" s="264"/>
      <c r="D24" s="264"/>
      <c r="E24" s="264"/>
      <c r="F24" s="264"/>
      <c r="G24" s="264"/>
      <c r="H24" s="264"/>
      <c r="I24" s="264"/>
      <c r="J24" s="264"/>
      <c r="K24" s="264"/>
      <c r="L24" s="264"/>
      <c r="M24" s="264"/>
      <c r="N24" s="264"/>
      <c r="O24" s="264"/>
      <c r="P24" s="7"/>
      <c r="Q24" s="7"/>
      <c r="R24" s="7"/>
      <c r="S24" s="7"/>
      <c r="T24" s="7"/>
      <c r="U24" s="7"/>
      <c r="V24" s="134"/>
      <c r="W24" s="134"/>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row>
    <row r="25" spans="1:52" ht="63.75" customHeight="1">
      <c r="A25" s="264" t="s">
        <v>249</v>
      </c>
      <c r="B25" s="264"/>
      <c r="C25" s="264"/>
      <c r="D25" s="264"/>
      <c r="E25" s="264"/>
      <c r="F25" s="264"/>
      <c r="G25" s="264"/>
      <c r="H25" s="264"/>
      <c r="I25" s="264"/>
      <c r="J25" s="264"/>
      <c r="K25" s="264"/>
      <c r="L25" s="264"/>
      <c r="M25" s="264"/>
      <c r="N25" s="264"/>
      <c r="O25" s="264"/>
      <c r="P25" s="7"/>
      <c r="Q25" s="7"/>
      <c r="R25" s="7"/>
      <c r="S25" s="7"/>
      <c r="T25" s="137"/>
      <c r="U25" s="7"/>
      <c r="V25" s="134"/>
      <c r="W25" s="134"/>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row>
    <row r="26" spans="1:52" ht="111" customHeight="1">
      <c r="A26" s="17" t="s">
        <v>31</v>
      </c>
      <c r="B26" s="2" t="s">
        <v>15</v>
      </c>
      <c r="C26" s="2" t="s">
        <v>16</v>
      </c>
      <c r="D26" s="2" t="s">
        <v>17</v>
      </c>
      <c r="E26" s="2" t="s">
        <v>18</v>
      </c>
      <c r="F26" s="2" t="s">
        <v>19</v>
      </c>
      <c r="G26" s="17" t="s">
        <v>243</v>
      </c>
      <c r="H26" s="2" t="s">
        <v>20</v>
      </c>
      <c r="I26" s="2" t="s">
        <v>21</v>
      </c>
      <c r="J26" s="2" t="s">
        <v>40</v>
      </c>
      <c r="K26" s="2" t="s">
        <v>22</v>
      </c>
      <c r="L26" s="2" t="s">
        <v>23</v>
      </c>
      <c r="M26" s="2" t="s">
        <v>41</v>
      </c>
      <c r="N26" s="2" t="s">
        <v>24</v>
      </c>
      <c r="O26" s="2" t="s">
        <v>25</v>
      </c>
      <c r="P26" s="25"/>
      <c r="Q26" s="25"/>
      <c r="R26" s="139"/>
      <c r="S26" s="139"/>
      <c r="T26" s="140"/>
      <c r="U26" s="7"/>
      <c r="V26" s="134"/>
      <c r="W26" s="134"/>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row>
    <row r="27" spans="1:52" ht="210" customHeight="1">
      <c r="A27" s="277">
        <f>M11*50%</f>
        <v>2112.9622988461538</v>
      </c>
      <c r="B27" s="127" t="s">
        <v>26</v>
      </c>
      <c r="C27" s="147">
        <v>41</v>
      </c>
      <c r="D27" s="147" t="s">
        <v>259</v>
      </c>
      <c r="E27" s="3" t="s">
        <v>261</v>
      </c>
      <c r="F27" s="147" t="s">
        <v>7</v>
      </c>
      <c r="G27" s="147" t="s">
        <v>7</v>
      </c>
      <c r="H27" s="147" t="s">
        <v>7</v>
      </c>
      <c r="I27" s="147" t="str">
        <f>I5</f>
        <v>RAPIDEXXUS S.A.S</v>
      </c>
      <c r="J27" s="148">
        <v>41183</v>
      </c>
      <c r="K27" s="149">
        <v>1045840858</v>
      </c>
      <c r="L27" s="132">
        <f>K27/AE6</f>
        <v>1845.4929557084877</v>
      </c>
      <c r="M27" s="150">
        <v>1</v>
      </c>
      <c r="N27" s="128">
        <f t="shared" ref="N27:N31" si="2">IF(AND(G27="SI",H27="SI"),(L27*M27),0)</f>
        <v>1845.4929557084877</v>
      </c>
      <c r="O27" s="129" t="str">
        <f>+IF(AND(H27="SI",G27="SI"),"CUMPLE","NO CUMPLE")</f>
        <v>CUMPLE</v>
      </c>
      <c r="P27" s="25"/>
      <c r="Q27" s="25"/>
      <c r="R27" s="139"/>
      <c r="S27" s="139"/>
      <c r="T27" s="140"/>
      <c r="U27" s="7"/>
      <c r="V27" s="134"/>
      <c r="W27" s="134"/>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row>
    <row r="28" spans="1:52" ht="222" customHeight="1">
      <c r="A28" s="278"/>
      <c r="B28" s="127" t="s">
        <v>27</v>
      </c>
      <c r="C28" s="147">
        <v>153</v>
      </c>
      <c r="D28" s="147" t="s">
        <v>259</v>
      </c>
      <c r="E28" s="3" t="s">
        <v>262</v>
      </c>
      <c r="F28" s="147" t="s">
        <v>7</v>
      </c>
      <c r="G28" s="147" t="s">
        <v>7</v>
      </c>
      <c r="H28" s="147" t="s">
        <v>7</v>
      </c>
      <c r="I28" s="147" t="str">
        <f>I5</f>
        <v>RAPIDEXXUS S.A.S</v>
      </c>
      <c r="J28" s="148">
        <v>42668</v>
      </c>
      <c r="K28" s="149">
        <v>2546880029</v>
      </c>
      <c r="L28" s="132">
        <f>K28/AA6</f>
        <v>3694.0482395515296</v>
      </c>
      <c r="M28" s="150">
        <v>1</v>
      </c>
      <c r="N28" s="128">
        <f t="shared" si="2"/>
        <v>3694.0482395515296</v>
      </c>
      <c r="O28" s="129" t="str">
        <f>+IF(AND(H28="SI",G28="SI"),"CUMPLE","NO CUMPLE")</f>
        <v>CUMPLE</v>
      </c>
      <c r="P28" s="25"/>
      <c r="Q28" s="25"/>
      <c r="R28" s="141"/>
      <c r="S28" s="25"/>
      <c r="T28" s="140"/>
      <c r="U28" s="7"/>
      <c r="V28" s="134"/>
      <c r="W28" s="134"/>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row>
    <row r="29" spans="1:52" ht="249.75" customHeight="1">
      <c r="A29" s="278"/>
      <c r="B29" s="127" t="s">
        <v>28</v>
      </c>
      <c r="C29" s="147">
        <v>204</v>
      </c>
      <c r="D29" s="147" t="s">
        <v>259</v>
      </c>
      <c r="E29" s="3" t="s">
        <v>263</v>
      </c>
      <c r="F29" s="147" t="s">
        <v>7</v>
      </c>
      <c r="G29" s="147" t="s">
        <v>7</v>
      </c>
      <c r="H29" s="147" t="s">
        <v>7</v>
      </c>
      <c r="I29" s="147" t="str">
        <f>I5</f>
        <v>RAPIDEXXUS S.A.S</v>
      </c>
      <c r="J29" s="148">
        <v>44847</v>
      </c>
      <c r="K29" s="149">
        <v>6224436264</v>
      </c>
      <c r="L29" s="132">
        <f>K29/U6</f>
        <v>6224.4362639999999</v>
      </c>
      <c r="M29" s="150">
        <v>1</v>
      </c>
      <c r="N29" s="128">
        <f t="shared" si="2"/>
        <v>6224.4362639999999</v>
      </c>
      <c r="O29" s="129" t="str">
        <f>+IF(AND(H29="SI",G29="SI"),"CUMPLE","NO CUMPLE")</f>
        <v>CUMPLE</v>
      </c>
      <c r="P29" s="25"/>
      <c r="Q29" s="25"/>
      <c r="R29" s="141"/>
      <c r="S29" s="25"/>
      <c r="T29" s="140"/>
      <c r="U29" s="7"/>
      <c r="V29" s="134"/>
      <c r="W29" s="134"/>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row>
    <row r="30" spans="1:52" ht="236.25" customHeight="1">
      <c r="A30" s="278"/>
      <c r="B30" s="127" t="s">
        <v>29</v>
      </c>
      <c r="C30" s="147">
        <v>68</v>
      </c>
      <c r="D30" s="147" t="s">
        <v>264</v>
      </c>
      <c r="E30" s="3" t="s">
        <v>265</v>
      </c>
      <c r="F30" s="147" t="s">
        <v>7</v>
      </c>
      <c r="G30" s="147" t="s">
        <v>7</v>
      </c>
      <c r="H30" s="147" t="s">
        <v>7</v>
      </c>
      <c r="I30" s="147" t="str">
        <f>I5</f>
        <v>RAPIDEXXUS S.A.S</v>
      </c>
      <c r="J30" s="148">
        <v>38364</v>
      </c>
      <c r="K30" s="149">
        <v>2353184261</v>
      </c>
      <c r="L30" s="131">
        <v>4959.71</v>
      </c>
      <c r="M30" s="150">
        <v>0.4</v>
      </c>
      <c r="N30" s="128">
        <f t="shared" si="2"/>
        <v>1983.884</v>
      </c>
      <c r="O30" s="129" t="str">
        <f>+IF(AND(H30="SI",G30="SI"),"CUMPLE","NO CUMPLE")</f>
        <v>CUMPLE</v>
      </c>
      <c r="P30" s="25"/>
      <c r="Q30" s="25"/>
      <c r="R30" s="141"/>
      <c r="S30" s="25"/>
      <c r="T30" s="140"/>
      <c r="U30" s="7"/>
      <c r="V30" s="134"/>
      <c r="W30" s="134"/>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row>
    <row r="31" spans="1:52" ht="287.25" customHeight="1">
      <c r="A31" s="279"/>
      <c r="B31" s="127" t="s">
        <v>30</v>
      </c>
      <c r="C31" s="147">
        <v>127</v>
      </c>
      <c r="D31" s="147" t="s">
        <v>259</v>
      </c>
      <c r="E31" s="3" t="s">
        <v>266</v>
      </c>
      <c r="F31" s="147" t="s">
        <v>7</v>
      </c>
      <c r="G31" s="147" t="s">
        <v>7</v>
      </c>
      <c r="H31" s="147" t="s">
        <v>7</v>
      </c>
      <c r="I31" s="147" t="str">
        <f>I5</f>
        <v>RAPIDEXXUS S.A.S</v>
      </c>
      <c r="J31" s="148">
        <v>37927</v>
      </c>
      <c r="K31" s="149">
        <v>606011913.60000002</v>
      </c>
      <c r="L31" s="131">
        <v>2281.67</v>
      </c>
      <c r="M31" s="150">
        <v>0.8</v>
      </c>
      <c r="N31" s="128">
        <f t="shared" si="2"/>
        <v>1825.3360000000002</v>
      </c>
      <c r="O31" s="129" t="str">
        <f>+IF(AND(H31="SI",G31="SI"),"CUMPLE","NO CUMPLE")</f>
        <v>CUMPLE</v>
      </c>
      <c r="P31" s="25"/>
      <c r="Q31" s="25"/>
      <c r="R31" s="141"/>
      <c r="S31" s="25"/>
      <c r="T31" s="140"/>
      <c r="U31" s="7"/>
      <c r="V31" s="134"/>
      <c r="W31" s="134"/>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row>
    <row r="32" spans="1:52" ht="36" customHeight="1">
      <c r="A32" s="266" t="s">
        <v>47</v>
      </c>
      <c r="B32" s="266"/>
      <c r="C32" s="266"/>
      <c r="D32" s="266"/>
      <c r="E32" s="266"/>
      <c r="F32" s="266"/>
      <c r="G32" s="266"/>
      <c r="H32" s="266"/>
      <c r="I32" s="266"/>
      <c r="J32" s="266"/>
      <c r="K32" s="266"/>
      <c r="L32" s="266"/>
      <c r="M32" s="266"/>
      <c r="N32" s="4">
        <f>SUM(N27:N31)</f>
        <v>15573.197459260016</v>
      </c>
      <c r="O32" s="12" t="str">
        <f>+IF(OR(O30="CUMPLE",O27="CUMPLE")*AND(N32&gt;=A27),"CUMPLE","NO CUMPLE")</f>
        <v>CUMPLE</v>
      </c>
      <c r="P32" s="5"/>
      <c r="Q32" s="25"/>
      <c r="R32" s="7"/>
      <c r="S32" s="25"/>
      <c r="T32" s="144"/>
      <c r="U32" s="7"/>
      <c r="V32" s="134"/>
      <c r="W32" s="134"/>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row>
    <row r="33" spans="1:52" ht="26.45" customHeight="1">
      <c r="A33" s="242" t="s">
        <v>131</v>
      </c>
      <c r="B33" s="242"/>
      <c r="C33" s="242"/>
      <c r="D33" s="242"/>
      <c r="E33" s="242"/>
      <c r="F33" s="242"/>
      <c r="G33" s="242"/>
      <c r="H33" s="242"/>
      <c r="I33" s="242"/>
      <c r="J33" s="242"/>
      <c r="K33" s="242"/>
      <c r="L33" s="242"/>
      <c r="M33" s="242"/>
      <c r="N33" s="242"/>
      <c r="O33" s="242"/>
      <c r="P33" s="25"/>
      <c r="Q33" s="25"/>
      <c r="R33" s="25"/>
      <c r="S33" s="25"/>
      <c r="T33" s="25"/>
      <c r="U33" s="7"/>
      <c r="V33" s="134"/>
      <c r="W33" s="134"/>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row>
    <row r="34" spans="1:52" ht="68.25" customHeight="1">
      <c r="A34" s="253" t="s">
        <v>132</v>
      </c>
      <c r="B34" s="253"/>
      <c r="C34" s="253"/>
      <c r="D34" s="253"/>
      <c r="E34" s="253"/>
      <c r="F34" s="253"/>
      <c r="G34" s="253"/>
      <c r="H34" s="253"/>
      <c r="I34" s="253"/>
      <c r="J34" s="253"/>
      <c r="K34" s="253"/>
      <c r="L34" s="253"/>
      <c r="M34" s="253"/>
      <c r="N34" s="253"/>
      <c r="O34" s="133" t="s">
        <v>8</v>
      </c>
      <c r="P34" s="25"/>
      <c r="Q34" s="25"/>
      <c r="R34" s="25"/>
      <c r="S34" s="25"/>
      <c r="T34" s="25"/>
      <c r="U34" s="7"/>
      <c r="V34" s="134"/>
      <c r="W34" s="134"/>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row>
    <row r="35" spans="1:52" ht="26.45" customHeight="1">
      <c r="A35" s="242" t="s">
        <v>274</v>
      </c>
      <c r="B35" s="242"/>
      <c r="C35" s="242"/>
      <c r="D35" s="242"/>
      <c r="E35" s="242"/>
      <c r="F35" s="242"/>
      <c r="G35" s="242"/>
      <c r="H35" s="242"/>
      <c r="I35" s="242"/>
      <c r="J35" s="242"/>
      <c r="K35" s="242"/>
      <c r="L35" s="242"/>
      <c r="M35" s="242"/>
      <c r="N35" s="242"/>
      <c r="O35" s="242"/>
      <c r="P35" s="25"/>
      <c r="Q35" s="25"/>
      <c r="R35" s="25"/>
      <c r="S35" s="25"/>
      <c r="T35" s="25"/>
      <c r="U35" s="7"/>
      <c r="V35" s="134"/>
      <c r="W35" s="134"/>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row>
    <row r="36" spans="1:52" ht="68.25" customHeight="1">
      <c r="A36" s="253" t="s">
        <v>250</v>
      </c>
      <c r="B36" s="253"/>
      <c r="C36" s="253"/>
      <c r="D36" s="253"/>
      <c r="E36" s="253"/>
      <c r="F36" s="253"/>
      <c r="G36" s="253"/>
      <c r="H36" s="253"/>
      <c r="I36" s="253"/>
      <c r="J36" s="253"/>
      <c r="K36" s="253"/>
      <c r="L36" s="253"/>
      <c r="M36" s="253"/>
      <c r="N36" s="253"/>
      <c r="O36" s="133" t="s">
        <v>8</v>
      </c>
      <c r="P36" s="25"/>
      <c r="Q36" s="25"/>
      <c r="R36" s="25"/>
      <c r="S36" s="25"/>
      <c r="T36" s="25"/>
      <c r="U36" s="7"/>
      <c r="V36" s="134"/>
      <c r="W36" s="134"/>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row>
    <row r="37" spans="1:52" ht="26.45" customHeight="1">
      <c r="A37" s="242" t="s">
        <v>251</v>
      </c>
      <c r="B37" s="242"/>
      <c r="C37" s="242"/>
      <c r="D37" s="242"/>
      <c r="E37" s="242"/>
      <c r="F37" s="242"/>
      <c r="G37" s="242"/>
      <c r="H37" s="242"/>
      <c r="I37" s="242"/>
      <c r="J37" s="242"/>
      <c r="K37" s="242"/>
      <c r="L37" s="242"/>
      <c r="M37" s="242"/>
      <c r="N37" s="242"/>
      <c r="O37" s="242"/>
      <c r="P37" s="25"/>
      <c r="Q37" s="25"/>
      <c r="R37" s="25"/>
      <c r="S37" s="25"/>
      <c r="T37" s="25"/>
      <c r="U37" s="7"/>
      <c r="V37" s="134"/>
      <c r="W37" s="134"/>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row>
    <row r="38" spans="1:52" ht="68.25" customHeight="1">
      <c r="A38" s="253" t="s">
        <v>252</v>
      </c>
      <c r="B38" s="253"/>
      <c r="C38" s="253"/>
      <c r="D38" s="253"/>
      <c r="E38" s="253"/>
      <c r="F38" s="253"/>
      <c r="G38" s="253"/>
      <c r="H38" s="253"/>
      <c r="I38" s="253"/>
      <c r="J38" s="253"/>
      <c r="K38" s="253"/>
      <c r="L38" s="253"/>
      <c r="M38" s="253"/>
      <c r="N38" s="253"/>
      <c r="O38" s="133" t="s">
        <v>8</v>
      </c>
      <c r="P38" s="25"/>
      <c r="Q38" s="25"/>
      <c r="R38" s="25"/>
      <c r="S38" s="25"/>
      <c r="T38" s="25"/>
      <c r="U38" s="7"/>
      <c r="V38" s="134"/>
      <c r="W38" s="134"/>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row>
    <row r="39" spans="1:52" ht="26.45" customHeight="1">
      <c r="A39" s="241" t="s">
        <v>253</v>
      </c>
      <c r="B39" s="242"/>
      <c r="C39" s="242"/>
      <c r="D39" s="242"/>
      <c r="E39" s="242"/>
      <c r="F39" s="242"/>
      <c r="G39" s="242"/>
      <c r="H39" s="242"/>
      <c r="I39" s="242"/>
      <c r="J39" s="242"/>
      <c r="K39" s="242"/>
      <c r="L39" s="242"/>
      <c r="M39" s="242"/>
      <c r="N39" s="242"/>
      <c r="O39" s="242"/>
      <c r="P39" s="25"/>
      <c r="Q39" s="25"/>
      <c r="R39" s="25"/>
      <c r="S39" s="25"/>
      <c r="T39" s="25"/>
      <c r="U39" s="7"/>
      <c r="V39" s="134"/>
      <c r="W39" s="134"/>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row>
    <row r="40" spans="1:52" ht="90" customHeight="1">
      <c r="A40" s="253" t="s">
        <v>254</v>
      </c>
      <c r="B40" s="253"/>
      <c r="C40" s="253"/>
      <c r="D40" s="253"/>
      <c r="E40" s="253"/>
      <c r="F40" s="253"/>
      <c r="G40" s="253"/>
      <c r="H40" s="253"/>
      <c r="I40" s="253"/>
      <c r="J40" s="253"/>
      <c r="K40" s="253"/>
      <c r="L40" s="253"/>
      <c r="M40" s="253"/>
      <c r="N40" s="253"/>
      <c r="O40" s="133" t="s">
        <v>8</v>
      </c>
      <c r="P40" s="25"/>
      <c r="Q40" s="25"/>
      <c r="R40" s="25"/>
      <c r="S40" s="25"/>
      <c r="T40" s="25"/>
      <c r="U40" s="7"/>
      <c r="V40" s="134"/>
      <c r="W40" s="134"/>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row>
    <row r="41" spans="1:52" ht="26.45" customHeight="1">
      <c r="A41" s="241" t="s">
        <v>275</v>
      </c>
      <c r="B41" s="242"/>
      <c r="C41" s="242"/>
      <c r="D41" s="242"/>
      <c r="E41" s="242"/>
      <c r="F41" s="242"/>
      <c r="G41" s="242"/>
      <c r="H41" s="242"/>
      <c r="I41" s="242"/>
      <c r="J41" s="242"/>
      <c r="K41" s="242"/>
      <c r="L41" s="242"/>
      <c r="M41" s="242"/>
      <c r="N41" s="242"/>
      <c r="O41" s="242"/>
      <c r="P41" s="25"/>
      <c r="Q41" s="25"/>
      <c r="R41" s="25"/>
      <c r="S41" s="25"/>
      <c r="T41" s="25"/>
      <c r="U41" s="7"/>
      <c r="V41" s="134"/>
      <c r="W41" s="134"/>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row>
    <row r="42" spans="1:52" ht="69.75" customHeight="1">
      <c r="A42" s="253" t="s">
        <v>255</v>
      </c>
      <c r="B42" s="253"/>
      <c r="C42" s="253"/>
      <c r="D42" s="253"/>
      <c r="E42" s="253"/>
      <c r="F42" s="253"/>
      <c r="G42" s="253"/>
      <c r="H42" s="253"/>
      <c r="I42" s="253"/>
      <c r="J42" s="253"/>
      <c r="K42" s="253"/>
      <c r="L42" s="253"/>
      <c r="M42" s="253"/>
      <c r="N42" s="253"/>
      <c r="O42" s="133" t="s">
        <v>8</v>
      </c>
      <c r="P42" s="25"/>
      <c r="Q42" s="25"/>
      <c r="R42" s="25"/>
      <c r="S42" s="25"/>
      <c r="T42" s="25"/>
      <c r="U42" s="7"/>
      <c r="V42" s="134"/>
      <c r="W42" s="134"/>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row>
    <row r="43" spans="1:52" ht="26.45" customHeight="1">
      <c r="A43" s="241" t="s">
        <v>133</v>
      </c>
      <c r="B43" s="242"/>
      <c r="C43" s="242"/>
      <c r="D43" s="242"/>
      <c r="E43" s="242"/>
      <c r="F43" s="242"/>
      <c r="G43" s="242"/>
      <c r="H43" s="242"/>
      <c r="I43" s="242"/>
      <c r="J43" s="242"/>
      <c r="K43" s="242"/>
      <c r="L43" s="242"/>
      <c r="M43" s="242"/>
      <c r="N43" s="242"/>
      <c r="O43" s="242"/>
      <c r="P43" s="25"/>
      <c r="Q43" s="25"/>
      <c r="R43" s="25"/>
      <c r="S43" s="25"/>
      <c r="T43" s="25"/>
      <c r="U43" s="7"/>
      <c r="V43" s="134"/>
      <c r="W43" s="134"/>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row>
    <row r="44" spans="1:52" ht="77.25" customHeight="1">
      <c r="A44" s="253" t="s">
        <v>134</v>
      </c>
      <c r="B44" s="253"/>
      <c r="C44" s="253"/>
      <c r="D44" s="253"/>
      <c r="E44" s="253"/>
      <c r="F44" s="253"/>
      <c r="G44" s="253"/>
      <c r="H44" s="253"/>
      <c r="I44" s="253"/>
      <c r="J44" s="253"/>
      <c r="K44" s="253"/>
      <c r="L44" s="253"/>
      <c r="M44" s="253"/>
      <c r="N44" s="253"/>
      <c r="O44" s="133" t="s">
        <v>8</v>
      </c>
      <c r="P44" s="25"/>
      <c r="Q44" s="25"/>
      <c r="R44" s="25"/>
      <c r="S44" s="25"/>
      <c r="T44" s="25"/>
      <c r="U44" s="7"/>
      <c r="V44" s="134"/>
      <c r="W44" s="134"/>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row>
    <row r="45" spans="1:52" ht="44.25" customHeight="1">
      <c r="A45" s="254" t="s">
        <v>135</v>
      </c>
      <c r="B45" s="254"/>
      <c r="C45" s="254"/>
      <c r="D45" s="254"/>
      <c r="E45" s="254"/>
      <c r="F45" s="254"/>
      <c r="G45" s="254"/>
      <c r="H45" s="254"/>
      <c r="I45" s="254"/>
      <c r="J45" s="254"/>
      <c r="K45" s="254"/>
      <c r="L45" s="254"/>
      <c r="M45" s="254"/>
      <c r="N45" s="254"/>
      <c r="O45" s="254"/>
      <c r="P45" s="6"/>
      <c r="Q45" s="7"/>
      <c r="R45" s="7"/>
      <c r="S45" s="7"/>
      <c r="T45" s="7"/>
      <c r="U45" s="7"/>
      <c r="V45" s="134"/>
      <c r="W45" s="134"/>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row>
    <row r="46" spans="1:52" ht="26.45" customHeight="1">
      <c r="A46" s="241" t="s">
        <v>141</v>
      </c>
      <c r="B46" s="242"/>
      <c r="C46" s="242"/>
      <c r="D46" s="242"/>
      <c r="E46" s="242"/>
      <c r="F46" s="242"/>
      <c r="G46" s="242"/>
      <c r="H46" s="242"/>
      <c r="I46" s="242"/>
      <c r="J46" s="242"/>
      <c r="K46" s="242"/>
      <c r="L46" s="242"/>
      <c r="M46" s="242"/>
      <c r="N46" s="242"/>
      <c r="O46" s="242"/>
      <c r="P46" s="25"/>
      <c r="Q46" s="25"/>
      <c r="R46" s="25"/>
      <c r="S46" s="25"/>
      <c r="T46" s="25"/>
      <c r="U46" s="7"/>
      <c r="V46" s="134"/>
      <c r="W46" s="134"/>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row>
    <row r="47" spans="1:52" ht="77.25" customHeight="1">
      <c r="A47" s="253" t="s">
        <v>155</v>
      </c>
      <c r="B47" s="253"/>
      <c r="C47" s="253"/>
      <c r="D47" s="253"/>
      <c r="E47" s="253"/>
      <c r="F47" s="253"/>
      <c r="G47" s="253"/>
      <c r="H47" s="253"/>
      <c r="I47" s="253"/>
      <c r="J47" s="253"/>
      <c r="K47" s="253"/>
      <c r="L47" s="253"/>
      <c r="M47" s="253"/>
      <c r="N47" s="253"/>
      <c r="O47" s="133" t="s">
        <v>8</v>
      </c>
      <c r="P47" s="25"/>
      <c r="Q47" s="25"/>
      <c r="R47" s="25"/>
      <c r="S47" s="25"/>
      <c r="T47" s="25"/>
      <c r="U47" s="7"/>
      <c r="V47" s="134"/>
      <c r="W47" s="134"/>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row>
    <row r="48" spans="1:52" ht="31.35" customHeight="1">
      <c r="A48" s="241" t="s">
        <v>147</v>
      </c>
      <c r="B48" s="242"/>
      <c r="C48" s="242"/>
      <c r="D48" s="242"/>
      <c r="E48" s="242"/>
      <c r="F48" s="242"/>
      <c r="G48" s="242"/>
      <c r="H48" s="242"/>
      <c r="I48" s="242"/>
      <c r="J48" s="242"/>
      <c r="K48" s="242"/>
      <c r="L48" s="242"/>
      <c r="M48" s="242"/>
      <c r="N48" s="242"/>
      <c r="O48" s="242"/>
      <c r="P48" s="6"/>
      <c r="Q48" s="7"/>
      <c r="R48" s="7"/>
      <c r="S48" s="7"/>
      <c r="T48" s="7"/>
      <c r="U48" s="7"/>
      <c r="V48" s="134"/>
      <c r="W48" s="134"/>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row>
    <row r="49" spans="1:52" ht="111" customHeight="1">
      <c r="A49" s="243" t="s">
        <v>256</v>
      </c>
      <c r="B49" s="243"/>
      <c r="C49" s="243"/>
      <c r="D49" s="243"/>
      <c r="E49" s="243"/>
      <c r="F49" s="243"/>
      <c r="G49" s="243"/>
      <c r="H49" s="243"/>
      <c r="I49" s="243"/>
      <c r="J49" s="243"/>
      <c r="K49" s="243"/>
      <c r="L49" s="243"/>
      <c r="M49" s="244" t="s">
        <v>8</v>
      </c>
      <c r="N49" s="244"/>
      <c r="O49" s="161">
        <v>18.5</v>
      </c>
      <c r="P49" s="6"/>
      <c r="Q49" s="7"/>
      <c r="R49" s="7"/>
      <c r="S49" s="7"/>
      <c r="T49" s="7"/>
      <c r="U49" s="7"/>
      <c r="V49" s="134"/>
      <c r="W49" s="134"/>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row>
    <row r="50" spans="1:52" ht="30.95" customHeight="1">
      <c r="A50" s="241" t="s">
        <v>143</v>
      </c>
      <c r="B50" s="242"/>
      <c r="C50" s="242"/>
      <c r="D50" s="242"/>
      <c r="E50" s="242"/>
      <c r="F50" s="242"/>
      <c r="G50" s="242"/>
      <c r="H50" s="242"/>
      <c r="I50" s="242"/>
      <c r="J50" s="242"/>
      <c r="K50" s="242"/>
      <c r="L50" s="242"/>
      <c r="M50" s="242"/>
      <c r="N50" s="242"/>
      <c r="O50" s="242"/>
      <c r="P50" s="6"/>
      <c r="Q50" s="7"/>
      <c r="R50" s="7"/>
      <c r="S50" s="7"/>
      <c r="T50" s="7"/>
      <c r="U50" s="7"/>
      <c r="V50" s="134"/>
      <c r="W50" s="134"/>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row>
    <row r="51" spans="1:52" ht="33.950000000000003" customHeight="1">
      <c r="A51" s="246" t="s">
        <v>33</v>
      </c>
      <c r="B51" s="246"/>
      <c r="C51" s="246" t="s">
        <v>48</v>
      </c>
      <c r="D51" s="246"/>
      <c r="E51" s="246"/>
      <c r="F51" s="246"/>
      <c r="G51" s="246"/>
      <c r="H51" s="246"/>
      <c r="I51" s="246"/>
      <c r="J51" s="246"/>
      <c r="K51" s="246"/>
      <c r="L51" s="246"/>
      <c r="M51" s="245" t="s">
        <v>32</v>
      </c>
      <c r="N51" s="245"/>
      <c r="O51" s="245"/>
      <c r="P51" s="8"/>
      <c r="Q51" s="7"/>
      <c r="R51" s="7"/>
      <c r="S51" s="7"/>
      <c r="T51" s="7"/>
      <c r="U51" s="7"/>
      <c r="V51" s="134"/>
      <c r="W51" s="134"/>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row>
    <row r="52" spans="1:52" ht="33.950000000000003" customHeight="1">
      <c r="A52" s="246"/>
      <c r="B52" s="246"/>
      <c r="C52" s="246"/>
      <c r="D52" s="246"/>
      <c r="E52" s="246"/>
      <c r="F52" s="246"/>
      <c r="G52" s="246"/>
      <c r="H52" s="246"/>
      <c r="I52" s="246"/>
      <c r="J52" s="246"/>
      <c r="K52" s="246"/>
      <c r="L52" s="246"/>
      <c r="M52" s="247" t="s">
        <v>8</v>
      </c>
      <c r="N52" s="248"/>
      <c r="O52" s="249"/>
      <c r="P52" s="8"/>
      <c r="Q52" s="7"/>
      <c r="R52" s="7"/>
      <c r="S52" s="7"/>
      <c r="T52" s="7"/>
      <c r="U52" s="7"/>
      <c r="V52" s="134"/>
      <c r="W52" s="134"/>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row>
    <row r="53" spans="1:52" ht="31.7" customHeight="1">
      <c r="A53" s="246"/>
      <c r="B53" s="246"/>
      <c r="C53" s="246"/>
      <c r="D53" s="246"/>
      <c r="E53" s="246"/>
      <c r="F53" s="246"/>
      <c r="G53" s="246"/>
      <c r="H53" s="246"/>
      <c r="I53" s="246"/>
      <c r="J53" s="246"/>
      <c r="K53" s="246"/>
      <c r="L53" s="246"/>
      <c r="M53" s="313">
        <v>10</v>
      </c>
      <c r="N53" s="313"/>
      <c r="O53" s="313"/>
      <c r="P53" s="8"/>
      <c r="Q53" s="7"/>
      <c r="R53" s="7"/>
      <c r="S53" s="7"/>
      <c r="T53" s="7"/>
      <c r="U53" s="7"/>
      <c r="V53" s="134"/>
      <c r="W53" s="134"/>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row>
    <row r="54" spans="1:52" ht="92.25" customHeight="1">
      <c r="A54" s="246"/>
      <c r="B54" s="246"/>
      <c r="C54" s="246"/>
      <c r="D54" s="246"/>
      <c r="E54" s="246"/>
      <c r="F54" s="246"/>
      <c r="G54" s="246"/>
      <c r="H54" s="246"/>
      <c r="I54" s="246"/>
      <c r="J54" s="246"/>
      <c r="K54" s="246"/>
      <c r="L54" s="246"/>
      <c r="M54" s="313"/>
      <c r="N54" s="313"/>
      <c r="O54" s="313"/>
      <c r="P54" s="8"/>
      <c r="Q54" s="7"/>
      <c r="R54" s="7"/>
      <c r="S54" s="7"/>
      <c r="T54" s="7"/>
      <c r="U54" s="7"/>
      <c r="V54" s="134"/>
      <c r="W54" s="134"/>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row>
    <row r="55" spans="1:52" ht="98.45" customHeight="1">
      <c r="A55" s="246" t="s">
        <v>34</v>
      </c>
      <c r="B55" s="246"/>
      <c r="C55" s="246" t="s">
        <v>97</v>
      </c>
      <c r="D55" s="246"/>
      <c r="E55" s="246"/>
      <c r="F55" s="246"/>
      <c r="G55" s="246"/>
      <c r="H55" s="246"/>
      <c r="I55" s="246"/>
      <c r="J55" s="246"/>
      <c r="K55" s="246"/>
      <c r="L55" s="246"/>
      <c r="M55" s="313"/>
      <c r="N55" s="313"/>
      <c r="O55" s="313"/>
      <c r="P55" s="8"/>
      <c r="Q55" s="7"/>
      <c r="R55" s="7"/>
      <c r="S55" s="7"/>
      <c r="T55" s="7"/>
      <c r="U55" s="7"/>
      <c r="V55" s="134"/>
      <c r="W55" s="134"/>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row>
    <row r="56" spans="1:52" ht="108.75" customHeight="1">
      <c r="A56" s="246"/>
      <c r="B56" s="246"/>
      <c r="C56" s="246"/>
      <c r="D56" s="246"/>
      <c r="E56" s="246"/>
      <c r="F56" s="246"/>
      <c r="G56" s="246"/>
      <c r="H56" s="246"/>
      <c r="I56" s="246"/>
      <c r="J56" s="246"/>
      <c r="K56" s="246"/>
      <c r="L56" s="246"/>
      <c r="M56" s="313"/>
      <c r="N56" s="313"/>
      <c r="O56" s="313"/>
      <c r="P56" s="8"/>
      <c r="Q56" s="7"/>
      <c r="R56" s="7"/>
      <c r="S56" s="7"/>
      <c r="T56" s="7"/>
      <c r="U56" s="7"/>
      <c r="V56" s="134"/>
      <c r="W56" s="134"/>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row>
    <row r="57" spans="1:52" ht="193.35" customHeight="1">
      <c r="A57" s="246" t="s">
        <v>98</v>
      </c>
      <c r="B57" s="246"/>
      <c r="C57" s="246"/>
      <c r="D57" s="246"/>
      <c r="E57" s="246"/>
      <c r="F57" s="246"/>
      <c r="G57" s="246"/>
      <c r="H57" s="246"/>
      <c r="I57" s="246"/>
      <c r="J57" s="246"/>
      <c r="K57" s="246"/>
      <c r="L57" s="246"/>
      <c r="M57" s="313"/>
      <c r="N57" s="313"/>
      <c r="O57" s="313"/>
      <c r="P57" s="8"/>
      <c r="Q57" s="7"/>
      <c r="R57" s="7"/>
      <c r="S57" s="7"/>
      <c r="T57" s="7"/>
      <c r="U57" s="7"/>
      <c r="V57" s="134"/>
      <c r="W57" s="134"/>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row>
    <row r="58" spans="1:52" ht="28.5" customHeight="1">
      <c r="A58" s="241" t="s">
        <v>145</v>
      </c>
      <c r="B58" s="242"/>
      <c r="C58" s="242"/>
      <c r="D58" s="242"/>
      <c r="E58" s="242"/>
      <c r="F58" s="242"/>
      <c r="G58" s="242"/>
      <c r="H58" s="242"/>
      <c r="I58" s="242"/>
      <c r="J58" s="242"/>
      <c r="K58" s="242"/>
      <c r="L58" s="242"/>
      <c r="M58" s="242"/>
      <c r="N58" s="242"/>
      <c r="O58" s="242"/>
      <c r="P58" s="7"/>
      <c r="Q58" s="7"/>
      <c r="R58" s="7"/>
      <c r="S58" s="7"/>
      <c r="T58" s="7"/>
      <c r="U58" s="7"/>
      <c r="V58" s="134"/>
      <c r="W58" s="134"/>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row>
    <row r="59" spans="1:52" ht="76.5" customHeight="1">
      <c r="A59" s="246" t="s">
        <v>35</v>
      </c>
      <c r="B59" s="246"/>
      <c r="C59" s="246"/>
      <c r="D59" s="246"/>
      <c r="E59" s="246"/>
      <c r="F59" s="246"/>
      <c r="G59" s="246"/>
      <c r="H59" s="246"/>
      <c r="I59" s="246"/>
      <c r="J59" s="246"/>
      <c r="K59" s="246"/>
      <c r="L59" s="246"/>
      <c r="M59" s="245" t="s">
        <v>32</v>
      </c>
      <c r="N59" s="245"/>
      <c r="O59" s="245"/>
      <c r="P59" s="6"/>
      <c r="Q59" s="7"/>
      <c r="R59" s="7"/>
      <c r="S59" s="7"/>
      <c r="T59" s="7"/>
      <c r="U59" s="7"/>
      <c r="V59" s="134"/>
      <c r="W59" s="134"/>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row>
    <row r="60" spans="1:52" ht="99.75" customHeight="1">
      <c r="A60" s="246" t="s">
        <v>50</v>
      </c>
      <c r="B60" s="246"/>
      <c r="C60" s="246"/>
      <c r="D60" s="246"/>
      <c r="E60" s="246"/>
      <c r="F60" s="246"/>
      <c r="G60" s="246"/>
      <c r="H60" s="246"/>
      <c r="I60" s="246"/>
      <c r="J60" s="246"/>
      <c r="K60" s="246"/>
      <c r="L60" s="246"/>
      <c r="M60" s="250" t="s">
        <v>8</v>
      </c>
      <c r="N60" s="251"/>
      <c r="O60" s="252"/>
      <c r="P60" s="6"/>
      <c r="Q60" s="7"/>
      <c r="R60" s="7"/>
      <c r="S60" s="7"/>
      <c r="T60" s="7"/>
      <c r="U60" s="7"/>
      <c r="V60" s="134"/>
      <c r="W60" s="134"/>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row>
    <row r="61" spans="1:52" ht="99.75" customHeight="1">
      <c r="A61" s="246" t="s">
        <v>36</v>
      </c>
      <c r="B61" s="246"/>
      <c r="C61" s="246"/>
      <c r="D61" s="246"/>
      <c r="E61" s="246"/>
      <c r="F61" s="246"/>
      <c r="G61" s="246"/>
      <c r="H61" s="246"/>
      <c r="I61" s="246"/>
      <c r="J61" s="246"/>
      <c r="K61" s="246"/>
      <c r="L61" s="246"/>
      <c r="M61" s="314">
        <v>1</v>
      </c>
      <c r="N61" s="315"/>
      <c r="O61" s="316"/>
      <c r="P61" s="6"/>
      <c r="Q61" s="7"/>
      <c r="R61" s="7"/>
      <c r="S61" s="7"/>
      <c r="T61" s="7"/>
      <c r="U61" s="7"/>
      <c r="V61" s="134"/>
      <c r="W61" s="134"/>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row>
    <row r="62" spans="1:52" ht="31.35" customHeight="1">
      <c r="A62" s="241" t="s">
        <v>148</v>
      </c>
      <c r="B62" s="242"/>
      <c r="C62" s="242"/>
      <c r="D62" s="242"/>
      <c r="E62" s="242"/>
      <c r="F62" s="242"/>
      <c r="G62" s="242"/>
      <c r="H62" s="242"/>
      <c r="I62" s="242"/>
      <c r="J62" s="242"/>
      <c r="K62" s="242"/>
      <c r="L62" s="242"/>
      <c r="M62" s="242"/>
      <c r="N62" s="242"/>
      <c r="O62" s="242"/>
      <c r="P62" s="6"/>
      <c r="Q62" s="7"/>
      <c r="R62" s="7"/>
      <c r="S62" s="7"/>
      <c r="T62" s="7"/>
      <c r="U62" s="7"/>
      <c r="V62" s="134"/>
      <c r="W62" s="134"/>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row>
    <row r="63" spans="1:52" ht="31.35" customHeight="1">
      <c r="A63" s="246" t="s">
        <v>149</v>
      </c>
      <c r="B63" s="246"/>
      <c r="C63" s="246"/>
      <c r="D63" s="246"/>
      <c r="E63" s="246"/>
      <c r="F63" s="246"/>
      <c r="G63" s="246"/>
      <c r="H63" s="246"/>
      <c r="I63" s="246"/>
      <c r="J63" s="246"/>
      <c r="K63" s="246"/>
      <c r="L63" s="246"/>
      <c r="M63" s="245" t="s">
        <v>32</v>
      </c>
      <c r="N63" s="245"/>
      <c r="O63" s="245"/>
      <c r="P63" s="6"/>
      <c r="Q63" s="7"/>
      <c r="R63" s="7"/>
      <c r="S63" s="7"/>
      <c r="T63" s="7"/>
      <c r="U63" s="7"/>
      <c r="V63" s="134"/>
      <c r="W63" s="134"/>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row>
    <row r="64" spans="1:52" ht="62.25" customHeight="1">
      <c r="A64" s="246" t="s">
        <v>152</v>
      </c>
      <c r="B64" s="246"/>
      <c r="C64" s="246"/>
      <c r="D64" s="246"/>
      <c r="E64" s="246"/>
      <c r="F64" s="246"/>
      <c r="G64" s="246"/>
      <c r="H64" s="246"/>
      <c r="I64" s="246"/>
      <c r="J64" s="246"/>
      <c r="K64" s="246"/>
      <c r="L64" s="246"/>
      <c r="M64" s="250" t="s">
        <v>8</v>
      </c>
      <c r="N64" s="252"/>
      <c r="O64" s="161">
        <v>0.25</v>
      </c>
      <c r="P64" s="6"/>
      <c r="Q64" s="7"/>
      <c r="R64" s="7"/>
      <c r="S64" s="7"/>
      <c r="T64" s="7"/>
      <c r="U64" s="7"/>
      <c r="V64" s="134"/>
      <c r="W64" s="134"/>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row>
    <row r="65" spans="1:52" ht="29.25" customHeight="1">
      <c r="A65" s="241" t="s">
        <v>151</v>
      </c>
      <c r="B65" s="242"/>
      <c r="C65" s="242"/>
      <c r="D65" s="242"/>
      <c r="E65" s="242"/>
      <c r="F65" s="242"/>
      <c r="G65" s="242"/>
      <c r="H65" s="242"/>
      <c r="I65" s="242"/>
      <c r="J65" s="242"/>
      <c r="K65" s="242"/>
      <c r="L65" s="242"/>
      <c r="M65" s="242"/>
      <c r="N65" s="242"/>
      <c r="O65" s="242"/>
      <c r="P65" s="6"/>
      <c r="Q65" s="7"/>
      <c r="R65" s="7"/>
      <c r="S65" s="7"/>
      <c r="T65" s="7"/>
      <c r="U65" s="7"/>
      <c r="V65" s="134"/>
      <c r="W65" s="134"/>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row>
    <row r="66" spans="1:52" ht="55.5" customHeight="1">
      <c r="A66" s="246" t="s">
        <v>153</v>
      </c>
      <c r="B66" s="246"/>
      <c r="C66" s="246"/>
      <c r="D66" s="246"/>
      <c r="E66" s="246"/>
      <c r="F66" s="246"/>
      <c r="G66" s="246"/>
      <c r="H66" s="246"/>
      <c r="I66" s="246"/>
      <c r="J66" s="246"/>
      <c r="K66" s="246"/>
      <c r="L66" s="246"/>
      <c r="M66" s="245" t="s">
        <v>32</v>
      </c>
      <c r="N66" s="245"/>
      <c r="O66" s="245"/>
      <c r="P66" s="6"/>
      <c r="Q66" s="7"/>
      <c r="R66" s="7"/>
      <c r="S66" s="7"/>
      <c r="T66" s="7"/>
      <c r="U66" s="7"/>
      <c r="V66" s="134"/>
      <c r="W66" s="134"/>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row>
    <row r="67" spans="1:52" ht="131.85" customHeight="1">
      <c r="A67" s="246" t="s">
        <v>154</v>
      </c>
      <c r="B67" s="246"/>
      <c r="C67" s="246"/>
      <c r="D67" s="246"/>
      <c r="E67" s="246"/>
      <c r="F67" s="246"/>
      <c r="G67" s="246"/>
      <c r="H67" s="246"/>
      <c r="I67" s="246"/>
      <c r="J67" s="246"/>
      <c r="K67" s="246"/>
      <c r="L67" s="246"/>
      <c r="M67" s="250" t="s">
        <v>8</v>
      </c>
      <c r="N67" s="252"/>
      <c r="O67" s="161">
        <v>0.25</v>
      </c>
      <c r="P67" s="6"/>
      <c r="Q67" s="7"/>
      <c r="R67" s="7"/>
      <c r="S67" s="7"/>
      <c r="T67" s="7"/>
      <c r="U67" s="7"/>
      <c r="V67" s="134"/>
      <c r="W67" s="134"/>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row>
    <row r="68" spans="1:52" ht="180" customHeight="1">
      <c r="A68" s="238" t="s">
        <v>281</v>
      </c>
      <c r="B68" s="239"/>
      <c r="C68" s="239"/>
      <c r="D68" s="239"/>
      <c r="E68" s="239"/>
      <c r="F68" s="239"/>
      <c r="G68" s="239"/>
      <c r="H68" s="239"/>
      <c r="I68" s="239"/>
      <c r="J68" s="239"/>
      <c r="K68" s="239"/>
      <c r="L68" s="239"/>
      <c r="M68" s="239"/>
      <c r="N68" s="239"/>
      <c r="O68" s="240"/>
      <c r="P68" s="8"/>
      <c r="Q68" s="7"/>
      <c r="R68" s="7"/>
      <c r="S68" s="7"/>
      <c r="T68" s="7"/>
      <c r="U68" s="7"/>
      <c r="V68" s="134"/>
      <c r="W68" s="134"/>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row>
    <row r="69" spans="1:52">
      <c r="A69" s="7"/>
      <c r="B69" s="7"/>
      <c r="C69" s="7"/>
      <c r="D69" s="7"/>
      <c r="E69" s="7"/>
      <c r="F69" s="7"/>
      <c r="G69" s="7"/>
      <c r="H69" s="7"/>
      <c r="I69" s="7"/>
      <c r="J69" s="7"/>
      <c r="K69" s="7"/>
      <c r="L69" s="7"/>
      <c r="M69" s="7"/>
      <c r="N69" s="7"/>
      <c r="O69" s="7"/>
      <c r="P69" s="8"/>
      <c r="Q69" s="7"/>
      <c r="R69" s="7"/>
      <c r="S69" s="7"/>
      <c r="T69" s="7"/>
      <c r="U69" s="7"/>
      <c r="V69" s="134"/>
      <c r="W69" s="134"/>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row>
    <row r="70" spans="1:52">
      <c r="A70" s="7"/>
      <c r="B70" s="7"/>
      <c r="C70" s="7"/>
      <c r="D70" s="7"/>
      <c r="E70" s="7"/>
      <c r="F70" s="7"/>
      <c r="G70" s="7"/>
      <c r="H70" s="7"/>
      <c r="I70" s="7"/>
      <c r="J70" s="7"/>
      <c r="K70" s="7"/>
      <c r="L70" s="7"/>
      <c r="M70" s="7"/>
      <c r="N70" s="7"/>
      <c r="O70" s="7"/>
      <c r="P70" s="8"/>
      <c r="Q70" s="7"/>
      <c r="R70" s="7"/>
      <c r="S70" s="7"/>
      <c r="T70" s="7"/>
      <c r="U70" s="7"/>
      <c r="V70" s="134"/>
      <c r="W70" s="134"/>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row>
    <row r="71" spans="1:52">
      <c r="A71" s="7"/>
      <c r="B71" s="7"/>
      <c r="C71" s="7"/>
      <c r="D71" s="7"/>
      <c r="E71" s="7"/>
      <c r="F71" s="7"/>
      <c r="G71" s="7"/>
      <c r="H71" s="7"/>
      <c r="I71" s="7"/>
      <c r="J71" s="7"/>
      <c r="K71" s="7"/>
      <c r="L71" s="7"/>
      <c r="M71" s="7"/>
      <c r="N71" s="7"/>
      <c r="O71" s="7"/>
      <c r="P71" s="8"/>
      <c r="Q71" s="7"/>
      <c r="R71" s="7"/>
      <c r="S71" s="7"/>
      <c r="T71" s="7"/>
      <c r="U71" s="7"/>
      <c r="V71" s="134"/>
      <c r="W71" s="134"/>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row>
    <row r="72" spans="1:52">
      <c r="A72" s="9"/>
      <c r="B72" s="7"/>
      <c r="C72" s="7"/>
      <c r="D72" s="7"/>
      <c r="E72" s="7"/>
      <c r="F72" s="7"/>
      <c r="G72" s="7"/>
      <c r="H72" s="7"/>
      <c r="I72" s="7"/>
      <c r="J72" s="7"/>
      <c r="K72" s="7"/>
      <c r="L72" s="7"/>
      <c r="M72" s="7"/>
      <c r="N72" s="7"/>
      <c r="O72" s="7"/>
      <c r="P72" s="8"/>
      <c r="Q72" s="7"/>
      <c r="R72" s="7"/>
      <c r="S72" s="7"/>
      <c r="T72" s="7"/>
      <c r="U72" s="7"/>
      <c r="V72" s="134"/>
      <c r="W72" s="134"/>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row>
    <row r="73" spans="1:52">
      <c r="A73" s="9"/>
      <c r="B73" s="7"/>
      <c r="C73" s="7"/>
      <c r="D73" s="7"/>
      <c r="E73" s="7"/>
      <c r="F73" s="7"/>
      <c r="G73" s="7"/>
      <c r="H73" s="7"/>
      <c r="I73" s="7"/>
      <c r="J73" s="7"/>
      <c r="K73" s="7"/>
      <c r="L73" s="7"/>
      <c r="M73" s="7"/>
      <c r="N73" s="7"/>
      <c r="O73" s="7"/>
      <c r="P73" s="8"/>
      <c r="Q73" s="7"/>
      <c r="R73" s="7"/>
      <c r="S73" s="7"/>
      <c r="T73" s="7"/>
      <c r="U73" s="7"/>
      <c r="V73" s="134"/>
      <c r="W73" s="134"/>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row>
    <row r="74" spans="1:52">
      <c r="A74" s="9"/>
      <c r="B74" s="7"/>
      <c r="C74" s="7"/>
      <c r="D74" s="7"/>
      <c r="E74" s="7"/>
      <c r="F74" s="7"/>
      <c r="G74" s="7"/>
      <c r="H74" s="7"/>
      <c r="I74" s="7"/>
      <c r="J74" s="7"/>
      <c r="K74" s="7"/>
      <c r="L74" s="7"/>
      <c r="M74" s="7"/>
      <c r="N74" s="7"/>
      <c r="O74" s="7"/>
      <c r="P74" s="8"/>
      <c r="Q74" s="7"/>
      <c r="R74" s="7"/>
      <c r="S74" s="7"/>
      <c r="T74" s="7"/>
      <c r="U74" s="7"/>
      <c r="V74" s="134"/>
      <c r="W74" s="134"/>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row>
    <row r="75" spans="1:52">
      <c r="A75" s="9"/>
      <c r="B75" s="7"/>
      <c r="C75" s="7"/>
      <c r="D75" s="7"/>
      <c r="E75" s="7"/>
      <c r="F75" s="7"/>
      <c r="G75" s="7"/>
      <c r="H75" s="7"/>
      <c r="I75" s="7"/>
      <c r="J75" s="7"/>
      <c r="K75" s="7"/>
      <c r="L75" s="7"/>
      <c r="M75" s="7"/>
      <c r="N75" s="7"/>
      <c r="O75" s="7"/>
      <c r="P75" s="8"/>
      <c r="Q75" s="7"/>
      <c r="R75" s="7"/>
      <c r="S75" s="7"/>
      <c r="T75" s="7"/>
      <c r="U75" s="7"/>
      <c r="V75" s="134"/>
      <c r="W75" s="134"/>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row>
    <row r="76" spans="1:52">
      <c r="A76" s="7"/>
      <c r="B76" s="7"/>
      <c r="C76" s="7"/>
      <c r="D76" s="7"/>
      <c r="E76" s="7"/>
      <c r="F76" s="7"/>
      <c r="G76" s="7"/>
      <c r="H76" s="7"/>
      <c r="I76" s="7"/>
      <c r="J76" s="7"/>
      <c r="K76" s="7"/>
      <c r="L76" s="7"/>
      <c r="M76" s="7"/>
      <c r="N76" s="7"/>
      <c r="O76" s="7"/>
      <c r="P76" s="8"/>
      <c r="Q76" s="7"/>
      <c r="R76" s="7"/>
      <c r="S76" s="7"/>
      <c r="T76" s="7"/>
      <c r="U76" s="7"/>
      <c r="V76" s="134"/>
      <c r="W76" s="134"/>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row>
    <row r="77" spans="1:52">
      <c r="A77" s="7"/>
      <c r="B77" s="7"/>
      <c r="C77" s="7"/>
      <c r="D77" s="7"/>
      <c r="E77" s="7"/>
      <c r="F77" s="7"/>
      <c r="G77" s="7"/>
      <c r="H77" s="7"/>
      <c r="I77" s="7"/>
      <c r="J77" s="7"/>
      <c r="K77" s="7"/>
      <c r="L77" s="7"/>
      <c r="M77" s="7"/>
      <c r="N77" s="7"/>
      <c r="O77" s="7"/>
      <c r="P77" s="8"/>
      <c r="Q77" s="7"/>
      <c r="R77" s="7"/>
      <c r="S77" s="7"/>
      <c r="T77" s="7"/>
      <c r="U77" s="7"/>
      <c r="V77" s="134"/>
      <c r="W77" s="134"/>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row>
    <row r="78" spans="1:52">
      <c r="A78" s="7"/>
      <c r="B78" s="7"/>
      <c r="C78" s="7"/>
      <c r="D78" s="7"/>
      <c r="E78" s="7"/>
      <c r="F78" s="7"/>
      <c r="G78" s="7"/>
      <c r="H78" s="7"/>
      <c r="I78" s="7"/>
      <c r="J78" s="7"/>
      <c r="K78" s="7"/>
      <c r="L78" s="7"/>
      <c r="M78" s="7"/>
      <c r="N78" s="7"/>
      <c r="O78" s="7"/>
      <c r="P78" s="8"/>
      <c r="Q78" s="7"/>
      <c r="R78" s="7"/>
      <c r="S78" s="7"/>
      <c r="T78" s="7"/>
      <c r="U78" s="7"/>
      <c r="V78" s="134"/>
      <c r="W78" s="134"/>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row>
    <row r="79" spans="1:52">
      <c r="A79" s="7"/>
      <c r="B79" s="7"/>
      <c r="C79" s="7"/>
      <c r="D79" s="7"/>
      <c r="E79" s="7"/>
      <c r="F79" s="7"/>
      <c r="G79" s="7"/>
      <c r="H79" s="7"/>
      <c r="I79" s="7"/>
      <c r="J79" s="7"/>
      <c r="K79" s="7"/>
      <c r="L79" s="7"/>
      <c r="M79" s="7"/>
      <c r="N79" s="7"/>
      <c r="O79" s="7"/>
      <c r="P79" s="8"/>
      <c r="Q79" s="7"/>
      <c r="R79" s="7"/>
      <c r="S79" s="7"/>
      <c r="T79" s="7"/>
      <c r="U79" s="7"/>
      <c r="V79" s="134"/>
      <c r="W79" s="134"/>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row>
    <row r="80" spans="1:52">
      <c r="A80" s="18"/>
      <c r="B80" s="19"/>
      <c r="C80" s="20"/>
      <c r="D80" s="7"/>
      <c r="E80" s="7"/>
      <c r="F80" s="7"/>
      <c r="G80" s="7"/>
      <c r="H80" s="7"/>
      <c r="I80" s="7"/>
      <c r="J80" s="7"/>
      <c r="K80" s="7"/>
      <c r="L80" s="7"/>
      <c r="M80" s="7"/>
      <c r="N80" s="7"/>
      <c r="O80" s="7"/>
      <c r="P80" s="8"/>
      <c r="Q80" s="7"/>
      <c r="R80" s="7"/>
      <c r="S80" s="7"/>
      <c r="T80" s="7"/>
      <c r="U80" s="7"/>
      <c r="V80" s="134"/>
      <c r="W80" s="134"/>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row>
    <row r="81" spans="1:52" ht="16.5" customHeight="1">
      <c r="A81" s="21"/>
      <c r="B81" s="19"/>
      <c r="C81" s="19"/>
      <c r="D81" s="7"/>
      <c r="E81" s="7"/>
      <c r="F81" s="7"/>
      <c r="G81" s="7"/>
      <c r="H81" s="7"/>
      <c r="I81" s="7"/>
      <c r="J81" s="7"/>
      <c r="K81" s="7"/>
      <c r="L81" s="7"/>
      <c r="M81" s="7"/>
      <c r="N81" s="7"/>
      <c r="O81" s="7"/>
      <c r="P81" s="8"/>
      <c r="Q81" s="7"/>
      <c r="R81" s="7"/>
      <c r="S81" s="7"/>
      <c r="T81" s="7"/>
      <c r="U81" s="7"/>
      <c r="V81" s="134"/>
      <c r="W81" s="134"/>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row>
    <row r="82" spans="1:52" ht="16.5" customHeight="1">
      <c r="A82" s="21"/>
      <c r="B82" s="19"/>
      <c r="C82" s="19"/>
      <c r="D82" s="7"/>
      <c r="E82" s="7"/>
      <c r="F82" s="7"/>
      <c r="G82" s="7"/>
      <c r="H82" s="7"/>
      <c r="I82" s="7"/>
      <c r="J82" s="7"/>
      <c r="K82" s="7"/>
      <c r="L82" s="7"/>
      <c r="M82" s="7"/>
      <c r="N82" s="7"/>
      <c r="O82" s="7"/>
      <c r="P82" s="8"/>
      <c r="Q82" s="7"/>
      <c r="R82" s="7"/>
      <c r="S82" s="7"/>
      <c r="T82" s="7"/>
      <c r="U82" s="7"/>
      <c r="V82" s="134"/>
      <c r="W82" s="134"/>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row>
    <row r="83" spans="1:52">
      <c r="A83" s="22"/>
      <c r="B83" s="7"/>
      <c r="C83" s="23"/>
      <c r="D83" s="7"/>
      <c r="E83" s="7"/>
      <c r="F83" s="7"/>
      <c r="G83" s="7"/>
      <c r="H83" s="7"/>
      <c r="I83" s="7"/>
      <c r="J83" s="7"/>
      <c r="K83" s="7"/>
      <c r="L83" s="7"/>
      <c r="M83" s="7"/>
      <c r="N83" s="7"/>
      <c r="O83" s="7"/>
      <c r="P83" s="8"/>
      <c r="Q83" s="7"/>
      <c r="R83" s="7"/>
      <c r="S83" s="7"/>
      <c r="T83" s="7"/>
      <c r="U83" s="7"/>
      <c r="V83" s="134"/>
      <c r="W83" s="134"/>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row>
    <row r="84" spans="1:52">
      <c r="A84" s="22"/>
      <c r="B84" s="7"/>
      <c r="C84" s="23"/>
      <c r="D84" s="7"/>
      <c r="E84" s="7"/>
      <c r="F84" s="7"/>
      <c r="G84" s="7"/>
      <c r="H84" s="7"/>
      <c r="I84" s="7"/>
      <c r="J84" s="7"/>
      <c r="K84" s="7"/>
      <c r="L84" s="7"/>
      <c r="M84" s="7"/>
      <c r="N84" s="7"/>
      <c r="O84" s="7"/>
      <c r="P84" s="8"/>
      <c r="Q84" s="7"/>
      <c r="R84" s="7"/>
      <c r="S84" s="7"/>
      <c r="T84" s="7"/>
      <c r="U84" s="7"/>
      <c r="V84" s="134"/>
      <c r="W84" s="134"/>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row>
    <row r="85" spans="1:52">
      <c r="A85" s="22"/>
      <c r="B85" s="7"/>
      <c r="C85" s="23"/>
      <c r="D85" s="7"/>
      <c r="E85" s="7"/>
      <c r="F85" s="7"/>
      <c r="G85" s="7"/>
      <c r="H85" s="7"/>
      <c r="I85" s="7"/>
      <c r="J85" s="7"/>
      <c r="K85" s="7"/>
      <c r="L85" s="7"/>
      <c r="M85" s="7"/>
      <c r="N85" s="7"/>
      <c r="O85" s="24"/>
      <c r="P85" s="7"/>
      <c r="Q85" s="7"/>
      <c r="R85" s="7"/>
      <c r="S85" s="7"/>
      <c r="T85" s="7"/>
      <c r="U85" s="7"/>
      <c r="V85" s="134"/>
      <c r="W85" s="134"/>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row>
    <row r="86" spans="1:52">
      <c r="A86" s="22"/>
      <c r="B86" s="7"/>
      <c r="C86" s="23"/>
      <c r="D86" s="7"/>
      <c r="E86" s="7"/>
      <c r="F86" s="7"/>
      <c r="G86" s="7"/>
      <c r="H86" s="7"/>
      <c r="I86" s="7"/>
      <c r="J86" s="7"/>
      <c r="K86" s="7"/>
      <c r="L86" s="7"/>
      <c r="M86" s="7"/>
      <c r="N86" s="7"/>
      <c r="O86" s="7"/>
      <c r="P86" s="7"/>
      <c r="Q86" s="7"/>
      <c r="R86" s="7"/>
      <c r="S86" s="7"/>
      <c r="T86" s="7"/>
      <c r="U86" s="7"/>
      <c r="V86" s="134"/>
      <c r="W86" s="134"/>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row>
    <row r="87" spans="1:52">
      <c r="A87" s="22"/>
      <c r="B87" s="7"/>
      <c r="C87" s="23"/>
      <c r="D87" s="7"/>
      <c r="E87" s="7"/>
      <c r="F87" s="7"/>
      <c r="G87" s="7"/>
      <c r="H87" s="7"/>
      <c r="I87" s="7"/>
      <c r="J87" s="7"/>
      <c r="K87" s="7"/>
      <c r="L87" s="7"/>
      <c r="M87" s="7"/>
      <c r="N87" s="7"/>
      <c r="O87" s="7"/>
      <c r="P87" s="7"/>
      <c r="Q87" s="7"/>
      <c r="R87" s="7"/>
      <c r="S87" s="7"/>
      <c r="T87" s="7"/>
      <c r="U87" s="7"/>
      <c r="V87" s="134"/>
      <c r="W87" s="134"/>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row>
    <row r="88" spans="1:52">
      <c r="A88" s="7"/>
      <c r="B88" s="7"/>
      <c r="C88" s="7"/>
      <c r="D88" s="7"/>
      <c r="E88" s="7"/>
      <c r="F88" s="7"/>
      <c r="G88" s="7"/>
      <c r="H88" s="7"/>
      <c r="I88" s="7"/>
      <c r="J88" s="7"/>
      <c r="K88" s="7"/>
      <c r="L88" s="7"/>
      <c r="M88" s="7"/>
      <c r="N88" s="7"/>
      <c r="O88" s="7"/>
      <c r="P88" s="7"/>
      <c r="Q88" s="7"/>
      <c r="R88" s="7"/>
      <c r="S88" s="7"/>
      <c r="T88" s="7"/>
      <c r="U88" s="7"/>
      <c r="V88" s="134"/>
      <c r="W88" s="134"/>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row>
    <row r="89" spans="1:52">
      <c r="A89" s="7"/>
      <c r="B89" s="7"/>
      <c r="C89" s="7"/>
      <c r="D89" s="7"/>
      <c r="E89" s="7"/>
      <c r="F89" s="7"/>
      <c r="G89" s="7"/>
      <c r="H89" s="7"/>
      <c r="I89" s="7"/>
      <c r="J89" s="7"/>
      <c r="K89" s="7"/>
      <c r="L89" s="7"/>
      <c r="M89" s="7"/>
      <c r="N89" s="7"/>
      <c r="O89" s="7"/>
      <c r="P89" s="7"/>
      <c r="Q89" s="7"/>
      <c r="R89" s="7"/>
      <c r="S89" s="7"/>
      <c r="T89" s="7"/>
      <c r="U89" s="7"/>
      <c r="V89" s="134"/>
      <c r="W89" s="134"/>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row>
    <row r="90" spans="1:52">
      <c r="A90" s="7"/>
      <c r="B90" s="7"/>
      <c r="C90" s="7"/>
      <c r="D90" s="7"/>
      <c r="E90" s="7"/>
      <c r="F90" s="7"/>
      <c r="G90" s="7"/>
      <c r="H90" s="7"/>
      <c r="I90" s="7"/>
      <c r="J90" s="7"/>
      <c r="K90" s="7"/>
      <c r="L90" s="7"/>
      <c r="M90" s="7"/>
      <c r="N90" s="7"/>
      <c r="O90" s="7"/>
      <c r="P90" s="7"/>
      <c r="Q90" s="7"/>
      <c r="R90" s="7"/>
      <c r="S90" s="7"/>
      <c r="T90" s="7"/>
      <c r="U90" s="7"/>
      <c r="V90" s="134"/>
      <c r="W90" s="134"/>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row>
    <row r="91" spans="1:52">
      <c r="A91" s="7"/>
      <c r="B91" s="7"/>
      <c r="C91" s="7"/>
      <c r="D91" s="7"/>
      <c r="E91" s="7"/>
      <c r="F91" s="7"/>
      <c r="G91" s="7"/>
      <c r="H91" s="7"/>
      <c r="I91" s="7"/>
      <c r="J91" s="7"/>
      <c r="K91" s="7"/>
      <c r="L91" s="7"/>
      <c r="M91" s="7"/>
      <c r="N91" s="7"/>
      <c r="O91" s="7"/>
      <c r="P91" s="7"/>
      <c r="Q91" s="7"/>
      <c r="R91" s="7"/>
      <c r="S91" s="7"/>
      <c r="T91" s="7"/>
      <c r="U91" s="7"/>
      <c r="V91" s="134"/>
      <c r="W91" s="134"/>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row>
    <row r="92" spans="1:52">
      <c r="A92" s="7"/>
      <c r="B92" s="7"/>
      <c r="C92" s="7"/>
      <c r="D92" s="7"/>
      <c r="E92" s="7"/>
      <c r="F92" s="7"/>
      <c r="G92" s="7"/>
      <c r="H92" s="7"/>
      <c r="I92" s="7"/>
      <c r="J92" s="7"/>
      <c r="K92" s="7"/>
      <c r="L92" s="7"/>
      <c r="M92" s="7"/>
      <c r="N92" s="7"/>
      <c r="O92" s="7"/>
      <c r="P92" s="7"/>
      <c r="Q92" s="7"/>
      <c r="R92" s="7"/>
      <c r="S92" s="7"/>
      <c r="T92" s="7"/>
      <c r="U92" s="7"/>
      <c r="V92" s="134"/>
      <c r="W92" s="134"/>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row>
    <row r="93" spans="1:52">
      <c r="A93" s="7"/>
      <c r="B93" s="7"/>
      <c r="C93" s="7"/>
      <c r="D93" s="7"/>
      <c r="E93" s="7"/>
      <c r="F93" s="7"/>
      <c r="G93" s="7"/>
      <c r="H93" s="7"/>
      <c r="I93" s="7"/>
      <c r="J93" s="7"/>
      <c r="K93" s="7"/>
      <c r="L93" s="7"/>
      <c r="M93" s="7"/>
      <c r="N93" s="7"/>
      <c r="O93" s="7"/>
      <c r="P93" s="7"/>
      <c r="Q93" s="7"/>
      <c r="R93" s="7"/>
      <c r="S93" s="7"/>
      <c r="T93" s="7"/>
      <c r="U93" s="7"/>
      <c r="V93" s="134"/>
      <c r="W93" s="134"/>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row>
    <row r="94" spans="1:52">
      <c r="A94" s="7"/>
      <c r="B94" s="7"/>
      <c r="C94" s="145"/>
      <c r="D94" s="7"/>
      <c r="E94" s="7"/>
      <c r="F94" s="7"/>
      <c r="G94" s="7"/>
      <c r="H94" s="7"/>
      <c r="I94" s="7"/>
      <c r="J94" s="7"/>
      <c r="K94" s="7"/>
      <c r="L94" s="7"/>
      <c r="M94" s="7"/>
      <c r="N94" s="7"/>
      <c r="O94" s="7"/>
      <c r="P94" s="7"/>
      <c r="Q94" s="7"/>
      <c r="R94" s="7"/>
      <c r="S94" s="7"/>
      <c r="T94" s="7"/>
      <c r="U94" s="7"/>
      <c r="V94" s="134"/>
      <c r="W94" s="134"/>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row>
    <row r="95" spans="1:52">
      <c r="A95" s="7"/>
      <c r="B95" s="7"/>
      <c r="C95" s="145"/>
      <c r="D95" s="7"/>
      <c r="E95" s="7"/>
      <c r="F95" s="7"/>
      <c r="G95" s="7"/>
      <c r="H95" s="7"/>
      <c r="I95" s="7"/>
      <c r="J95" s="7"/>
      <c r="K95" s="7"/>
      <c r="L95" s="7"/>
      <c r="M95" s="7"/>
      <c r="N95" s="7"/>
      <c r="O95" s="7"/>
      <c r="P95" s="7"/>
      <c r="Q95" s="7"/>
      <c r="R95" s="7"/>
      <c r="S95" s="7"/>
      <c r="T95" s="7"/>
      <c r="U95" s="7"/>
      <c r="V95" s="134"/>
      <c r="W95" s="134"/>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row>
    <row r="96" spans="1:52">
      <c r="A96" s="7"/>
      <c r="B96" s="7"/>
      <c r="C96" s="7"/>
      <c r="D96" s="7"/>
      <c r="E96" s="7"/>
      <c r="F96" s="7"/>
      <c r="G96" s="7"/>
      <c r="H96" s="7"/>
      <c r="I96" s="7"/>
      <c r="J96" s="7"/>
      <c r="K96" s="7"/>
      <c r="L96" s="7"/>
      <c r="M96" s="7"/>
      <c r="N96" s="7"/>
      <c r="O96" s="7"/>
      <c r="P96" s="7"/>
      <c r="Q96" s="7"/>
      <c r="R96" s="7"/>
      <c r="S96" s="7"/>
      <c r="T96" s="7"/>
      <c r="U96" s="7"/>
      <c r="V96" s="134"/>
      <c r="W96" s="134"/>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row>
    <row r="97" spans="1:52">
      <c r="A97" s="7"/>
      <c r="B97" s="7"/>
      <c r="C97" s="145"/>
      <c r="D97" s="7"/>
      <c r="E97" s="7"/>
      <c r="F97" s="7"/>
      <c r="G97" s="7"/>
      <c r="H97" s="7"/>
      <c r="I97" s="7"/>
      <c r="J97" s="7"/>
      <c r="K97" s="7"/>
      <c r="L97" s="7"/>
      <c r="M97" s="7"/>
      <c r="N97" s="7"/>
      <c r="O97" s="7"/>
      <c r="P97" s="7"/>
      <c r="Q97" s="7"/>
      <c r="R97" s="7"/>
      <c r="S97" s="7"/>
      <c r="T97" s="7"/>
      <c r="U97" s="7"/>
      <c r="V97" s="134"/>
      <c r="W97" s="134"/>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row>
    <row r="98" spans="1:52">
      <c r="A98" s="7"/>
      <c r="B98" s="7"/>
      <c r="C98" s="7"/>
      <c r="D98" s="7"/>
      <c r="E98" s="7"/>
      <c r="F98" s="7"/>
      <c r="G98" s="7"/>
      <c r="H98" s="7"/>
      <c r="I98" s="7"/>
      <c r="J98" s="7"/>
      <c r="K98" s="7"/>
      <c r="L98" s="7"/>
      <c r="M98" s="7"/>
      <c r="N98" s="7"/>
      <c r="O98" s="7"/>
      <c r="P98" s="7"/>
      <c r="Q98" s="7"/>
      <c r="R98" s="7"/>
      <c r="S98" s="7"/>
      <c r="T98" s="7"/>
      <c r="U98" s="7"/>
      <c r="V98" s="134"/>
      <c r="W98" s="134"/>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row>
    <row r="99" spans="1:52">
      <c r="C99" s="10"/>
    </row>
  </sheetData>
  <dataConsolidate/>
  <mergeCells count="72">
    <mergeCell ref="A1:O1"/>
    <mergeCell ref="A2:O2"/>
    <mergeCell ref="A3:O3"/>
    <mergeCell ref="A4:A10"/>
    <mergeCell ref="B4:E10"/>
    <mergeCell ref="F4:H10"/>
    <mergeCell ref="I4:N4"/>
    <mergeCell ref="I5:N5"/>
    <mergeCell ref="I6:N6"/>
    <mergeCell ref="I7:N7"/>
    <mergeCell ref="A22:M22"/>
    <mergeCell ref="I8:N8"/>
    <mergeCell ref="I9:N9"/>
    <mergeCell ref="I10:N10"/>
    <mergeCell ref="C11:H11"/>
    <mergeCell ref="J11:L11"/>
    <mergeCell ref="M11:O11"/>
    <mergeCell ref="A12:O12"/>
    <mergeCell ref="A13:O13"/>
    <mergeCell ref="A14:O14"/>
    <mergeCell ref="A15:O15"/>
    <mergeCell ref="A17:A21"/>
    <mergeCell ref="A39:O39"/>
    <mergeCell ref="A23:O23"/>
    <mergeCell ref="A24:O24"/>
    <mergeCell ref="A25:O25"/>
    <mergeCell ref="A27:A31"/>
    <mergeCell ref="A32:M32"/>
    <mergeCell ref="A33:O33"/>
    <mergeCell ref="A34:N34"/>
    <mergeCell ref="A35:O35"/>
    <mergeCell ref="A36:N36"/>
    <mergeCell ref="A37:O37"/>
    <mergeCell ref="A38:N38"/>
    <mergeCell ref="A50:O50"/>
    <mergeCell ref="A40:N40"/>
    <mergeCell ref="A41:O41"/>
    <mergeCell ref="A42:N42"/>
    <mergeCell ref="A43:O43"/>
    <mergeCell ref="A44:N44"/>
    <mergeCell ref="A45:O45"/>
    <mergeCell ref="A46:O46"/>
    <mergeCell ref="A47:N47"/>
    <mergeCell ref="A48:O48"/>
    <mergeCell ref="A49:L49"/>
    <mergeCell ref="M49:N49"/>
    <mergeCell ref="A51:B54"/>
    <mergeCell ref="C51:L54"/>
    <mergeCell ref="M51:O51"/>
    <mergeCell ref="M52:O52"/>
    <mergeCell ref="M53:O57"/>
    <mergeCell ref="A55:B56"/>
    <mergeCell ref="C55:L56"/>
    <mergeCell ref="A57:L57"/>
    <mergeCell ref="A65:O65"/>
    <mergeCell ref="A58:O58"/>
    <mergeCell ref="A59:L59"/>
    <mergeCell ref="M59:O59"/>
    <mergeCell ref="A60:L60"/>
    <mergeCell ref="M60:O60"/>
    <mergeCell ref="A61:L61"/>
    <mergeCell ref="M61:O61"/>
    <mergeCell ref="A62:O62"/>
    <mergeCell ref="A63:L63"/>
    <mergeCell ref="M63:O63"/>
    <mergeCell ref="A64:L64"/>
    <mergeCell ref="M64:N64"/>
    <mergeCell ref="A66:L66"/>
    <mergeCell ref="M66:O66"/>
    <mergeCell ref="A67:L67"/>
    <mergeCell ref="M67:N67"/>
    <mergeCell ref="A68:O68"/>
  </mergeCells>
  <conditionalFormatting sqref="O22">
    <cfRule type="cellIs" dxfId="50" priority="22" operator="equal">
      <formula>100</formula>
    </cfRule>
  </conditionalFormatting>
  <conditionalFormatting sqref="O22">
    <cfRule type="cellIs" dxfId="49" priority="20" operator="equal">
      <formula>"NO CUMPLE"</formula>
    </cfRule>
    <cfRule type="cellIs" dxfId="48" priority="21" operator="equal">
      <formula>"CUMPLE"</formula>
    </cfRule>
  </conditionalFormatting>
  <conditionalFormatting sqref="P23">
    <cfRule type="cellIs" dxfId="47" priority="19" operator="equal">
      <formula>100</formula>
    </cfRule>
  </conditionalFormatting>
  <conditionalFormatting sqref="P23">
    <cfRule type="cellIs" dxfId="46" priority="17" operator="equal">
      <formula>"NO CUMPLE"</formula>
    </cfRule>
    <cfRule type="cellIs" dxfId="45" priority="18" operator="equal">
      <formula>"CUMPLE"</formula>
    </cfRule>
  </conditionalFormatting>
  <conditionalFormatting sqref="P45 P56 P50:P54">
    <cfRule type="cellIs" dxfId="44" priority="16" operator="equal">
      <formula>100</formula>
    </cfRule>
  </conditionalFormatting>
  <conditionalFormatting sqref="P45 P56 P50:P54">
    <cfRule type="cellIs" dxfId="43" priority="14" operator="equal">
      <formula>"NO CUMPLE"</formula>
    </cfRule>
    <cfRule type="cellIs" dxfId="42" priority="15" operator="equal">
      <formula>"CUMPLE"</formula>
    </cfRule>
  </conditionalFormatting>
  <conditionalFormatting sqref="O32">
    <cfRule type="cellIs" dxfId="41" priority="13" operator="equal">
      <formula>100</formula>
    </cfRule>
  </conditionalFormatting>
  <conditionalFormatting sqref="O32">
    <cfRule type="cellIs" dxfId="40" priority="11" operator="equal">
      <formula>"NO CUMPLE"</formula>
    </cfRule>
    <cfRule type="cellIs" dxfId="39" priority="12" operator="equal">
      <formula>"CUMPLE"</formula>
    </cfRule>
  </conditionalFormatting>
  <conditionalFormatting sqref="P32">
    <cfRule type="cellIs" dxfId="38" priority="10" operator="equal">
      <formula>100</formula>
    </cfRule>
  </conditionalFormatting>
  <conditionalFormatting sqref="P32">
    <cfRule type="cellIs" dxfId="37" priority="8" operator="equal">
      <formula>"NO CUMPLE"</formula>
    </cfRule>
    <cfRule type="cellIs" dxfId="36" priority="9" operator="equal">
      <formula>"CUMPLE"</formula>
    </cfRule>
  </conditionalFormatting>
  <conditionalFormatting sqref="P55">
    <cfRule type="cellIs" dxfId="35" priority="7" operator="equal">
      <formula>100</formula>
    </cfRule>
  </conditionalFormatting>
  <conditionalFormatting sqref="P55">
    <cfRule type="cellIs" dxfId="34" priority="5" operator="equal">
      <formula>"NO CUMPLE"</formula>
    </cfRule>
    <cfRule type="cellIs" dxfId="33" priority="6" operator="equal">
      <formula>"CUMPLE"</formula>
    </cfRule>
  </conditionalFormatting>
  <conditionalFormatting sqref="P57">
    <cfRule type="cellIs" dxfId="32" priority="4" operator="equal">
      <formula>100</formula>
    </cfRule>
  </conditionalFormatting>
  <conditionalFormatting sqref="P57">
    <cfRule type="cellIs" dxfId="31" priority="2" operator="equal">
      <formula>"NO CUMPLE"</formula>
    </cfRule>
    <cfRule type="cellIs" dxfId="30" priority="3" operator="equal">
      <formula>"CUMPLE"</formula>
    </cfRule>
  </conditionalFormatting>
  <conditionalFormatting sqref="O42">
    <cfRule type="containsText" dxfId="29" priority="1" operator="containsText" text="NO CUMPLE">
      <formula>NOT(ISERROR(SEARCH("NO CUMPLE",O42)))</formula>
    </cfRule>
  </conditionalFormatting>
  <dataValidations disablePrompts="1" count="2">
    <dataValidation type="list" allowBlank="1" showInputMessage="1" showErrorMessage="1" sqref="O50" xr:uid="{9777DC83-C319-4606-B5DD-3513775E13C8}">
      <formula1>$R$4:$R$5</formula1>
    </dataValidation>
    <dataValidation type="list" allowBlank="1" showInputMessage="1" showErrorMessage="1" sqref="V1:V2" xr:uid="{3E90ED23-FDDF-4273-BF0B-F0EA2388B36D}">
      <formula1>$V$1:$V$2</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3" max="14" man="1"/>
    <brk id="79"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6E34C-211C-4856-A259-A81AAFB962A1}">
  <sheetPr>
    <tabColor rgb="FF50F828"/>
  </sheetPr>
  <dimension ref="A1:AZ99"/>
  <sheetViews>
    <sheetView topLeftCell="A32" zoomScale="55" zoomScaleNormal="55" zoomScaleSheetLayoutView="55" workbookViewId="0">
      <selection activeCell="R44" sqref="R44"/>
    </sheetView>
  </sheetViews>
  <sheetFormatPr baseColWidth="10" defaultColWidth="11.42578125" defaultRowHeight="16.5"/>
  <cols>
    <col min="1" max="1" width="22.42578125" style="1" bestFit="1" customWidth="1"/>
    <col min="2" max="2" width="25.42578125" style="1" bestFit="1" customWidth="1"/>
    <col min="3" max="3" width="22.5703125" style="1" customWidth="1"/>
    <col min="4" max="4" width="24.85546875" style="1" customWidth="1"/>
    <col min="5" max="5" width="25.7109375" style="1" customWidth="1"/>
    <col min="6" max="6" width="29.42578125" style="1" customWidth="1"/>
    <col min="7" max="7" width="25.85546875" style="1" customWidth="1"/>
    <col min="8" max="8" width="25.7109375" style="1" customWidth="1"/>
    <col min="9" max="9" width="38.5703125" style="1" customWidth="1"/>
    <col min="10" max="10" width="30.42578125" style="1" customWidth="1"/>
    <col min="11" max="11" width="33.42578125" style="1" customWidth="1"/>
    <col min="12" max="12" width="21.42578125" style="1" customWidth="1"/>
    <col min="13" max="13" width="26" style="1" customWidth="1"/>
    <col min="14" max="14" width="20.42578125" style="1" customWidth="1"/>
    <col min="15" max="15" width="26.42578125" style="1" bestFit="1" customWidth="1"/>
    <col min="16" max="17" width="6.7109375" style="1" customWidth="1"/>
    <col min="18" max="18" width="30" style="1" customWidth="1"/>
    <col min="19" max="21" width="18.7109375" style="1" customWidth="1"/>
    <col min="22" max="23" width="18.7109375" style="121" customWidth="1"/>
    <col min="24" max="57" width="18.7109375" style="1" customWidth="1"/>
    <col min="58" max="16384" width="11.42578125" style="1"/>
  </cols>
  <sheetData>
    <row r="1" spans="1:52" ht="27">
      <c r="A1" s="280" t="s">
        <v>45</v>
      </c>
      <c r="B1" s="281"/>
      <c r="C1" s="281"/>
      <c r="D1" s="281"/>
      <c r="E1" s="281"/>
      <c r="F1" s="281"/>
      <c r="G1" s="281"/>
      <c r="H1" s="281"/>
      <c r="I1" s="281"/>
      <c r="J1" s="281"/>
      <c r="K1" s="281"/>
      <c r="L1" s="281"/>
      <c r="M1" s="281"/>
      <c r="N1" s="281"/>
      <c r="O1" s="282"/>
      <c r="P1" s="7"/>
      <c r="Q1" s="7"/>
      <c r="R1" s="7"/>
      <c r="S1" s="7"/>
      <c r="T1" s="7"/>
      <c r="U1" s="135"/>
      <c r="V1" s="134"/>
      <c r="W1" s="134"/>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row>
    <row r="2" spans="1:52" ht="23.25">
      <c r="A2" s="283" t="str">
        <f>'RESUMEN P1'!B7</f>
        <v>PROCESO DE LICITACIÓN PÚBLICA 24001224 H1 2024</v>
      </c>
      <c r="B2" s="284"/>
      <c r="C2" s="284"/>
      <c r="D2" s="284"/>
      <c r="E2" s="284"/>
      <c r="F2" s="284"/>
      <c r="G2" s="284"/>
      <c r="H2" s="284"/>
      <c r="I2" s="284"/>
      <c r="J2" s="284"/>
      <c r="K2" s="284"/>
      <c r="L2" s="284"/>
      <c r="M2" s="284"/>
      <c r="N2" s="284"/>
      <c r="O2" s="285"/>
      <c r="P2" s="7"/>
      <c r="Q2" s="7"/>
      <c r="R2" s="7"/>
      <c r="S2" s="7"/>
      <c r="T2" s="7"/>
      <c r="U2" s="135"/>
      <c r="V2" s="134"/>
      <c r="W2" s="134"/>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row>
    <row r="3" spans="1:52" ht="71.45" customHeight="1">
      <c r="A3" s="286" t="str">
        <f>'RESUMEN P1'!B6</f>
        <v>REALIZAR EL SUMINISTRO E INSTALACIÓN DE LOS SISTEMAS DE AYUDAS VISUALES Y SUS OBRAS
COMPLEMENTARIAS PARA EL AEROPUERTO PERALES DE IBAGUÉ, TOLIMA (VF)</v>
      </c>
      <c r="B3" s="287"/>
      <c r="C3" s="287"/>
      <c r="D3" s="287"/>
      <c r="E3" s="287"/>
      <c r="F3" s="287"/>
      <c r="G3" s="287"/>
      <c r="H3" s="287"/>
      <c r="I3" s="287"/>
      <c r="J3" s="287"/>
      <c r="K3" s="287"/>
      <c r="L3" s="287"/>
      <c r="M3" s="287"/>
      <c r="N3" s="287"/>
      <c r="O3" s="288"/>
      <c r="P3" s="7"/>
      <c r="Q3" s="7"/>
      <c r="R3" s="7"/>
      <c r="S3" s="7"/>
      <c r="T3" s="7"/>
      <c r="U3" s="7"/>
      <c r="V3" s="134"/>
      <c r="W3" s="134"/>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row>
    <row r="4" spans="1:52" ht="21.95" customHeight="1">
      <c r="A4" s="289">
        <f>'RESUMEN P1'!B13</f>
        <v>3</v>
      </c>
      <c r="B4" s="304" t="str">
        <f>'RESUMEN P1'!C13</f>
        <v>CONSORCIO ILUMINACIÓN IBE24</v>
      </c>
      <c r="C4" s="305"/>
      <c r="D4" s="305"/>
      <c r="E4" s="306"/>
      <c r="F4" s="255" t="s">
        <v>9</v>
      </c>
      <c r="G4" s="256"/>
      <c r="H4" s="257"/>
      <c r="I4" s="292" t="s">
        <v>10</v>
      </c>
      <c r="J4" s="293"/>
      <c r="K4" s="293"/>
      <c r="L4" s="293"/>
      <c r="M4" s="293"/>
      <c r="N4" s="294"/>
      <c r="O4" s="14" t="s">
        <v>39</v>
      </c>
      <c r="P4" s="7"/>
      <c r="Q4" s="7"/>
      <c r="R4" s="7"/>
      <c r="S4" s="7"/>
      <c r="T4" s="7"/>
      <c r="U4" s="7"/>
      <c r="V4" s="134"/>
      <c r="W4" s="134"/>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row>
    <row r="5" spans="1:52" ht="21.95" customHeight="1">
      <c r="A5" s="290"/>
      <c r="B5" s="307"/>
      <c r="C5" s="308"/>
      <c r="D5" s="308"/>
      <c r="E5" s="309"/>
      <c r="F5" s="258"/>
      <c r="G5" s="259"/>
      <c r="H5" s="260"/>
      <c r="I5" s="295" t="s">
        <v>51</v>
      </c>
      <c r="J5" s="296"/>
      <c r="K5" s="296"/>
      <c r="L5" s="296"/>
      <c r="M5" s="296"/>
      <c r="N5" s="297"/>
      <c r="O5" s="15">
        <v>0.9</v>
      </c>
      <c r="P5" s="7"/>
      <c r="Q5" s="7"/>
      <c r="R5" s="122" t="s">
        <v>125</v>
      </c>
      <c r="S5" s="124">
        <v>2024</v>
      </c>
      <c r="T5" s="124">
        <v>2023</v>
      </c>
      <c r="U5" s="124">
        <v>2022</v>
      </c>
      <c r="V5" s="124">
        <v>2021</v>
      </c>
      <c r="W5" s="124">
        <v>2020</v>
      </c>
      <c r="X5" s="124">
        <v>2019</v>
      </c>
      <c r="Y5" s="124">
        <v>2018</v>
      </c>
      <c r="Z5" s="124">
        <v>2017</v>
      </c>
      <c r="AA5" s="124">
        <v>2016</v>
      </c>
      <c r="AB5" s="124">
        <v>2015</v>
      </c>
      <c r="AC5" s="124">
        <v>2014</v>
      </c>
      <c r="AD5" s="124">
        <v>2013</v>
      </c>
      <c r="AE5" s="124">
        <v>2012</v>
      </c>
      <c r="AF5" s="124">
        <v>2011</v>
      </c>
      <c r="AG5" s="7"/>
      <c r="AH5" s="7"/>
      <c r="AI5" s="7"/>
      <c r="AJ5" s="7"/>
      <c r="AK5" s="7"/>
      <c r="AL5" s="7"/>
      <c r="AM5" s="7"/>
      <c r="AN5" s="7"/>
      <c r="AO5" s="7"/>
      <c r="AP5" s="7"/>
      <c r="AQ5" s="7"/>
      <c r="AR5" s="7"/>
      <c r="AS5" s="7"/>
      <c r="AT5" s="7"/>
      <c r="AU5" s="7"/>
      <c r="AV5" s="7"/>
      <c r="AW5" s="7"/>
      <c r="AX5" s="7"/>
      <c r="AY5" s="7"/>
      <c r="AZ5" s="7"/>
    </row>
    <row r="6" spans="1:52" ht="21.95" customHeight="1">
      <c r="A6" s="290"/>
      <c r="B6" s="307"/>
      <c r="C6" s="308"/>
      <c r="D6" s="308"/>
      <c r="E6" s="309"/>
      <c r="F6" s="258"/>
      <c r="G6" s="259"/>
      <c r="H6" s="260"/>
      <c r="I6" s="298" t="s">
        <v>52</v>
      </c>
      <c r="J6" s="299"/>
      <c r="K6" s="299"/>
      <c r="L6" s="299"/>
      <c r="M6" s="299"/>
      <c r="N6" s="300"/>
      <c r="O6" s="15">
        <v>0.1</v>
      </c>
      <c r="P6" s="7"/>
      <c r="Q6" s="7"/>
      <c r="R6" s="123" t="s">
        <v>127</v>
      </c>
      <c r="S6" s="125">
        <v>1300000</v>
      </c>
      <c r="T6" s="125">
        <v>1160000</v>
      </c>
      <c r="U6" s="125">
        <v>1000000</v>
      </c>
      <c r="V6" s="125">
        <v>908526</v>
      </c>
      <c r="W6" s="125">
        <v>877803</v>
      </c>
      <c r="X6" s="125">
        <v>828116</v>
      </c>
      <c r="Y6" s="125">
        <v>781242</v>
      </c>
      <c r="Z6" s="125">
        <v>737717</v>
      </c>
      <c r="AA6" s="125">
        <v>689455</v>
      </c>
      <c r="AB6" s="125">
        <v>644350</v>
      </c>
      <c r="AC6" s="125">
        <v>616000</v>
      </c>
      <c r="AD6" s="125">
        <v>589500</v>
      </c>
      <c r="AE6" s="125">
        <v>566700</v>
      </c>
      <c r="AF6" s="125">
        <v>535600</v>
      </c>
      <c r="AG6" s="7"/>
      <c r="AH6" s="7"/>
      <c r="AI6" s="7"/>
      <c r="AJ6" s="7"/>
      <c r="AK6" s="7"/>
      <c r="AL6" s="7"/>
      <c r="AM6" s="7"/>
      <c r="AN6" s="7"/>
      <c r="AO6" s="7"/>
      <c r="AP6" s="7"/>
      <c r="AQ6" s="7"/>
      <c r="AR6" s="7"/>
      <c r="AS6" s="7"/>
      <c r="AT6" s="7"/>
      <c r="AU6" s="7"/>
      <c r="AV6" s="7"/>
      <c r="AW6" s="7"/>
      <c r="AX6" s="7"/>
      <c r="AY6" s="7"/>
      <c r="AZ6" s="7"/>
    </row>
    <row r="7" spans="1:52" ht="21.95" customHeight="1">
      <c r="A7" s="290"/>
      <c r="B7" s="307"/>
      <c r="C7" s="308"/>
      <c r="D7" s="308"/>
      <c r="E7" s="309"/>
      <c r="F7" s="258"/>
      <c r="G7" s="259"/>
      <c r="H7" s="260"/>
      <c r="I7" s="298"/>
      <c r="J7" s="299"/>
      <c r="K7" s="299"/>
      <c r="L7" s="299"/>
      <c r="M7" s="299"/>
      <c r="N7" s="300"/>
      <c r="O7" s="15"/>
      <c r="P7" s="7"/>
      <c r="Q7" s="7"/>
      <c r="R7" s="122" t="s">
        <v>125</v>
      </c>
      <c r="S7" s="124">
        <v>2010</v>
      </c>
      <c r="T7" s="124">
        <v>2009</v>
      </c>
      <c r="U7" s="124">
        <v>2008</v>
      </c>
      <c r="V7" s="124">
        <v>2007</v>
      </c>
      <c r="W7" s="124">
        <v>2006</v>
      </c>
      <c r="X7" s="124">
        <v>2005</v>
      </c>
      <c r="Y7" s="124">
        <v>2004</v>
      </c>
      <c r="Z7" s="124">
        <v>2003</v>
      </c>
      <c r="AA7" s="124">
        <v>2002</v>
      </c>
      <c r="AB7" s="124">
        <v>2001</v>
      </c>
      <c r="AC7" s="124">
        <v>2000</v>
      </c>
      <c r="AD7" s="124">
        <v>1999</v>
      </c>
      <c r="AE7" s="124">
        <v>1998</v>
      </c>
      <c r="AF7" s="124">
        <v>1997</v>
      </c>
      <c r="AG7" s="7"/>
      <c r="AH7" s="7"/>
      <c r="AI7" s="7"/>
      <c r="AJ7" s="7"/>
      <c r="AK7" s="7"/>
      <c r="AL7" s="7"/>
      <c r="AM7" s="7"/>
      <c r="AN7" s="7"/>
      <c r="AO7" s="7"/>
      <c r="AP7" s="7"/>
      <c r="AQ7" s="7"/>
      <c r="AR7" s="7"/>
      <c r="AS7" s="7"/>
      <c r="AT7" s="7"/>
      <c r="AU7" s="7"/>
      <c r="AV7" s="7"/>
      <c r="AW7" s="7"/>
      <c r="AX7" s="7"/>
      <c r="AY7" s="7"/>
      <c r="AZ7" s="7"/>
    </row>
    <row r="8" spans="1:52" ht="21.95" customHeight="1">
      <c r="A8" s="290"/>
      <c r="B8" s="307"/>
      <c r="C8" s="308"/>
      <c r="D8" s="308"/>
      <c r="E8" s="309"/>
      <c r="F8" s="258"/>
      <c r="G8" s="259"/>
      <c r="H8" s="260"/>
      <c r="I8" s="298"/>
      <c r="J8" s="299"/>
      <c r="K8" s="299"/>
      <c r="L8" s="299"/>
      <c r="M8" s="299"/>
      <c r="N8" s="300"/>
      <c r="O8" s="15"/>
      <c r="P8" s="7"/>
      <c r="Q8" s="7"/>
      <c r="R8" s="123" t="s">
        <v>127</v>
      </c>
      <c r="S8" s="125">
        <v>515000</v>
      </c>
      <c r="T8" s="125">
        <v>496900</v>
      </c>
      <c r="U8" s="125">
        <v>461500</v>
      </c>
      <c r="V8" s="125">
        <v>433700</v>
      </c>
      <c r="W8" s="125">
        <v>408000</v>
      </c>
      <c r="X8" s="125">
        <v>381500</v>
      </c>
      <c r="Y8" s="125">
        <v>358000</v>
      </c>
      <c r="Z8" s="125">
        <v>332000</v>
      </c>
      <c r="AA8" s="125">
        <v>309000</v>
      </c>
      <c r="AB8" s="125">
        <v>286000</v>
      </c>
      <c r="AC8" s="125">
        <v>260100</v>
      </c>
      <c r="AD8" s="125">
        <v>236438</v>
      </c>
      <c r="AE8" s="125">
        <v>203825</v>
      </c>
      <c r="AF8" s="125">
        <v>172005</v>
      </c>
      <c r="AG8" s="7"/>
      <c r="AH8" s="7"/>
      <c r="AI8" s="7"/>
      <c r="AJ8" s="7"/>
      <c r="AK8" s="7"/>
      <c r="AL8" s="7"/>
      <c r="AM8" s="7"/>
      <c r="AN8" s="7"/>
      <c r="AO8" s="7"/>
      <c r="AP8" s="7"/>
      <c r="AQ8" s="7"/>
      <c r="AR8" s="7"/>
      <c r="AS8" s="7"/>
      <c r="AT8" s="7"/>
      <c r="AU8" s="7"/>
      <c r="AV8" s="7"/>
      <c r="AW8" s="7"/>
      <c r="AX8" s="7"/>
      <c r="AY8" s="7"/>
      <c r="AZ8" s="7"/>
    </row>
    <row r="9" spans="1:52" ht="21.95" customHeight="1">
      <c r="A9" s="290"/>
      <c r="B9" s="307"/>
      <c r="C9" s="308"/>
      <c r="D9" s="308"/>
      <c r="E9" s="309"/>
      <c r="F9" s="258"/>
      <c r="G9" s="259"/>
      <c r="H9" s="260"/>
      <c r="I9" s="298"/>
      <c r="J9" s="299"/>
      <c r="K9" s="299"/>
      <c r="L9" s="299"/>
      <c r="M9" s="299"/>
      <c r="N9" s="300"/>
      <c r="O9" s="15"/>
      <c r="P9" s="7"/>
      <c r="Q9" s="7"/>
      <c r="R9" s="122" t="s">
        <v>125</v>
      </c>
      <c r="S9" s="124">
        <v>1996</v>
      </c>
      <c r="T9" s="124">
        <v>1995</v>
      </c>
      <c r="U9" s="124">
        <v>1994</v>
      </c>
      <c r="V9" s="124">
        <v>1993</v>
      </c>
      <c r="W9" s="124">
        <v>1992</v>
      </c>
      <c r="X9" s="124">
        <v>1991</v>
      </c>
      <c r="Y9" s="124">
        <v>1990</v>
      </c>
      <c r="Z9" s="124"/>
      <c r="AA9" s="124"/>
      <c r="AB9" s="124"/>
      <c r="AC9" s="124"/>
      <c r="AD9" s="124"/>
      <c r="AE9" s="124"/>
      <c r="AF9" s="124"/>
      <c r="AG9" s="7"/>
      <c r="AH9" s="7"/>
      <c r="AI9" s="7"/>
      <c r="AJ9" s="7"/>
      <c r="AK9" s="7"/>
      <c r="AL9" s="7"/>
      <c r="AM9" s="7"/>
      <c r="AN9" s="7"/>
      <c r="AO9" s="7"/>
      <c r="AP9" s="7"/>
      <c r="AQ9" s="7"/>
      <c r="AR9" s="7"/>
      <c r="AS9" s="7"/>
      <c r="AT9" s="7"/>
      <c r="AU9" s="7"/>
      <c r="AV9" s="7"/>
      <c r="AW9" s="7"/>
      <c r="AX9" s="7"/>
      <c r="AY9" s="7"/>
      <c r="AZ9" s="7"/>
    </row>
    <row r="10" spans="1:52" ht="21.95" customHeight="1">
      <c r="A10" s="291"/>
      <c r="B10" s="310"/>
      <c r="C10" s="311"/>
      <c r="D10" s="311"/>
      <c r="E10" s="312"/>
      <c r="F10" s="261"/>
      <c r="G10" s="262"/>
      <c r="H10" s="263"/>
      <c r="I10" s="301" t="s">
        <v>11</v>
      </c>
      <c r="J10" s="302"/>
      <c r="K10" s="302"/>
      <c r="L10" s="302"/>
      <c r="M10" s="302"/>
      <c r="N10" s="303"/>
      <c r="O10" s="16">
        <f>+SUM(O5:O9)</f>
        <v>1</v>
      </c>
      <c r="P10" s="27"/>
      <c r="Q10" s="27"/>
      <c r="R10" s="123" t="s">
        <v>127</v>
      </c>
      <c r="S10" s="125">
        <v>142125</v>
      </c>
      <c r="T10" s="125">
        <v>118934</v>
      </c>
      <c r="U10" s="125">
        <v>98700</v>
      </c>
      <c r="V10" s="125">
        <v>81510</v>
      </c>
      <c r="W10" s="125">
        <v>65190</v>
      </c>
      <c r="X10" s="125">
        <v>51720</v>
      </c>
      <c r="Y10" s="125">
        <v>41025</v>
      </c>
      <c r="Z10" s="125"/>
      <c r="AA10" s="125"/>
      <c r="AB10" s="125"/>
      <c r="AC10" s="125"/>
      <c r="AD10" s="125"/>
      <c r="AE10" s="125"/>
      <c r="AF10" s="125"/>
      <c r="AG10" s="7"/>
      <c r="AH10" s="7"/>
      <c r="AI10" s="7"/>
      <c r="AJ10" s="7"/>
      <c r="AK10" s="7"/>
      <c r="AL10" s="7"/>
      <c r="AM10" s="7"/>
      <c r="AN10" s="7"/>
      <c r="AO10" s="7"/>
      <c r="AP10" s="7"/>
      <c r="AQ10" s="7"/>
      <c r="AR10" s="7"/>
      <c r="AS10" s="7"/>
      <c r="AT10" s="7"/>
      <c r="AU10" s="7"/>
      <c r="AV10" s="7"/>
      <c r="AW10" s="7"/>
      <c r="AX10" s="7"/>
      <c r="AY10" s="7"/>
      <c r="AZ10" s="7"/>
    </row>
    <row r="11" spans="1:52" ht="100.5" customHeight="1">
      <c r="A11" s="146" t="s">
        <v>38</v>
      </c>
      <c r="B11" s="13" t="s">
        <v>242</v>
      </c>
      <c r="C11" s="274" t="s">
        <v>12</v>
      </c>
      <c r="D11" s="275"/>
      <c r="E11" s="275"/>
      <c r="F11" s="275"/>
      <c r="G11" s="275"/>
      <c r="H11" s="276"/>
      <c r="I11" s="126">
        <f>'PPTO IBAGUE OFICIAL 2024'!K48</f>
        <v>5493701977</v>
      </c>
      <c r="J11" s="271" t="s">
        <v>13</v>
      </c>
      <c r="K11" s="272"/>
      <c r="L11" s="273"/>
      <c r="M11" s="268">
        <f>I11/S6</f>
        <v>4225.9245976923075</v>
      </c>
      <c r="N11" s="269"/>
      <c r="O11" s="270"/>
      <c r="P11" s="7"/>
      <c r="Q11" s="7"/>
      <c r="R11" s="7"/>
      <c r="S11" s="7"/>
      <c r="T11" s="136"/>
      <c r="U11" s="7"/>
      <c r="V11" s="134"/>
      <c r="W11" s="134"/>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row>
    <row r="12" spans="1:52" ht="26.1" customHeight="1">
      <c r="A12" s="267"/>
      <c r="B12" s="267"/>
      <c r="C12" s="267"/>
      <c r="D12" s="267"/>
      <c r="E12" s="267"/>
      <c r="F12" s="267"/>
      <c r="G12" s="267"/>
      <c r="H12" s="267"/>
      <c r="I12" s="267"/>
      <c r="J12" s="267"/>
      <c r="K12" s="267"/>
      <c r="L12" s="267"/>
      <c r="M12" s="267"/>
      <c r="N12" s="267"/>
      <c r="O12" s="267"/>
      <c r="P12" s="7"/>
      <c r="Q12" s="7"/>
      <c r="R12" s="7"/>
      <c r="S12" s="7"/>
      <c r="T12" s="136"/>
      <c r="U12" s="7"/>
      <c r="V12" s="134"/>
      <c r="W12" s="134"/>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row>
    <row r="13" spans="1:52" ht="33.75">
      <c r="A13" s="254" t="s">
        <v>14</v>
      </c>
      <c r="B13" s="254"/>
      <c r="C13" s="254"/>
      <c r="D13" s="254"/>
      <c r="E13" s="254"/>
      <c r="F13" s="254"/>
      <c r="G13" s="254"/>
      <c r="H13" s="254"/>
      <c r="I13" s="254"/>
      <c r="J13" s="254"/>
      <c r="K13" s="254"/>
      <c r="L13" s="254"/>
      <c r="M13" s="254"/>
      <c r="N13" s="254"/>
      <c r="O13" s="254"/>
      <c r="P13" s="7"/>
      <c r="Q13" s="7"/>
      <c r="R13" s="7"/>
      <c r="S13" s="7"/>
      <c r="T13" s="7"/>
      <c r="U13" s="7"/>
      <c r="V13" s="134"/>
      <c r="W13" s="134"/>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row>
    <row r="14" spans="1:52" ht="32.25" customHeight="1">
      <c r="A14" s="242" t="s">
        <v>44</v>
      </c>
      <c r="B14" s="242"/>
      <c r="C14" s="242"/>
      <c r="D14" s="242"/>
      <c r="E14" s="242"/>
      <c r="F14" s="242"/>
      <c r="G14" s="242"/>
      <c r="H14" s="242"/>
      <c r="I14" s="242"/>
      <c r="J14" s="242"/>
      <c r="K14" s="242"/>
      <c r="L14" s="242"/>
      <c r="M14" s="242"/>
      <c r="N14" s="242"/>
      <c r="O14" s="242"/>
      <c r="P14" s="7"/>
      <c r="Q14" s="7"/>
      <c r="R14" s="7"/>
      <c r="S14" s="7"/>
      <c r="T14" s="7"/>
      <c r="U14" s="7"/>
      <c r="V14" s="134"/>
      <c r="W14" s="134"/>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row>
    <row r="15" spans="1:52" ht="68.099999999999994" customHeight="1">
      <c r="A15" s="264" t="s">
        <v>241</v>
      </c>
      <c r="B15" s="264"/>
      <c r="C15" s="264"/>
      <c r="D15" s="264"/>
      <c r="E15" s="264"/>
      <c r="F15" s="264"/>
      <c r="G15" s="264"/>
      <c r="H15" s="264"/>
      <c r="I15" s="264"/>
      <c r="J15" s="264"/>
      <c r="K15" s="264"/>
      <c r="L15" s="264"/>
      <c r="M15" s="264"/>
      <c r="N15" s="264"/>
      <c r="O15" s="264"/>
      <c r="P15" s="7"/>
      <c r="Q15" s="7"/>
      <c r="R15" s="7"/>
      <c r="S15" s="7"/>
      <c r="T15" s="137"/>
      <c r="U15" s="138"/>
      <c r="V15" s="134"/>
      <c r="W15" s="134"/>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row>
    <row r="16" spans="1:52" ht="147.75" customHeight="1">
      <c r="A16" s="17" t="s">
        <v>46</v>
      </c>
      <c r="B16" s="2" t="s">
        <v>15</v>
      </c>
      <c r="C16" s="2" t="s">
        <v>16</v>
      </c>
      <c r="D16" s="2" t="s">
        <v>17</v>
      </c>
      <c r="E16" s="2" t="s">
        <v>18</v>
      </c>
      <c r="F16" s="2" t="s">
        <v>19</v>
      </c>
      <c r="G16" s="17" t="s">
        <v>243</v>
      </c>
      <c r="H16" s="2" t="s">
        <v>20</v>
      </c>
      <c r="I16" s="2" t="s">
        <v>21</v>
      </c>
      <c r="J16" s="2" t="s">
        <v>40</v>
      </c>
      <c r="K16" s="2" t="s">
        <v>22</v>
      </c>
      <c r="L16" s="2" t="s">
        <v>23</v>
      </c>
      <c r="M16" s="2" t="s">
        <v>41</v>
      </c>
      <c r="N16" s="2" t="s">
        <v>24</v>
      </c>
      <c r="O16" s="2" t="s">
        <v>25</v>
      </c>
      <c r="P16" s="25"/>
      <c r="Q16" s="25"/>
      <c r="R16" s="139"/>
      <c r="S16" s="139"/>
      <c r="T16" s="140"/>
      <c r="U16" s="138"/>
      <c r="V16" s="134"/>
      <c r="W16" s="134"/>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row>
    <row r="17" spans="1:52" ht="294" customHeight="1">
      <c r="A17" s="265">
        <f>M11</f>
        <v>4225.9245976923075</v>
      </c>
      <c r="B17" s="127" t="s">
        <v>26</v>
      </c>
      <c r="C17" s="147">
        <v>17</v>
      </c>
      <c r="D17" s="147" t="s">
        <v>157</v>
      </c>
      <c r="E17" s="3" t="s">
        <v>267</v>
      </c>
      <c r="F17" s="147" t="s">
        <v>7</v>
      </c>
      <c r="G17" s="147" t="s">
        <v>7</v>
      </c>
      <c r="H17" s="147" t="s">
        <v>7</v>
      </c>
      <c r="I17" s="147" t="str">
        <f>I5</f>
        <v>AIRAVATA S.A.S.</v>
      </c>
      <c r="J17" s="148">
        <v>42978</v>
      </c>
      <c r="K17" s="149">
        <v>23752180293</v>
      </c>
      <c r="L17" s="131">
        <v>32302.04</v>
      </c>
      <c r="M17" s="150">
        <v>0.55000000000000004</v>
      </c>
      <c r="N17" s="128">
        <f t="shared" ref="N17:N19" si="0">IF(AND(G17="SI",H17="SI"),(L17*M17),0)</f>
        <v>17766.122000000003</v>
      </c>
      <c r="O17" s="129" t="str">
        <f>+IF(AND(H17="SI",G17="SI"),"CUMPLE","NO CUMPLE")</f>
        <v>CUMPLE</v>
      </c>
      <c r="P17" s="25"/>
      <c r="Q17" s="25"/>
      <c r="R17" s="141"/>
      <c r="S17" s="25"/>
      <c r="T17" s="142"/>
      <c r="U17" s="7"/>
      <c r="V17" s="134"/>
      <c r="W17" s="134"/>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row>
    <row r="18" spans="1:52" ht="188.25" customHeight="1">
      <c r="A18" s="265"/>
      <c r="B18" s="127" t="s">
        <v>27</v>
      </c>
      <c r="C18" s="147">
        <v>25</v>
      </c>
      <c r="D18" s="147" t="s">
        <v>157</v>
      </c>
      <c r="E18" s="3" t="s">
        <v>268</v>
      </c>
      <c r="F18" s="147" t="s">
        <v>7</v>
      </c>
      <c r="G18" s="147" t="s">
        <v>7</v>
      </c>
      <c r="H18" s="147" t="s">
        <v>7</v>
      </c>
      <c r="I18" s="147" t="str">
        <f>I5</f>
        <v>AIRAVATA S.A.S.</v>
      </c>
      <c r="J18" s="148">
        <v>43449</v>
      </c>
      <c r="K18" s="149">
        <v>27934779458</v>
      </c>
      <c r="L18" s="132">
        <f>K18/Y6</f>
        <v>35756.883856730696</v>
      </c>
      <c r="M18" s="150">
        <v>0.97</v>
      </c>
      <c r="N18" s="128">
        <f t="shared" si="0"/>
        <v>34684.177341028771</v>
      </c>
      <c r="O18" s="129" t="str">
        <f>+IF(AND(H18="SI",G18="SI"),"CUMPLE","NO CUMPLE")</f>
        <v>CUMPLE</v>
      </c>
      <c r="P18" s="25"/>
      <c r="Q18" s="25"/>
      <c r="R18" s="141"/>
      <c r="S18" s="25"/>
      <c r="T18" s="142"/>
      <c r="U18" s="7"/>
      <c r="V18" s="134"/>
      <c r="W18" s="134"/>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row>
    <row r="19" spans="1:52" ht="256.5" customHeight="1">
      <c r="A19" s="265"/>
      <c r="B19" s="127" t="s">
        <v>28</v>
      </c>
      <c r="C19" s="147">
        <v>37</v>
      </c>
      <c r="D19" s="147" t="s">
        <v>269</v>
      </c>
      <c r="E19" s="3" t="s">
        <v>270</v>
      </c>
      <c r="F19" s="147" t="s">
        <v>7</v>
      </c>
      <c r="G19" s="147" t="s">
        <v>7</v>
      </c>
      <c r="H19" s="147" t="s">
        <v>7</v>
      </c>
      <c r="I19" s="147" t="str">
        <f>I5</f>
        <v>AIRAVATA S.A.S.</v>
      </c>
      <c r="J19" s="148">
        <v>44294</v>
      </c>
      <c r="K19" s="149">
        <v>2271053000</v>
      </c>
      <c r="L19" s="132">
        <f>K19/V6</f>
        <v>2499.7116208011657</v>
      </c>
      <c r="M19" s="150">
        <v>1</v>
      </c>
      <c r="N19" s="128">
        <f t="shared" si="0"/>
        <v>2499.7116208011657</v>
      </c>
      <c r="O19" s="130" t="str">
        <f t="shared" ref="O19" si="1">+IF(AND(H19="SI",G19="SI"),"CUMPLE","NO CUMPLE")</f>
        <v>CUMPLE</v>
      </c>
      <c r="P19" s="25"/>
      <c r="Q19" s="25"/>
      <c r="R19" s="141"/>
      <c r="S19" s="25"/>
      <c r="T19" s="142"/>
      <c r="U19" s="7"/>
      <c r="V19" s="134"/>
      <c r="W19" s="134"/>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row>
    <row r="20" spans="1:52" ht="25.5">
      <c r="A20" s="265"/>
      <c r="B20" s="127"/>
      <c r="C20" s="147"/>
      <c r="D20" s="147"/>
      <c r="E20" s="3"/>
      <c r="F20" s="147"/>
      <c r="G20" s="147"/>
      <c r="H20" s="147"/>
      <c r="I20" s="147"/>
      <c r="J20" s="148"/>
      <c r="K20" s="149"/>
      <c r="L20" s="154"/>
      <c r="M20" s="150"/>
      <c r="N20" s="155"/>
      <c r="O20" s="127"/>
      <c r="P20" s="26"/>
      <c r="Q20" s="25"/>
      <c r="R20" s="141"/>
      <c r="S20" s="143"/>
      <c r="T20" s="142"/>
      <c r="U20" s="7"/>
      <c r="V20" s="134"/>
      <c r="W20" s="134"/>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row>
    <row r="21" spans="1:52" ht="25.5">
      <c r="A21" s="265"/>
      <c r="B21" s="127"/>
      <c r="C21" s="147"/>
      <c r="D21" s="3"/>
      <c r="E21" s="3"/>
      <c r="F21" s="147"/>
      <c r="G21" s="147"/>
      <c r="H21" s="147"/>
      <c r="I21" s="147"/>
      <c r="J21" s="148"/>
      <c r="K21" s="149"/>
      <c r="L21" s="154"/>
      <c r="M21" s="150"/>
      <c r="N21" s="155"/>
      <c r="O21" s="127"/>
      <c r="P21" s="25"/>
      <c r="Q21" s="25"/>
      <c r="R21" s="141"/>
      <c r="S21" s="143"/>
      <c r="T21" s="140"/>
      <c r="U21" s="7"/>
      <c r="V21" s="134"/>
      <c r="W21" s="134"/>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row>
    <row r="22" spans="1:52" ht="33" customHeight="1">
      <c r="A22" s="266" t="s">
        <v>42</v>
      </c>
      <c r="B22" s="266"/>
      <c r="C22" s="266"/>
      <c r="D22" s="266"/>
      <c r="E22" s="266"/>
      <c r="F22" s="266"/>
      <c r="G22" s="266"/>
      <c r="H22" s="266"/>
      <c r="I22" s="266"/>
      <c r="J22" s="266"/>
      <c r="K22" s="266"/>
      <c r="L22" s="266"/>
      <c r="M22" s="266"/>
      <c r="N22" s="11">
        <f>SUM(N17:N21)</f>
        <v>54950.010961829939</v>
      </c>
      <c r="O22" s="12" t="str">
        <f>+IF(OR(O18="CUMPLE",O21="CUMPLE",O20="CUMPLE",O19="CUMPLE",O17="CUMPLE")*AND(N22&gt;=A17),"CUMPLE","NO CUMPLE")</f>
        <v>CUMPLE</v>
      </c>
      <c r="P22" s="25"/>
      <c r="Q22" s="25"/>
      <c r="R22" s="25"/>
      <c r="S22" s="25"/>
      <c r="T22" s="140"/>
      <c r="U22" s="7"/>
      <c r="V22" s="134"/>
      <c r="W22" s="134"/>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row>
    <row r="23" spans="1:52" ht="36" customHeight="1">
      <c r="A23" s="242" t="s">
        <v>43</v>
      </c>
      <c r="B23" s="242"/>
      <c r="C23" s="242"/>
      <c r="D23" s="242"/>
      <c r="E23" s="242"/>
      <c r="F23" s="242"/>
      <c r="G23" s="242"/>
      <c r="H23" s="242"/>
      <c r="I23" s="242"/>
      <c r="J23" s="242"/>
      <c r="K23" s="242"/>
      <c r="L23" s="242"/>
      <c r="M23" s="242"/>
      <c r="N23" s="242"/>
      <c r="O23" s="242"/>
      <c r="P23" s="5"/>
      <c r="Q23" s="25"/>
      <c r="R23" s="7"/>
      <c r="S23" s="25"/>
      <c r="T23" s="144"/>
      <c r="U23" s="7"/>
      <c r="V23" s="134"/>
      <c r="W23" s="134"/>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row>
    <row r="24" spans="1:52" ht="68.099999999999994" customHeight="1">
      <c r="A24" s="264" t="s">
        <v>248</v>
      </c>
      <c r="B24" s="264"/>
      <c r="C24" s="264"/>
      <c r="D24" s="264"/>
      <c r="E24" s="264"/>
      <c r="F24" s="264"/>
      <c r="G24" s="264"/>
      <c r="H24" s="264"/>
      <c r="I24" s="264"/>
      <c r="J24" s="264"/>
      <c r="K24" s="264"/>
      <c r="L24" s="264"/>
      <c r="M24" s="264"/>
      <c r="N24" s="264"/>
      <c r="O24" s="264"/>
      <c r="P24" s="7"/>
      <c r="Q24" s="7"/>
      <c r="R24" s="7"/>
      <c r="S24" s="7"/>
      <c r="T24" s="7"/>
      <c r="U24" s="7"/>
      <c r="V24" s="134"/>
      <c r="W24" s="134"/>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row>
    <row r="25" spans="1:52" ht="63.75" customHeight="1">
      <c r="A25" s="264" t="s">
        <v>249</v>
      </c>
      <c r="B25" s="264"/>
      <c r="C25" s="264"/>
      <c r="D25" s="264"/>
      <c r="E25" s="264"/>
      <c r="F25" s="264"/>
      <c r="G25" s="264"/>
      <c r="H25" s="264"/>
      <c r="I25" s="264"/>
      <c r="J25" s="264"/>
      <c r="K25" s="264"/>
      <c r="L25" s="264"/>
      <c r="M25" s="264"/>
      <c r="N25" s="264"/>
      <c r="O25" s="264"/>
      <c r="P25" s="7"/>
      <c r="Q25" s="7"/>
      <c r="R25" s="7"/>
      <c r="S25" s="7"/>
      <c r="T25" s="137"/>
      <c r="U25" s="7"/>
      <c r="V25" s="134"/>
      <c r="W25" s="134"/>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row>
    <row r="26" spans="1:52" ht="111" customHeight="1">
      <c r="A26" s="17" t="s">
        <v>31</v>
      </c>
      <c r="B26" s="2" t="s">
        <v>15</v>
      </c>
      <c r="C26" s="2" t="s">
        <v>16</v>
      </c>
      <c r="D26" s="2" t="s">
        <v>17</v>
      </c>
      <c r="E26" s="2" t="s">
        <v>18</v>
      </c>
      <c r="F26" s="2" t="s">
        <v>19</v>
      </c>
      <c r="G26" s="17" t="s">
        <v>243</v>
      </c>
      <c r="H26" s="2" t="s">
        <v>20</v>
      </c>
      <c r="I26" s="2" t="s">
        <v>21</v>
      </c>
      <c r="J26" s="2" t="s">
        <v>40</v>
      </c>
      <c r="K26" s="2" t="s">
        <v>22</v>
      </c>
      <c r="L26" s="2" t="s">
        <v>23</v>
      </c>
      <c r="M26" s="2" t="s">
        <v>41</v>
      </c>
      <c r="N26" s="2" t="s">
        <v>24</v>
      </c>
      <c r="O26" s="2" t="s">
        <v>25</v>
      </c>
      <c r="P26" s="25"/>
      <c r="Q26" s="25"/>
      <c r="R26" s="139"/>
      <c r="S26" s="139"/>
      <c r="T26" s="140"/>
      <c r="U26" s="7"/>
      <c r="V26" s="134"/>
      <c r="W26" s="134"/>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row>
    <row r="27" spans="1:52" ht="255" customHeight="1">
      <c r="A27" s="277">
        <f>M11*50%</f>
        <v>2112.9622988461538</v>
      </c>
      <c r="B27" s="127" t="s">
        <v>26</v>
      </c>
      <c r="C27" s="147">
        <v>17</v>
      </c>
      <c r="D27" s="147" t="s">
        <v>157</v>
      </c>
      <c r="E27" s="3" t="s">
        <v>267</v>
      </c>
      <c r="F27" s="147" t="s">
        <v>7</v>
      </c>
      <c r="G27" s="147" t="s">
        <v>7</v>
      </c>
      <c r="H27" s="147" t="s">
        <v>7</v>
      </c>
      <c r="I27" s="147" t="str">
        <f>I5</f>
        <v>AIRAVATA S.A.S.</v>
      </c>
      <c r="J27" s="148">
        <v>42978</v>
      </c>
      <c r="K27" s="149">
        <v>23752180293</v>
      </c>
      <c r="L27" s="131">
        <v>32302.04</v>
      </c>
      <c r="M27" s="150">
        <v>0.55000000000000004</v>
      </c>
      <c r="N27" s="128">
        <f t="shared" ref="N27:N31" si="2">IF(AND(G27="SI",H27="SI"),(L27*M27),0)</f>
        <v>17766.122000000003</v>
      </c>
      <c r="O27" s="129" t="str">
        <f>+IF(AND(H27="SI",G27="SI"),"CUMPLE","NO CUMPLE")</f>
        <v>CUMPLE</v>
      </c>
      <c r="P27" s="25"/>
      <c r="Q27" s="25"/>
      <c r="R27" s="139"/>
      <c r="S27" s="139"/>
      <c r="T27" s="140"/>
      <c r="U27" s="7"/>
      <c r="V27" s="134"/>
      <c r="W27" s="134"/>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row>
    <row r="28" spans="1:52" ht="222" customHeight="1">
      <c r="A28" s="278"/>
      <c r="B28" s="127" t="s">
        <v>27</v>
      </c>
      <c r="C28" s="147">
        <v>25</v>
      </c>
      <c r="D28" s="147" t="s">
        <v>157</v>
      </c>
      <c r="E28" s="3" t="s">
        <v>268</v>
      </c>
      <c r="F28" s="147" t="s">
        <v>7</v>
      </c>
      <c r="G28" s="147" t="s">
        <v>7</v>
      </c>
      <c r="H28" s="147" t="s">
        <v>7</v>
      </c>
      <c r="I28" s="147" t="str">
        <f>I5</f>
        <v>AIRAVATA S.A.S.</v>
      </c>
      <c r="J28" s="148">
        <v>43449</v>
      </c>
      <c r="K28" s="149">
        <v>27934779458</v>
      </c>
      <c r="L28" s="132">
        <f>K28/Y6</f>
        <v>35756.883856730696</v>
      </c>
      <c r="M28" s="150">
        <v>0.97</v>
      </c>
      <c r="N28" s="128">
        <f t="shared" si="2"/>
        <v>34684.177341028771</v>
      </c>
      <c r="O28" s="129" t="str">
        <f>+IF(AND(H28="SI",G28="SI"),"CUMPLE","NO CUMPLE")</f>
        <v>CUMPLE</v>
      </c>
      <c r="P28" s="25"/>
      <c r="Q28" s="25"/>
      <c r="R28" s="141"/>
      <c r="S28" s="25"/>
      <c r="T28" s="140"/>
      <c r="U28" s="7"/>
      <c r="V28" s="134"/>
      <c r="W28" s="134"/>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row>
    <row r="29" spans="1:52" ht="249.75" customHeight="1">
      <c r="A29" s="278"/>
      <c r="B29" s="127" t="s">
        <v>28</v>
      </c>
      <c r="C29" s="147">
        <v>37</v>
      </c>
      <c r="D29" s="147" t="s">
        <v>269</v>
      </c>
      <c r="E29" s="3" t="s">
        <v>270</v>
      </c>
      <c r="F29" s="147" t="s">
        <v>7</v>
      </c>
      <c r="G29" s="147" t="s">
        <v>7</v>
      </c>
      <c r="H29" s="147" t="s">
        <v>7</v>
      </c>
      <c r="I29" s="147" t="str">
        <f>I5</f>
        <v>AIRAVATA S.A.S.</v>
      </c>
      <c r="J29" s="148">
        <v>44294</v>
      </c>
      <c r="K29" s="149">
        <v>2271053000</v>
      </c>
      <c r="L29" s="132">
        <f>K29/V6</f>
        <v>2499.7116208011657</v>
      </c>
      <c r="M29" s="150">
        <v>1</v>
      </c>
      <c r="N29" s="128">
        <f t="shared" si="2"/>
        <v>2499.7116208011657</v>
      </c>
      <c r="O29" s="129" t="str">
        <f>+IF(AND(H29="SI",G29="SI"),"CUMPLE","NO CUMPLE")</f>
        <v>CUMPLE</v>
      </c>
      <c r="P29" s="25"/>
      <c r="Q29" s="25"/>
      <c r="R29" s="141"/>
      <c r="S29" s="25"/>
      <c r="T29" s="140"/>
      <c r="U29" s="7"/>
      <c r="V29" s="134"/>
      <c r="W29" s="134"/>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row>
    <row r="30" spans="1:52" ht="236.25" customHeight="1">
      <c r="A30" s="278"/>
      <c r="B30" s="127" t="s">
        <v>29</v>
      </c>
      <c r="C30" s="147">
        <v>38</v>
      </c>
      <c r="D30" s="147" t="s">
        <v>157</v>
      </c>
      <c r="E30" s="3" t="s">
        <v>265</v>
      </c>
      <c r="F30" s="147" t="s">
        <v>7</v>
      </c>
      <c r="G30" s="147" t="s">
        <v>7</v>
      </c>
      <c r="H30" s="147" t="s">
        <v>7</v>
      </c>
      <c r="I30" s="147" t="str">
        <f>I5</f>
        <v>AIRAVATA S.A.S.</v>
      </c>
      <c r="J30" s="148">
        <v>44533</v>
      </c>
      <c r="K30" s="149">
        <v>1876705446</v>
      </c>
      <c r="L30" s="132">
        <f>K30/V6</f>
        <v>2065.6595914701397</v>
      </c>
      <c r="M30" s="150">
        <v>1</v>
      </c>
      <c r="N30" s="128">
        <f t="shared" si="2"/>
        <v>2065.6595914701397</v>
      </c>
      <c r="O30" s="129" t="str">
        <f>+IF(AND(H30="SI",G30="SI"),"CUMPLE","NO CUMPLE")</f>
        <v>CUMPLE</v>
      </c>
      <c r="P30" s="25"/>
      <c r="Q30" s="25"/>
      <c r="R30" s="141"/>
      <c r="S30" s="25"/>
      <c r="T30" s="140"/>
      <c r="U30" s="7"/>
      <c r="V30" s="134"/>
      <c r="W30" s="134"/>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row>
    <row r="31" spans="1:52" ht="287.25" customHeight="1">
      <c r="A31" s="279"/>
      <c r="B31" s="127" t="s">
        <v>30</v>
      </c>
      <c r="C31" s="147">
        <v>45</v>
      </c>
      <c r="D31" s="147" t="s">
        <v>271</v>
      </c>
      <c r="E31" s="3" t="s">
        <v>272</v>
      </c>
      <c r="F31" s="147" t="s">
        <v>7</v>
      </c>
      <c r="G31" s="147" t="s">
        <v>7</v>
      </c>
      <c r="H31" s="147" t="s">
        <v>7</v>
      </c>
      <c r="I31" s="147" t="str">
        <f>I5</f>
        <v>AIRAVATA S.A.S.</v>
      </c>
      <c r="J31" s="148">
        <v>44555</v>
      </c>
      <c r="K31" s="149">
        <v>98875244.299999997</v>
      </c>
      <c r="L31" s="132">
        <f>K31/V6</f>
        <v>108.83039593803589</v>
      </c>
      <c r="M31" s="150">
        <v>1</v>
      </c>
      <c r="N31" s="128">
        <f t="shared" si="2"/>
        <v>108.83039593803589</v>
      </c>
      <c r="O31" s="129" t="str">
        <f>+IF(AND(H31="SI",G31="SI"),"CUMPLE","NO CUMPLE")</f>
        <v>CUMPLE</v>
      </c>
      <c r="P31" s="25"/>
      <c r="Q31" s="25"/>
      <c r="R31" s="141"/>
      <c r="S31" s="25"/>
      <c r="T31" s="140"/>
      <c r="U31" s="7"/>
      <c r="V31" s="134"/>
      <c r="W31" s="134"/>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row>
    <row r="32" spans="1:52" ht="36" customHeight="1">
      <c r="A32" s="266" t="s">
        <v>47</v>
      </c>
      <c r="B32" s="266"/>
      <c r="C32" s="266"/>
      <c r="D32" s="266"/>
      <c r="E32" s="266"/>
      <c r="F32" s="266"/>
      <c r="G32" s="266"/>
      <c r="H32" s="266"/>
      <c r="I32" s="266"/>
      <c r="J32" s="266"/>
      <c r="K32" s="266"/>
      <c r="L32" s="266"/>
      <c r="M32" s="266"/>
      <c r="N32" s="4">
        <f>SUM(N27:N31)</f>
        <v>57124.500949238114</v>
      </c>
      <c r="O32" s="12" t="str">
        <f>+IF(OR(O30="CUMPLE",O27="CUMPLE")*AND(N32&gt;=A27),"CUMPLE","NO CUMPLE")</f>
        <v>CUMPLE</v>
      </c>
      <c r="P32" s="5"/>
      <c r="Q32" s="25"/>
      <c r="R32" s="7"/>
      <c r="S32" s="25"/>
      <c r="T32" s="144"/>
      <c r="U32" s="7"/>
      <c r="V32" s="134"/>
      <c r="W32" s="134"/>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row>
    <row r="33" spans="1:52" ht="26.45" customHeight="1">
      <c r="A33" s="242" t="s">
        <v>131</v>
      </c>
      <c r="B33" s="242"/>
      <c r="C33" s="242"/>
      <c r="D33" s="242"/>
      <c r="E33" s="242"/>
      <c r="F33" s="242"/>
      <c r="G33" s="242"/>
      <c r="H33" s="242"/>
      <c r="I33" s="242"/>
      <c r="J33" s="242"/>
      <c r="K33" s="242"/>
      <c r="L33" s="242"/>
      <c r="M33" s="242"/>
      <c r="N33" s="242"/>
      <c r="O33" s="242"/>
      <c r="P33" s="25"/>
      <c r="Q33" s="25"/>
      <c r="R33" s="25"/>
      <c r="S33" s="25"/>
      <c r="T33" s="25"/>
      <c r="U33" s="7"/>
      <c r="V33" s="134"/>
      <c r="W33" s="134"/>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row>
    <row r="34" spans="1:52" ht="68.25" customHeight="1">
      <c r="A34" s="253" t="s">
        <v>132</v>
      </c>
      <c r="B34" s="253"/>
      <c r="C34" s="253"/>
      <c r="D34" s="253"/>
      <c r="E34" s="253"/>
      <c r="F34" s="253"/>
      <c r="G34" s="253"/>
      <c r="H34" s="253"/>
      <c r="I34" s="253"/>
      <c r="J34" s="253"/>
      <c r="K34" s="253"/>
      <c r="L34" s="253"/>
      <c r="M34" s="253"/>
      <c r="N34" s="253"/>
      <c r="O34" s="133" t="s">
        <v>8</v>
      </c>
      <c r="P34" s="25"/>
      <c r="Q34" s="25"/>
      <c r="R34" s="25"/>
      <c r="S34" s="25"/>
      <c r="T34" s="25"/>
      <c r="U34" s="7"/>
      <c r="V34" s="134"/>
      <c r="W34" s="134"/>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row>
    <row r="35" spans="1:52" ht="26.45" customHeight="1">
      <c r="A35" s="242" t="s">
        <v>274</v>
      </c>
      <c r="B35" s="242"/>
      <c r="C35" s="242"/>
      <c r="D35" s="242"/>
      <c r="E35" s="242"/>
      <c r="F35" s="242"/>
      <c r="G35" s="242"/>
      <c r="H35" s="242"/>
      <c r="I35" s="242"/>
      <c r="J35" s="242"/>
      <c r="K35" s="242"/>
      <c r="L35" s="242"/>
      <c r="M35" s="242"/>
      <c r="N35" s="242"/>
      <c r="O35" s="242"/>
      <c r="P35" s="25"/>
      <c r="Q35" s="25"/>
      <c r="R35" s="25"/>
      <c r="S35" s="25"/>
      <c r="T35" s="25"/>
      <c r="U35" s="7"/>
      <c r="V35" s="134"/>
      <c r="W35" s="134"/>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row>
    <row r="36" spans="1:52" ht="68.25" customHeight="1">
      <c r="A36" s="253" t="s">
        <v>250</v>
      </c>
      <c r="B36" s="253"/>
      <c r="C36" s="253"/>
      <c r="D36" s="253"/>
      <c r="E36" s="253"/>
      <c r="F36" s="253"/>
      <c r="G36" s="253"/>
      <c r="H36" s="253"/>
      <c r="I36" s="253"/>
      <c r="J36" s="253"/>
      <c r="K36" s="253"/>
      <c r="L36" s="253"/>
      <c r="M36" s="253"/>
      <c r="N36" s="253"/>
      <c r="O36" s="133" t="s">
        <v>8</v>
      </c>
      <c r="P36" s="25"/>
      <c r="Q36" s="25"/>
      <c r="R36" s="25"/>
      <c r="S36" s="25"/>
      <c r="T36" s="25"/>
      <c r="U36" s="7"/>
      <c r="V36" s="134"/>
      <c r="W36" s="134"/>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row>
    <row r="37" spans="1:52" ht="26.45" customHeight="1">
      <c r="A37" s="242" t="s">
        <v>251</v>
      </c>
      <c r="B37" s="242"/>
      <c r="C37" s="242"/>
      <c r="D37" s="242"/>
      <c r="E37" s="242"/>
      <c r="F37" s="242"/>
      <c r="G37" s="242"/>
      <c r="H37" s="242"/>
      <c r="I37" s="242"/>
      <c r="J37" s="242"/>
      <c r="K37" s="242"/>
      <c r="L37" s="242"/>
      <c r="M37" s="242"/>
      <c r="N37" s="242"/>
      <c r="O37" s="242"/>
      <c r="P37" s="25"/>
      <c r="Q37" s="25"/>
      <c r="R37" s="25"/>
      <c r="S37" s="25"/>
      <c r="T37" s="25"/>
      <c r="U37" s="7"/>
      <c r="V37" s="134"/>
      <c r="W37" s="134"/>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row>
    <row r="38" spans="1:52" ht="68.25" customHeight="1">
      <c r="A38" s="253" t="s">
        <v>252</v>
      </c>
      <c r="B38" s="253"/>
      <c r="C38" s="253"/>
      <c r="D38" s="253"/>
      <c r="E38" s="253"/>
      <c r="F38" s="253"/>
      <c r="G38" s="253"/>
      <c r="H38" s="253"/>
      <c r="I38" s="253"/>
      <c r="J38" s="253"/>
      <c r="K38" s="253"/>
      <c r="L38" s="253"/>
      <c r="M38" s="253"/>
      <c r="N38" s="253"/>
      <c r="O38" s="133" t="s">
        <v>8</v>
      </c>
      <c r="P38" s="25"/>
      <c r="Q38" s="25"/>
      <c r="R38" s="25"/>
      <c r="S38" s="25"/>
      <c r="T38" s="25"/>
      <c r="U38" s="7"/>
      <c r="V38" s="134"/>
      <c r="W38" s="134"/>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row>
    <row r="39" spans="1:52" ht="26.45" customHeight="1">
      <c r="A39" s="241" t="s">
        <v>253</v>
      </c>
      <c r="B39" s="242"/>
      <c r="C39" s="242"/>
      <c r="D39" s="242"/>
      <c r="E39" s="242"/>
      <c r="F39" s="242"/>
      <c r="G39" s="242"/>
      <c r="H39" s="242"/>
      <c r="I39" s="242"/>
      <c r="J39" s="242"/>
      <c r="K39" s="242"/>
      <c r="L39" s="242"/>
      <c r="M39" s="242"/>
      <c r="N39" s="242"/>
      <c r="O39" s="242"/>
      <c r="P39" s="25"/>
      <c r="Q39" s="25"/>
      <c r="R39" s="25"/>
      <c r="S39" s="25"/>
      <c r="T39" s="25"/>
      <c r="U39" s="7"/>
      <c r="V39" s="134"/>
      <c r="W39" s="134"/>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row>
    <row r="40" spans="1:52" ht="90" customHeight="1">
      <c r="A40" s="253" t="s">
        <v>254</v>
      </c>
      <c r="B40" s="253"/>
      <c r="C40" s="253"/>
      <c r="D40" s="253"/>
      <c r="E40" s="253"/>
      <c r="F40" s="253"/>
      <c r="G40" s="253"/>
      <c r="H40" s="253"/>
      <c r="I40" s="253"/>
      <c r="J40" s="253"/>
      <c r="K40" s="253"/>
      <c r="L40" s="253"/>
      <c r="M40" s="253"/>
      <c r="N40" s="253"/>
      <c r="O40" s="133" t="s">
        <v>8</v>
      </c>
      <c r="P40" s="25"/>
      <c r="Q40" s="25"/>
      <c r="R40" s="25"/>
      <c r="S40" s="25"/>
      <c r="T40" s="25"/>
      <c r="U40" s="7"/>
      <c r="V40" s="134"/>
      <c r="W40" s="134"/>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row>
    <row r="41" spans="1:52" ht="26.45" customHeight="1">
      <c r="A41" s="241" t="s">
        <v>275</v>
      </c>
      <c r="B41" s="242"/>
      <c r="C41" s="242"/>
      <c r="D41" s="242"/>
      <c r="E41" s="242"/>
      <c r="F41" s="242"/>
      <c r="G41" s="242"/>
      <c r="H41" s="242"/>
      <c r="I41" s="242"/>
      <c r="J41" s="242"/>
      <c r="K41" s="242"/>
      <c r="L41" s="242"/>
      <c r="M41" s="242"/>
      <c r="N41" s="242"/>
      <c r="O41" s="242"/>
      <c r="P41" s="25"/>
      <c r="Q41" s="25"/>
      <c r="R41" s="25"/>
      <c r="S41" s="25"/>
      <c r="T41" s="25"/>
      <c r="U41" s="7"/>
      <c r="V41" s="134"/>
      <c r="W41" s="134"/>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row>
    <row r="42" spans="1:52" ht="69.75" customHeight="1">
      <c r="A42" s="253" t="s">
        <v>255</v>
      </c>
      <c r="B42" s="253"/>
      <c r="C42" s="253"/>
      <c r="D42" s="253"/>
      <c r="E42" s="253"/>
      <c r="F42" s="253"/>
      <c r="G42" s="253"/>
      <c r="H42" s="253"/>
      <c r="I42" s="253"/>
      <c r="J42" s="253"/>
      <c r="K42" s="253"/>
      <c r="L42" s="253"/>
      <c r="M42" s="253"/>
      <c r="N42" s="253"/>
      <c r="O42" s="133" t="s">
        <v>8</v>
      </c>
      <c r="P42" s="25"/>
      <c r="Q42" s="25"/>
      <c r="R42" s="25"/>
      <c r="S42" s="25"/>
      <c r="T42" s="25"/>
      <c r="U42" s="7"/>
      <c r="V42" s="134"/>
      <c r="W42" s="134"/>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row>
    <row r="43" spans="1:52" ht="26.45" customHeight="1">
      <c r="A43" s="241" t="s">
        <v>133</v>
      </c>
      <c r="B43" s="242"/>
      <c r="C43" s="242"/>
      <c r="D43" s="242"/>
      <c r="E43" s="242"/>
      <c r="F43" s="242"/>
      <c r="G43" s="242"/>
      <c r="H43" s="242"/>
      <c r="I43" s="242"/>
      <c r="J43" s="242"/>
      <c r="K43" s="242"/>
      <c r="L43" s="242"/>
      <c r="M43" s="242"/>
      <c r="N43" s="242"/>
      <c r="O43" s="242"/>
      <c r="P43" s="25"/>
      <c r="Q43" s="25"/>
      <c r="R43" s="25"/>
      <c r="S43" s="25"/>
      <c r="T43" s="25"/>
      <c r="U43" s="7"/>
      <c r="V43" s="134"/>
      <c r="W43" s="134"/>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row>
    <row r="44" spans="1:52" ht="77.25" customHeight="1">
      <c r="A44" s="253" t="s">
        <v>134</v>
      </c>
      <c r="B44" s="253"/>
      <c r="C44" s="253"/>
      <c r="D44" s="253"/>
      <c r="E44" s="253"/>
      <c r="F44" s="253"/>
      <c r="G44" s="253"/>
      <c r="H44" s="253"/>
      <c r="I44" s="253"/>
      <c r="J44" s="253"/>
      <c r="K44" s="253"/>
      <c r="L44" s="253"/>
      <c r="M44" s="253"/>
      <c r="N44" s="253"/>
      <c r="O44" s="133" t="s">
        <v>8</v>
      </c>
      <c r="P44" s="25"/>
      <c r="Q44" s="25"/>
      <c r="R44" s="25"/>
      <c r="S44" s="25"/>
      <c r="T44" s="25"/>
      <c r="U44" s="7"/>
      <c r="V44" s="134"/>
      <c r="W44" s="134"/>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row>
    <row r="45" spans="1:52" ht="44.25" customHeight="1">
      <c r="A45" s="254" t="s">
        <v>135</v>
      </c>
      <c r="B45" s="254"/>
      <c r="C45" s="254"/>
      <c r="D45" s="254"/>
      <c r="E45" s="254"/>
      <c r="F45" s="254"/>
      <c r="G45" s="254"/>
      <c r="H45" s="254"/>
      <c r="I45" s="254"/>
      <c r="J45" s="254"/>
      <c r="K45" s="254"/>
      <c r="L45" s="254"/>
      <c r="M45" s="254"/>
      <c r="N45" s="254"/>
      <c r="O45" s="254"/>
      <c r="P45" s="6"/>
      <c r="Q45" s="7"/>
      <c r="R45" s="7"/>
      <c r="S45" s="7"/>
      <c r="T45" s="7"/>
      <c r="U45" s="7"/>
      <c r="V45" s="134"/>
      <c r="W45" s="134"/>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row>
    <row r="46" spans="1:52" ht="26.45" customHeight="1">
      <c r="A46" s="241" t="s">
        <v>141</v>
      </c>
      <c r="B46" s="242"/>
      <c r="C46" s="242"/>
      <c r="D46" s="242"/>
      <c r="E46" s="242"/>
      <c r="F46" s="242"/>
      <c r="G46" s="242"/>
      <c r="H46" s="242"/>
      <c r="I46" s="242"/>
      <c r="J46" s="242"/>
      <c r="K46" s="242"/>
      <c r="L46" s="242"/>
      <c r="M46" s="242"/>
      <c r="N46" s="242"/>
      <c r="O46" s="242"/>
      <c r="P46" s="25"/>
      <c r="Q46" s="25"/>
      <c r="R46" s="25"/>
      <c r="S46" s="25"/>
      <c r="T46" s="25"/>
      <c r="U46" s="7"/>
      <c r="V46" s="134"/>
      <c r="W46" s="134"/>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row>
    <row r="47" spans="1:52" ht="77.25" customHeight="1">
      <c r="A47" s="253" t="s">
        <v>155</v>
      </c>
      <c r="B47" s="253"/>
      <c r="C47" s="253"/>
      <c r="D47" s="253"/>
      <c r="E47" s="253"/>
      <c r="F47" s="253"/>
      <c r="G47" s="253"/>
      <c r="H47" s="253"/>
      <c r="I47" s="253"/>
      <c r="J47" s="253"/>
      <c r="K47" s="253"/>
      <c r="L47" s="253"/>
      <c r="M47" s="253"/>
      <c r="N47" s="253"/>
      <c r="O47" s="133" t="s">
        <v>8</v>
      </c>
      <c r="P47" s="25"/>
      <c r="Q47" s="25"/>
      <c r="R47" s="25"/>
      <c r="S47" s="25"/>
      <c r="T47" s="25"/>
      <c r="U47" s="7"/>
      <c r="V47" s="134"/>
      <c r="W47" s="134"/>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row>
    <row r="48" spans="1:52" ht="31.35" customHeight="1">
      <c r="A48" s="241" t="s">
        <v>147</v>
      </c>
      <c r="B48" s="242"/>
      <c r="C48" s="242"/>
      <c r="D48" s="242"/>
      <c r="E48" s="242"/>
      <c r="F48" s="242"/>
      <c r="G48" s="242"/>
      <c r="H48" s="242"/>
      <c r="I48" s="242"/>
      <c r="J48" s="242"/>
      <c r="K48" s="242"/>
      <c r="L48" s="242"/>
      <c r="M48" s="242"/>
      <c r="N48" s="242"/>
      <c r="O48" s="242"/>
      <c r="P48" s="6"/>
      <c r="Q48" s="7"/>
      <c r="R48" s="7"/>
      <c r="S48" s="7"/>
      <c r="T48" s="7"/>
      <c r="U48" s="7"/>
      <c r="V48" s="134"/>
      <c r="W48" s="134"/>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row>
    <row r="49" spans="1:52" ht="111" customHeight="1">
      <c r="A49" s="243" t="s">
        <v>256</v>
      </c>
      <c r="B49" s="243"/>
      <c r="C49" s="243"/>
      <c r="D49" s="243"/>
      <c r="E49" s="243"/>
      <c r="F49" s="243"/>
      <c r="G49" s="243"/>
      <c r="H49" s="243"/>
      <c r="I49" s="243"/>
      <c r="J49" s="243"/>
      <c r="K49" s="243"/>
      <c r="L49" s="243"/>
      <c r="M49" s="244" t="s">
        <v>8</v>
      </c>
      <c r="N49" s="244"/>
      <c r="O49" s="161">
        <v>18.5</v>
      </c>
      <c r="P49" s="6"/>
      <c r="Q49" s="7"/>
      <c r="R49" s="7"/>
      <c r="S49" s="7"/>
      <c r="T49" s="7"/>
      <c r="U49" s="7"/>
      <c r="V49" s="134"/>
      <c r="W49" s="134"/>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row>
    <row r="50" spans="1:52" ht="30.95" customHeight="1">
      <c r="A50" s="241" t="s">
        <v>143</v>
      </c>
      <c r="B50" s="242"/>
      <c r="C50" s="242"/>
      <c r="D50" s="242"/>
      <c r="E50" s="242"/>
      <c r="F50" s="242"/>
      <c r="G50" s="242"/>
      <c r="H50" s="242"/>
      <c r="I50" s="242"/>
      <c r="J50" s="242"/>
      <c r="K50" s="242"/>
      <c r="L50" s="242"/>
      <c r="M50" s="242"/>
      <c r="N50" s="242"/>
      <c r="O50" s="242"/>
      <c r="P50" s="6"/>
      <c r="Q50" s="7"/>
      <c r="R50" s="7"/>
      <c r="S50" s="7"/>
      <c r="T50" s="7"/>
      <c r="U50" s="7"/>
      <c r="V50" s="134"/>
      <c r="W50" s="134"/>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row>
    <row r="51" spans="1:52" ht="33.950000000000003" customHeight="1">
      <c r="A51" s="246" t="s">
        <v>33</v>
      </c>
      <c r="B51" s="246"/>
      <c r="C51" s="246" t="s">
        <v>48</v>
      </c>
      <c r="D51" s="246"/>
      <c r="E51" s="246"/>
      <c r="F51" s="246"/>
      <c r="G51" s="246"/>
      <c r="H51" s="246"/>
      <c r="I51" s="246"/>
      <c r="J51" s="246"/>
      <c r="K51" s="246"/>
      <c r="L51" s="246"/>
      <c r="M51" s="245" t="s">
        <v>32</v>
      </c>
      <c r="N51" s="245"/>
      <c r="O51" s="245"/>
      <c r="P51" s="8"/>
      <c r="Q51" s="7"/>
      <c r="R51" s="7"/>
      <c r="S51" s="7"/>
      <c r="T51" s="7"/>
      <c r="U51" s="7"/>
      <c r="V51" s="134"/>
      <c r="W51" s="134"/>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row>
    <row r="52" spans="1:52" ht="33.950000000000003" customHeight="1">
      <c r="A52" s="246"/>
      <c r="B52" s="246"/>
      <c r="C52" s="246"/>
      <c r="D52" s="246"/>
      <c r="E52" s="246"/>
      <c r="F52" s="246"/>
      <c r="G52" s="246"/>
      <c r="H52" s="246"/>
      <c r="I52" s="246"/>
      <c r="J52" s="246"/>
      <c r="K52" s="246"/>
      <c r="L52" s="246"/>
      <c r="M52" s="247" t="s">
        <v>8</v>
      </c>
      <c r="N52" s="248"/>
      <c r="O52" s="249"/>
      <c r="P52" s="8"/>
      <c r="Q52" s="7"/>
      <c r="R52" s="7"/>
      <c r="S52" s="7"/>
      <c r="T52" s="7"/>
      <c r="U52" s="7"/>
      <c r="V52" s="134"/>
      <c r="W52" s="134"/>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row>
    <row r="53" spans="1:52" ht="31.7" customHeight="1">
      <c r="A53" s="246"/>
      <c r="B53" s="246"/>
      <c r="C53" s="246"/>
      <c r="D53" s="246"/>
      <c r="E53" s="246"/>
      <c r="F53" s="246"/>
      <c r="G53" s="246"/>
      <c r="H53" s="246"/>
      <c r="I53" s="246"/>
      <c r="J53" s="246"/>
      <c r="K53" s="246"/>
      <c r="L53" s="246"/>
      <c r="M53" s="313">
        <v>10</v>
      </c>
      <c r="N53" s="313"/>
      <c r="O53" s="313"/>
      <c r="P53" s="8"/>
      <c r="Q53" s="7"/>
      <c r="R53" s="7"/>
      <c r="S53" s="7"/>
      <c r="T53" s="7"/>
      <c r="U53" s="7"/>
      <c r="V53" s="134"/>
      <c r="W53" s="134"/>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row>
    <row r="54" spans="1:52" ht="92.25" customHeight="1">
      <c r="A54" s="246"/>
      <c r="B54" s="246"/>
      <c r="C54" s="246"/>
      <c r="D54" s="246"/>
      <c r="E54" s="246"/>
      <c r="F54" s="246"/>
      <c r="G54" s="246"/>
      <c r="H54" s="246"/>
      <c r="I54" s="246"/>
      <c r="J54" s="246"/>
      <c r="K54" s="246"/>
      <c r="L54" s="246"/>
      <c r="M54" s="313"/>
      <c r="N54" s="313"/>
      <c r="O54" s="313"/>
      <c r="P54" s="8"/>
      <c r="Q54" s="7"/>
      <c r="R54" s="7"/>
      <c r="S54" s="7"/>
      <c r="T54" s="7"/>
      <c r="U54" s="7"/>
      <c r="V54" s="134"/>
      <c r="W54" s="134"/>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row>
    <row r="55" spans="1:52" ht="98.45" customHeight="1">
      <c r="A55" s="246" t="s">
        <v>34</v>
      </c>
      <c r="B55" s="246"/>
      <c r="C55" s="246" t="s">
        <v>97</v>
      </c>
      <c r="D55" s="246"/>
      <c r="E55" s="246"/>
      <c r="F55" s="246"/>
      <c r="G55" s="246"/>
      <c r="H55" s="246"/>
      <c r="I55" s="246"/>
      <c r="J55" s="246"/>
      <c r="K55" s="246"/>
      <c r="L55" s="246"/>
      <c r="M55" s="313"/>
      <c r="N55" s="313"/>
      <c r="O55" s="313"/>
      <c r="P55" s="8"/>
      <c r="Q55" s="7"/>
      <c r="R55" s="7"/>
      <c r="S55" s="7"/>
      <c r="T55" s="7"/>
      <c r="U55" s="7"/>
      <c r="V55" s="134"/>
      <c r="W55" s="134"/>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row>
    <row r="56" spans="1:52" ht="108.75" customHeight="1">
      <c r="A56" s="246"/>
      <c r="B56" s="246"/>
      <c r="C56" s="246"/>
      <c r="D56" s="246"/>
      <c r="E56" s="246"/>
      <c r="F56" s="246"/>
      <c r="G56" s="246"/>
      <c r="H56" s="246"/>
      <c r="I56" s="246"/>
      <c r="J56" s="246"/>
      <c r="K56" s="246"/>
      <c r="L56" s="246"/>
      <c r="M56" s="313"/>
      <c r="N56" s="313"/>
      <c r="O56" s="313"/>
      <c r="P56" s="8"/>
      <c r="Q56" s="7"/>
      <c r="R56" s="317"/>
      <c r="S56" s="317"/>
      <c r="T56" s="317"/>
      <c r="U56" s="7"/>
      <c r="V56" s="134"/>
      <c r="W56" s="134"/>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row>
    <row r="57" spans="1:52" ht="193.35" customHeight="1">
      <c r="A57" s="246" t="s">
        <v>98</v>
      </c>
      <c r="B57" s="246"/>
      <c r="C57" s="246"/>
      <c r="D57" s="246"/>
      <c r="E57" s="246"/>
      <c r="F57" s="246"/>
      <c r="G57" s="246"/>
      <c r="H57" s="246"/>
      <c r="I57" s="246"/>
      <c r="J57" s="246"/>
      <c r="K57" s="246"/>
      <c r="L57" s="246"/>
      <c r="M57" s="313"/>
      <c r="N57" s="313"/>
      <c r="O57" s="313"/>
      <c r="P57" s="8"/>
      <c r="Q57" s="7"/>
      <c r="R57" s="317"/>
      <c r="S57" s="317"/>
      <c r="T57" s="317"/>
      <c r="U57" s="7"/>
      <c r="V57" s="134"/>
      <c r="W57" s="134"/>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row>
    <row r="58" spans="1:52" ht="28.5" customHeight="1">
      <c r="A58" s="241" t="s">
        <v>145</v>
      </c>
      <c r="B58" s="242"/>
      <c r="C58" s="242"/>
      <c r="D58" s="242"/>
      <c r="E58" s="242"/>
      <c r="F58" s="242"/>
      <c r="G58" s="242"/>
      <c r="H58" s="242"/>
      <c r="I58" s="242"/>
      <c r="J58" s="242"/>
      <c r="K58" s="242"/>
      <c r="L58" s="242"/>
      <c r="M58" s="242"/>
      <c r="N58" s="242"/>
      <c r="O58" s="242"/>
      <c r="P58" s="7"/>
      <c r="Q58" s="7"/>
      <c r="R58" s="7"/>
      <c r="S58" s="7"/>
      <c r="T58" s="7"/>
      <c r="U58" s="7"/>
      <c r="V58" s="134"/>
      <c r="W58" s="134"/>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row>
    <row r="59" spans="1:52" ht="76.5" customHeight="1">
      <c r="A59" s="246" t="s">
        <v>35</v>
      </c>
      <c r="B59" s="246"/>
      <c r="C59" s="246"/>
      <c r="D59" s="246"/>
      <c r="E59" s="246"/>
      <c r="F59" s="246"/>
      <c r="G59" s="246"/>
      <c r="H59" s="246"/>
      <c r="I59" s="246"/>
      <c r="J59" s="246"/>
      <c r="K59" s="246"/>
      <c r="L59" s="246"/>
      <c r="M59" s="245" t="s">
        <v>32</v>
      </c>
      <c r="N59" s="245"/>
      <c r="O59" s="245"/>
      <c r="P59" s="6"/>
      <c r="Q59" s="7"/>
      <c r="R59" s="7"/>
      <c r="S59" s="7"/>
      <c r="T59" s="7"/>
      <c r="U59" s="7"/>
      <c r="V59" s="134"/>
      <c r="W59" s="134"/>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row>
    <row r="60" spans="1:52" ht="99.75" customHeight="1">
      <c r="A60" s="246" t="s">
        <v>50</v>
      </c>
      <c r="B60" s="246"/>
      <c r="C60" s="246"/>
      <c r="D60" s="246"/>
      <c r="E60" s="246"/>
      <c r="F60" s="246"/>
      <c r="G60" s="246"/>
      <c r="H60" s="246"/>
      <c r="I60" s="246"/>
      <c r="J60" s="246"/>
      <c r="K60" s="246"/>
      <c r="L60" s="246"/>
      <c r="M60" s="250" t="s">
        <v>8</v>
      </c>
      <c r="N60" s="251"/>
      <c r="O60" s="252"/>
      <c r="P60" s="6"/>
      <c r="Q60" s="7"/>
      <c r="R60" s="7"/>
      <c r="S60" s="7"/>
      <c r="T60" s="7"/>
      <c r="U60" s="7"/>
      <c r="V60" s="134"/>
      <c r="W60" s="134"/>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row>
    <row r="61" spans="1:52" ht="99.75" customHeight="1">
      <c r="A61" s="246" t="s">
        <v>36</v>
      </c>
      <c r="B61" s="246"/>
      <c r="C61" s="246"/>
      <c r="D61" s="246"/>
      <c r="E61" s="246"/>
      <c r="F61" s="246"/>
      <c r="G61" s="246"/>
      <c r="H61" s="246"/>
      <c r="I61" s="246"/>
      <c r="J61" s="246"/>
      <c r="K61" s="246"/>
      <c r="L61" s="246"/>
      <c r="M61" s="314">
        <v>1</v>
      </c>
      <c r="N61" s="315"/>
      <c r="O61" s="316"/>
      <c r="P61" s="6"/>
      <c r="Q61" s="7"/>
      <c r="R61" s="7"/>
      <c r="S61" s="7"/>
      <c r="T61" s="7"/>
      <c r="U61" s="7"/>
      <c r="V61" s="134"/>
      <c r="W61" s="134"/>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row>
    <row r="62" spans="1:52" ht="31.35" customHeight="1">
      <c r="A62" s="241" t="s">
        <v>148</v>
      </c>
      <c r="B62" s="242"/>
      <c r="C62" s="242"/>
      <c r="D62" s="242"/>
      <c r="E62" s="242"/>
      <c r="F62" s="242"/>
      <c r="G62" s="242"/>
      <c r="H62" s="242"/>
      <c r="I62" s="242"/>
      <c r="J62" s="242"/>
      <c r="K62" s="242"/>
      <c r="L62" s="242"/>
      <c r="M62" s="242"/>
      <c r="N62" s="242"/>
      <c r="O62" s="242"/>
      <c r="P62" s="6"/>
      <c r="Q62" s="7"/>
      <c r="R62" s="7"/>
      <c r="S62" s="7"/>
      <c r="T62" s="7"/>
      <c r="U62" s="7"/>
      <c r="V62" s="134"/>
      <c r="W62" s="134"/>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row>
    <row r="63" spans="1:52" ht="31.35" customHeight="1">
      <c r="A63" s="246" t="s">
        <v>149</v>
      </c>
      <c r="B63" s="246"/>
      <c r="C63" s="246"/>
      <c r="D63" s="246"/>
      <c r="E63" s="246"/>
      <c r="F63" s="246"/>
      <c r="G63" s="246"/>
      <c r="H63" s="246"/>
      <c r="I63" s="246"/>
      <c r="J63" s="246"/>
      <c r="K63" s="246"/>
      <c r="L63" s="246"/>
      <c r="M63" s="245" t="s">
        <v>32</v>
      </c>
      <c r="N63" s="245"/>
      <c r="O63" s="245"/>
      <c r="P63" s="6"/>
      <c r="Q63" s="7"/>
      <c r="R63" s="7"/>
      <c r="S63" s="7"/>
      <c r="T63" s="7"/>
      <c r="U63" s="7"/>
      <c r="V63" s="134"/>
      <c r="W63" s="134"/>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row>
    <row r="64" spans="1:52" ht="62.25" customHeight="1">
      <c r="A64" s="246" t="s">
        <v>152</v>
      </c>
      <c r="B64" s="246"/>
      <c r="C64" s="246"/>
      <c r="D64" s="246"/>
      <c r="E64" s="246"/>
      <c r="F64" s="246"/>
      <c r="G64" s="246"/>
      <c r="H64" s="246"/>
      <c r="I64" s="246"/>
      <c r="J64" s="246"/>
      <c r="K64" s="246"/>
      <c r="L64" s="246"/>
      <c r="M64" s="250" t="s">
        <v>8</v>
      </c>
      <c r="N64" s="252"/>
      <c r="O64" s="161">
        <v>0.25</v>
      </c>
      <c r="P64" s="6"/>
      <c r="Q64" s="7"/>
      <c r="R64" s="7"/>
      <c r="S64" s="7"/>
      <c r="T64" s="7"/>
      <c r="U64" s="7"/>
      <c r="V64" s="134"/>
      <c r="W64" s="134"/>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row>
    <row r="65" spans="1:52" ht="29.25" customHeight="1">
      <c r="A65" s="241" t="s">
        <v>151</v>
      </c>
      <c r="B65" s="242"/>
      <c r="C65" s="242"/>
      <c r="D65" s="242"/>
      <c r="E65" s="242"/>
      <c r="F65" s="242"/>
      <c r="G65" s="242"/>
      <c r="H65" s="242"/>
      <c r="I65" s="242"/>
      <c r="J65" s="242"/>
      <c r="K65" s="242"/>
      <c r="L65" s="242"/>
      <c r="M65" s="242"/>
      <c r="N65" s="242"/>
      <c r="O65" s="242"/>
      <c r="P65" s="6"/>
      <c r="Q65" s="7"/>
      <c r="R65" s="7"/>
      <c r="S65" s="7"/>
      <c r="T65" s="7"/>
      <c r="U65" s="7"/>
      <c r="V65" s="134"/>
      <c r="W65" s="134"/>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row>
    <row r="66" spans="1:52" ht="55.5" customHeight="1">
      <c r="A66" s="246" t="s">
        <v>153</v>
      </c>
      <c r="B66" s="246"/>
      <c r="C66" s="246"/>
      <c r="D66" s="246"/>
      <c r="E66" s="246"/>
      <c r="F66" s="246"/>
      <c r="G66" s="246"/>
      <c r="H66" s="246"/>
      <c r="I66" s="246"/>
      <c r="J66" s="246"/>
      <c r="K66" s="246"/>
      <c r="L66" s="246"/>
      <c r="M66" s="245" t="s">
        <v>32</v>
      </c>
      <c r="N66" s="245"/>
      <c r="O66" s="245"/>
      <c r="P66" s="6"/>
      <c r="Q66" s="7"/>
      <c r="R66" s="7"/>
      <c r="S66" s="7"/>
      <c r="T66" s="7"/>
      <c r="U66" s="7"/>
      <c r="V66" s="134"/>
      <c r="W66" s="134"/>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row>
    <row r="67" spans="1:52" ht="131.85" customHeight="1">
      <c r="A67" s="246" t="s">
        <v>154</v>
      </c>
      <c r="B67" s="246"/>
      <c r="C67" s="246"/>
      <c r="D67" s="246"/>
      <c r="E67" s="246"/>
      <c r="F67" s="246"/>
      <c r="G67" s="246"/>
      <c r="H67" s="246"/>
      <c r="I67" s="246"/>
      <c r="J67" s="246"/>
      <c r="K67" s="246"/>
      <c r="L67" s="246"/>
      <c r="M67" s="250" t="s">
        <v>8</v>
      </c>
      <c r="N67" s="252"/>
      <c r="O67" s="161">
        <v>0.25</v>
      </c>
      <c r="P67" s="6"/>
      <c r="Q67" s="7"/>
      <c r="R67" s="7"/>
      <c r="S67" s="7"/>
      <c r="T67" s="7"/>
      <c r="U67" s="7"/>
      <c r="V67" s="134"/>
      <c r="W67" s="134"/>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row>
    <row r="68" spans="1:52" ht="180" customHeight="1">
      <c r="A68" s="238" t="s">
        <v>116</v>
      </c>
      <c r="B68" s="239"/>
      <c r="C68" s="239"/>
      <c r="D68" s="239"/>
      <c r="E68" s="239"/>
      <c r="F68" s="239"/>
      <c r="G68" s="239"/>
      <c r="H68" s="239"/>
      <c r="I68" s="239"/>
      <c r="J68" s="239"/>
      <c r="K68" s="239"/>
      <c r="L68" s="239"/>
      <c r="M68" s="239"/>
      <c r="N68" s="239"/>
      <c r="O68" s="240"/>
      <c r="P68" s="8"/>
      <c r="Q68" s="7"/>
      <c r="R68" s="7"/>
      <c r="S68" s="7"/>
      <c r="T68" s="7"/>
      <c r="U68" s="7"/>
      <c r="V68" s="134"/>
      <c r="W68" s="134"/>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row>
    <row r="69" spans="1:52">
      <c r="A69" s="7"/>
      <c r="B69" s="7"/>
      <c r="C69" s="7"/>
      <c r="D69" s="7"/>
      <c r="E69" s="7"/>
      <c r="F69" s="7"/>
      <c r="G69" s="7"/>
      <c r="H69" s="7"/>
      <c r="I69" s="7"/>
      <c r="J69" s="7"/>
      <c r="K69" s="7"/>
      <c r="L69" s="7"/>
      <c r="M69" s="7"/>
      <c r="N69" s="7"/>
      <c r="O69" s="7"/>
      <c r="P69" s="8"/>
      <c r="Q69" s="7"/>
      <c r="R69" s="7"/>
      <c r="S69" s="7"/>
      <c r="T69" s="7"/>
      <c r="U69" s="7"/>
      <c r="V69" s="134"/>
      <c r="W69" s="134"/>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row>
    <row r="70" spans="1:52">
      <c r="A70" s="7"/>
      <c r="B70" s="7"/>
      <c r="C70" s="7"/>
      <c r="D70" s="7"/>
      <c r="E70" s="7"/>
      <c r="F70" s="7"/>
      <c r="G70" s="7"/>
      <c r="H70" s="7"/>
      <c r="I70" s="7"/>
      <c r="J70" s="7"/>
      <c r="K70" s="7"/>
      <c r="L70" s="7"/>
      <c r="M70" s="7"/>
      <c r="N70" s="7"/>
      <c r="O70" s="7"/>
      <c r="P70" s="8"/>
      <c r="Q70" s="7"/>
      <c r="R70" s="7"/>
      <c r="S70" s="7"/>
      <c r="T70" s="7"/>
      <c r="U70" s="7"/>
      <c r="V70" s="134"/>
      <c r="W70" s="134"/>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row>
    <row r="71" spans="1:52">
      <c r="A71" s="7"/>
      <c r="B71" s="7"/>
      <c r="C71" s="7"/>
      <c r="D71" s="7"/>
      <c r="E71" s="7"/>
      <c r="F71" s="7"/>
      <c r="G71" s="7"/>
      <c r="H71" s="7"/>
      <c r="I71" s="7"/>
      <c r="J71" s="7"/>
      <c r="K71" s="7"/>
      <c r="L71" s="7"/>
      <c r="M71" s="7"/>
      <c r="N71" s="7"/>
      <c r="O71" s="7"/>
      <c r="P71" s="8"/>
      <c r="Q71" s="7"/>
      <c r="R71" s="7"/>
      <c r="S71" s="7"/>
      <c r="T71" s="7"/>
      <c r="U71" s="7"/>
      <c r="V71" s="134"/>
      <c r="W71" s="134"/>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row>
    <row r="72" spans="1:52">
      <c r="A72" s="9"/>
      <c r="B72" s="7"/>
      <c r="C72" s="7"/>
      <c r="D72" s="7"/>
      <c r="E72" s="7"/>
      <c r="F72" s="7"/>
      <c r="G72" s="7"/>
      <c r="H72" s="7"/>
      <c r="I72" s="7"/>
      <c r="J72" s="7"/>
      <c r="K72" s="7"/>
      <c r="L72" s="7"/>
      <c r="M72" s="7"/>
      <c r="N72" s="7"/>
      <c r="O72" s="7"/>
      <c r="P72" s="8"/>
      <c r="Q72" s="7"/>
      <c r="R72" s="7"/>
      <c r="S72" s="7"/>
      <c r="T72" s="7"/>
      <c r="U72" s="7"/>
      <c r="V72" s="134"/>
      <c r="W72" s="134"/>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row>
    <row r="73" spans="1:52">
      <c r="A73" s="9"/>
      <c r="B73" s="7"/>
      <c r="C73" s="7"/>
      <c r="D73" s="7"/>
      <c r="E73" s="7"/>
      <c r="F73" s="7"/>
      <c r="G73" s="7"/>
      <c r="H73" s="7"/>
      <c r="I73" s="7"/>
      <c r="J73" s="7"/>
      <c r="K73" s="7"/>
      <c r="L73" s="7"/>
      <c r="M73" s="7"/>
      <c r="N73" s="7"/>
      <c r="O73" s="7"/>
      <c r="P73" s="8"/>
      <c r="Q73" s="7"/>
      <c r="R73" s="7"/>
      <c r="S73" s="7"/>
      <c r="T73" s="7"/>
      <c r="U73" s="7"/>
      <c r="V73" s="134"/>
      <c r="W73" s="134"/>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row>
    <row r="74" spans="1:52">
      <c r="A74" s="9"/>
      <c r="B74" s="7"/>
      <c r="C74" s="7"/>
      <c r="D74" s="7"/>
      <c r="E74" s="7"/>
      <c r="F74" s="7"/>
      <c r="G74" s="7"/>
      <c r="H74" s="7"/>
      <c r="I74" s="7"/>
      <c r="J74" s="7"/>
      <c r="K74" s="7"/>
      <c r="L74" s="7"/>
      <c r="M74" s="7"/>
      <c r="N74" s="7"/>
      <c r="O74" s="7"/>
      <c r="P74" s="8"/>
      <c r="Q74" s="7"/>
      <c r="R74" s="7"/>
      <c r="S74" s="7"/>
      <c r="T74" s="7"/>
      <c r="U74" s="7"/>
      <c r="V74" s="134"/>
      <c r="W74" s="134"/>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row>
    <row r="75" spans="1:52">
      <c r="A75" s="9"/>
      <c r="B75" s="7"/>
      <c r="C75" s="7"/>
      <c r="D75" s="7"/>
      <c r="E75" s="7"/>
      <c r="F75" s="7"/>
      <c r="G75" s="7"/>
      <c r="H75" s="7"/>
      <c r="I75" s="7"/>
      <c r="J75" s="7"/>
      <c r="K75" s="7"/>
      <c r="L75" s="7"/>
      <c r="M75" s="7"/>
      <c r="N75" s="7"/>
      <c r="O75" s="7"/>
      <c r="P75" s="8"/>
      <c r="Q75" s="7"/>
      <c r="R75" s="7"/>
      <c r="S75" s="7"/>
      <c r="T75" s="7"/>
      <c r="U75" s="7"/>
      <c r="V75" s="134"/>
      <c r="W75" s="134"/>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row>
    <row r="76" spans="1:52">
      <c r="A76" s="7"/>
      <c r="B76" s="7"/>
      <c r="C76" s="7"/>
      <c r="D76" s="7"/>
      <c r="E76" s="7"/>
      <c r="F76" s="7"/>
      <c r="G76" s="7"/>
      <c r="H76" s="7"/>
      <c r="I76" s="7"/>
      <c r="J76" s="7"/>
      <c r="K76" s="7"/>
      <c r="L76" s="7"/>
      <c r="M76" s="7"/>
      <c r="N76" s="7"/>
      <c r="O76" s="7"/>
      <c r="P76" s="8"/>
      <c r="Q76" s="7"/>
      <c r="R76" s="7"/>
      <c r="S76" s="7"/>
      <c r="T76" s="7"/>
      <c r="U76" s="7"/>
      <c r="V76" s="134"/>
      <c r="W76" s="134"/>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row>
    <row r="77" spans="1:52">
      <c r="A77" s="7"/>
      <c r="B77" s="7"/>
      <c r="C77" s="7"/>
      <c r="D77" s="7"/>
      <c r="E77" s="7"/>
      <c r="F77" s="7"/>
      <c r="G77" s="7"/>
      <c r="H77" s="7"/>
      <c r="I77" s="7"/>
      <c r="J77" s="7"/>
      <c r="K77" s="7"/>
      <c r="L77" s="7"/>
      <c r="M77" s="7"/>
      <c r="N77" s="7"/>
      <c r="O77" s="7"/>
      <c r="P77" s="8"/>
      <c r="Q77" s="7"/>
      <c r="R77" s="7"/>
      <c r="S77" s="7"/>
      <c r="T77" s="7"/>
      <c r="U77" s="7"/>
      <c r="V77" s="134"/>
      <c r="W77" s="134"/>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row>
    <row r="78" spans="1:52">
      <c r="A78" s="7"/>
      <c r="B78" s="7"/>
      <c r="C78" s="7"/>
      <c r="D78" s="7"/>
      <c r="E78" s="7"/>
      <c r="F78" s="7"/>
      <c r="G78" s="7"/>
      <c r="H78" s="7"/>
      <c r="I78" s="7"/>
      <c r="J78" s="7"/>
      <c r="K78" s="7"/>
      <c r="L78" s="7"/>
      <c r="M78" s="7"/>
      <c r="N78" s="7"/>
      <c r="O78" s="7"/>
      <c r="P78" s="8"/>
      <c r="Q78" s="7"/>
      <c r="R78" s="7"/>
      <c r="S78" s="7"/>
      <c r="T78" s="7"/>
      <c r="U78" s="7"/>
      <c r="V78" s="134"/>
      <c r="W78" s="134"/>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row>
    <row r="79" spans="1:52">
      <c r="A79" s="7"/>
      <c r="B79" s="7"/>
      <c r="C79" s="7"/>
      <c r="D79" s="7"/>
      <c r="E79" s="7"/>
      <c r="F79" s="7"/>
      <c r="G79" s="7"/>
      <c r="H79" s="7"/>
      <c r="I79" s="7"/>
      <c r="J79" s="7"/>
      <c r="K79" s="7"/>
      <c r="L79" s="7"/>
      <c r="M79" s="7"/>
      <c r="N79" s="7"/>
      <c r="O79" s="7"/>
      <c r="P79" s="8"/>
      <c r="Q79" s="7"/>
      <c r="R79" s="7"/>
      <c r="S79" s="7"/>
      <c r="T79" s="7"/>
      <c r="U79" s="7"/>
      <c r="V79" s="134"/>
      <c r="W79" s="134"/>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row>
    <row r="80" spans="1:52">
      <c r="A80" s="18"/>
      <c r="B80" s="19"/>
      <c r="C80" s="20"/>
      <c r="D80" s="7"/>
      <c r="E80" s="7"/>
      <c r="F80" s="7"/>
      <c r="G80" s="7"/>
      <c r="H80" s="7"/>
      <c r="I80" s="7"/>
      <c r="J80" s="7"/>
      <c r="K80" s="7"/>
      <c r="L80" s="7"/>
      <c r="M80" s="7"/>
      <c r="N80" s="7"/>
      <c r="O80" s="7"/>
      <c r="P80" s="8"/>
      <c r="Q80" s="7"/>
      <c r="R80" s="7"/>
      <c r="S80" s="7"/>
      <c r="T80" s="7"/>
      <c r="U80" s="7"/>
      <c r="V80" s="134"/>
      <c r="W80" s="134"/>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row>
    <row r="81" spans="1:52" ht="16.5" customHeight="1">
      <c r="A81" s="21"/>
      <c r="B81" s="19"/>
      <c r="C81" s="19"/>
      <c r="D81" s="7"/>
      <c r="E81" s="7"/>
      <c r="F81" s="7"/>
      <c r="G81" s="7"/>
      <c r="H81" s="7"/>
      <c r="I81" s="7"/>
      <c r="J81" s="7"/>
      <c r="K81" s="7"/>
      <c r="L81" s="7"/>
      <c r="M81" s="7"/>
      <c r="N81" s="7"/>
      <c r="O81" s="7"/>
      <c r="P81" s="8"/>
      <c r="Q81" s="7"/>
      <c r="R81" s="7"/>
      <c r="S81" s="7"/>
      <c r="T81" s="7"/>
      <c r="U81" s="7"/>
      <c r="V81" s="134"/>
      <c r="W81" s="134"/>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row>
    <row r="82" spans="1:52" ht="16.5" customHeight="1">
      <c r="A82" s="21"/>
      <c r="B82" s="19"/>
      <c r="C82" s="19"/>
      <c r="D82" s="7"/>
      <c r="E82" s="7"/>
      <c r="F82" s="7"/>
      <c r="G82" s="7"/>
      <c r="H82" s="7"/>
      <c r="I82" s="7"/>
      <c r="J82" s="7"/>
      <c r="K82" s="7"/>
      <c r="L82" s="7"/>
      <c r="M82" s="7"/>
      <c r="N82" s="7"/>
      <c r="O82" s="7"/>
      <c r="P82" s="8"/>
      <c r="Q82" s="7"/>
      <c r="R82" s="7"/>
      <c r="S82" s="7"/>
      <c r="T82" s="7"/>
      <c r="U82" s="7"/>
      <c r="V82" s="134"/>
      <c r="W82" s="134"/>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row>
    <row r="83" spans="1:52">
      <c r="A83" s="22"/>
      <c r="B83" s="7"/>
      <c r="C83" s="23"/>
      <c r="D83" s="7"/>
      <c r="E83" s="7"/>
      <c r="F83" s="7"/>
      <c r="G83" s="7"/>
      <c r="H83" s="7"/>
      <c r="I83" s="7"/>
      <c r="J83" s="7"/>
      <c r="K83" s="7"/>
      <c r="L83" s="7"/>
      <c r="M83" s="7"/>
      <c r="N83" s="7"/>
      <c r="O83" s="7"/>
      <c r="P83" s="8"/>
      <c r="Q83" s="7"/>
      <c r="R83" s="7"/>
      <c r="S83" s="7"/>
      <c r="T83" s="7"/>
      <c r="U83" s="7"/>
      <c r="V83" s="134"/>
      <c r="W83" s="134"/>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row>
    <row r="84" spans="1:52">
      <c r="A84" s="22"/>
      <c r="B84" s="7"/>
      <c r="C84" s="23"/>
      <c r="D84" s="7"/>
      <c r="E84" s="7"/>
      <c r="F84" s="7"/>
      <c r="G84" s="7"/>
      <c r="H84" s="7"/>
      <c r="I84" s="7"/>
      <c r="J84" s="7"/>
      <c r="K84" s="7"/>
      <c r="L84" s="7"/>
      <c r="M84" s="7"/>
      <c r="N84" s="7"/>
      <c r="O84" s="7"/>
      <c r="P84" s="8"/>
      <c r="Q84" s="7"/>
      <c r="R84" s="7"/>
      <c r="S84" s="7"/>
      <c r="T84" s="7"/>
      <c r="U84" s="7"/>
      <c r="V84" s="134"/>
      <c r="W84" s="134"/>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row>
    <row r="85" spans="1:52">
      <c r="A85" s="22"/>
      <c r="B85" s="7"/>
      <c r="C85" s="23"/>
      <c r="D85" s="7"/>
      <c r="E85" s="7"/>
      <c r="F85" s="7"/>
      <c r="G85" s="7"/>
      <c r="H85" s="7"/>
      <c r="I85" s="7"/>
      <c r="J85" s="7"/>
      <c r="K85" s="7"/>
      <c r="L85" s="7"/>
      <c r="M85" s="7"/>
      <c r="N85" s="7"/>
      <c r="O85" s="24"/>
      <c r="P85" s="7"/>
      <c r="Q85" s="7"/>
      <c r="R85" s="7"/>
      <c r="S85" s="7"/>
      <c r="T85" s="7"/>
      <c r="U85" s="7"/>
      <c r="V85" s="134"/>
      <c r="W85" s="134"/>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row>
    <row r="86" spans="1:52">
      <c r="A86" s="22"/>
      <c r="B86" s="7"/>
      <c r="C86" s="23"/>
      <c r="D86" s="7"/>
      <c r="E86" s="7"/>
      <c r="F86" s="7"/>
      <c r="G86" s="7"/>
      <c r="H86" s="7"/>
      <c r="I86" s="7"/>
      <c r="J86" s="7"/>
      <c r="K86" s="7"/>
      <c r="L86" s="7"/>
      <c r="M86" s="7"/>
      <c r="N86" s="7"/>
      <c r="O86" s="7"/>
      <c r="P86" s="7"/>
      <c r="Q86" s="7"/>
      <c r="R86" s="7"/>
      <c r="S86" s="7"/>
      <c r="T86" s="7"/>
      <c r="U86" s="7"/>
      <c r="V86" s="134"/>
      <c r="W86" s="134"/>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row>
    <row r="87" spans="1:52">
      <c r="A87" s="22"/>
      <c r="B87" s="7"/>
      <c r="C87" s="23"/>
      <c r="D87" s="7"/>
      <c r="E87" s="7"/>
      <c r="F87" s="7"/>
      <c r="G87" s="7"/>
      <c r="H87" s="7"/>
      <c r="I87" s="7"/>
      <c r="J87" s="7"/>
      <c r="K87" s="7"/>
      <c r="L87" s="7"/>
      <c r="M87" s="7"/>
      <c r="N87" s="7"/>
      <c r="O87" s="7"/>
      <c r="P87" s="7"/>
      <c r="Q87" s="7"/>
      <c r="R87" s="7"/>
      <c r="S87" s="7"/>
      <c r="T87" s="7"/>
      <c r="U87" s="7"/>
      <c r="V87" s="134"/>
      <c r="W87" s="134"/>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row>
    <row r="88" spans="1:52">
      <c r="A88" s="7"/>
      <c r="B88" s="7"/>
      <c r="C88" s="7"/>
      <c r="D88" s="7"/>
      <c r="E88" s="7"/>
      <c r="F88" s="7"/>
      <c r="G88" s="7"/>
      <c r="H88" s="7"/>
      <c r="I88" s="7"/>
      <c r="J88" s="7"/>
      <c r="K88" s="7"/>
      <c r="L88" s="7"/>
      <c r="M88" s="7"/>
      <c r="N88" s="7"/>
      <c r="O88" s="7"/>
      <c r="P88" s="7"/>
      <c r="Q88" s="7"/>
      <c r="R88" s="7"/>
      <c r="S88" s="7"/>
      <c r="T88" s="7"/>
      <c r="U88" s="7"/>
      <c r="V88" s="134"/>
      <c r="W88" s="134"/>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row>
    <row r="89" spans="1:52">
      <c r="A89" s="7"/>
      <c r="B89" s="7"/>
      <c r="C89" s="7"/>
      <c r="D89" s="7"/>
      <c r="E89" s="7"/>
      <c r="F89" s="7"/>
      <c r="G89" s="7"/>
      <c r="H89" s="7"/>
      <c r="I89" s="7"/>
      <c r="J89" s="7"/>
      <c r="K89" s="7"/>
      <c r="L89" s="7"/>
      <c r="M89" s="7"/>
      <c r="N89" s="7"/>
      <c r="O89" s="7"/>
      <c r="P89" s="7"/>
      <c r="Q89" s="7"/>
      <c r="R89" s="7"/>
      <c r="S89" s="7"/>
      <c r="T89" s="7"/>
      <c r="U89" s="7"/>
      <c r="V89" s="134"/>
      <c r="W89" s="134"/>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row>
    <row r="90" spans="1:52">
      <c r="A90" s="7"/>
      <c r="B90" s="7"/>
      <c r="C90" s="7"/>
      <c r="D90" s="7"/>
      <c r="E90" s="7"/>
      <c r="F90" s="7"/>
      <c r="G90" s="7"/>
      <c r="H90" s="7"/>
      <c r="I90" s="7"/>
      <c r="J90" s="7"/>
      <c r="K90" s="7"/>
      <c r="L90" s="7"/>
      <c r="M90" s="7"/>
      <c r="N90" s="7"/>
      <c r="O90" s="7"/>
      <c r="P90" s="7"/>
      <c r="Q90" s="7"/>
      <c r="R90" s="7"/>
      <c r="S90" s="7"/>
      <c r="T90" s="7"/>
      <c r="U90" s="7"/>
      <c r="V90" s="134"/>
      <c r="W90" s="134"/>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row>
    <row r="91" spans="1:52">
      <c r="A91" s="7"/>
      <c r="B91" s="7"/>
      <c r="C91" s="7"/>
      <c r="D91" s="7"/>
      <c r="E91" s="7"/>
      <c r="F91" s="7"/>
      <c r="G91" s="7"/>
      <c r="H91" s="7"/>
      <c r="I91" s="7"/>
      <c r="J91" s="7"/>
      <c r="K91" s="7"/>
      <c r="L91" s="7"/>
      <c r="M91" s="7"/>
      <c r="N91" s="7"/>
      <c r="O91" s="7"/>
      <c r="P91" s="7"/>
      <c r="Q91" s="7"/>
      <c r="R91" s="7"/>
      <c r="S91" s="7"/>
      <c r="T91" s="7"/>
      <c r="U91" s="7"/>
      <c r="V91" s="134"/>
      <c r="W91" s="134"/>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row>
    <row r="92" spans="1:52">
      <c r="A92" s="7"/>
      <c r="B92" s="7"/>
      <c r="C92" s="7"/>
      <c r="D92" s="7"/>
      <c r="E92" s="7"/>
      <c r="F92" s="7"/>
      <c r="G92" s="7"/>
      <c r="H92" s="7"/>
      <c r="I92" s="7"/>
      <c r="J92" s="7"/>
      <c r="K92" s="7"/>
      <c r="L92" s="7"/>
      <c r="M92" s="7"/>
      <c r="N92" s="7"/>
      <c r="O92" s="7"/>
      <c r="P92" s="7"/>
      <c r="Q92" s="7"/>
      <c r="R92" s="7"/>
      <c r="S92" s="7"/>
      <c r="T92" s="7"/>
      <c r="U92" s="7"/>
      <c r="V92" s="134"/>
      <c r="W92" s="134"/>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row>
    <row r="93" spans="1:52">
      <c r="A93" s="7"/>
      <c r="B93" s="7"/>
      <c r="C93" s="7"/>
      <c r="D93" s="7"/>
      <c r="E93" s="7"/>
      <c r="F93" s="7"/>
      <c r="G93" s="7"/>
      <c r="H93" s="7"/>
      <c r="I93" s="7"/>
      <c r="J93" s="7"/>
      <c r="K93" s="7"/>
      <c r="L93" s="7"/>
      <c r="M93" s="7"/>
      <c r="N93" s="7"/>
      <c r="O93" s="7"/>
      <c r="P93" s="7"/>
      <c r="Q93" s="7"/>
      <c r="R93" s="7"/>
      <c r="S93" s="7"/>
      <c r="T93" s="7"/>
      <c r="U93" s="7"/>
      <c r="V93" s="134"/>
      <c r="W93" s="134"/>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row>
    <row r="94" spans="1:52">
      <c r="A94" s="7"/>
      <c r="B94" s="7"/>
      <c r="C94" s="145"/>
      <c r="D94" s="7"/>
      <c r="E94" s="7"/>
      <c r="F94" s="7"/>
      <c r="G94" s="7"/>
      <c r="H94" s="7"/>
      <c r="I94" s="7"/>
      <c r="J94" s="7"/>
      <c r="K94" s="7"/>
      <c r="L94" s="7"/>
      <c r="M94" s="7"/>
      <c r="N94" s="7"/>
      <c r="O94" s="7"/>
      <c r="P94" s="7"/>
      <c r="Q94" s="7"/>
      <c r="R94" s="7"/>
      <c r="S94" s="7"/>
      <c r="T94" s="7"/>
      <c r="U94" s="7"/>
      <c r="V94" s="134"/>
      <c r="W94" s="134"/>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row>
    <row r="95" spans="1:52">
      <c r="A95" s="7"/>
      <c r="B95" s="7"/>
      <c r="C95" s="145"/>
      <c r="D95" s="7"/>
      <c r="E95" s="7"/>
      <c r="F95" s="7"/>
      <c r="G95" s="7"/>
      <c r="H95" s="7"/>
      <c r="I95" s="7"/>
      <c r="J95" s="7"/>
      <c r="K95" s="7"/>
      <c r="L95" s="7"/>
      <c r="M95" s="7"/>
      <c r="N95" s="7"/>
      <c r="O95" s="7"/>
      <c r="P95" s="7"/>
      <c r="Q95" s="7"/>
      <c r="R95" s="7"/>
      <c r="S95" s="7"/>
      <c r="T95" s="7"/>
      <c r="U95" s="7"/>
      <c r="V95" s="134"/>
      <c r="W95" s="134"/>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row>
    <row r="96" spans="1:52">
      <c r="A96" s="7"/>
      <c r="B96" s="7"/>
      <c r="C96" s="7"/>
      <c r="D96" s="7"/>
      <c r="E96" s="7"/>
      <c r="F96" s="7"/>
      <c r="G96" s="7"/>
      <c r="H96" s="7"/>
      <c r="I96" s="7"/>
      <c r="J96" s="7"/>
      <c r="K96" s="7"/>
      <c r="L96" s="7"/>
      <c r="M96" s="7"/>
      <c r="N96" s="7"/>
      <c r="O96" s="7"/>
      <c r="P96" s="7"/>
      <c r="Q96" s="7"/>
      <c r="R96" s="7"/>
      <c r="S96" s="7"/>
      <c r="T96" s="7"/>
      <c r="U96" s="7"/>
      <c r="V96" s="134"/>
      <c r="W96" s="134"/>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row>
    <row r="97" spans="1:52">
      <c r="A97" s="7"/>
      <c r="B97" s="7"/>
      <c r="C97" s="145"/>
      <c r="D97" s="7"/>
      <c r="E97" s="7"/>
      <c r="F97" s="7"/>
      <c r="G97" s="7"/>
      <c r="H97" s="7"/>
      <c r="I97" s="7"/>
      <c r="J97" s="7"/>
      <c r="K97" s="7"/>
      <c r="L97" s="7"/>
      <c r="M97" s="7"/>
      <c r="N97" s="7"/>
      <c r="O97" s="7"/>
      <c r="P97" s="7"/>
      <c r="Q97" s="7"/>
      <c r="R97" s="7"/>
      <c r="S97" s="7"/>
      <c r="T97" s="7"/>
      <c r="U97" s="7"/>
      <c r="V97" s="134"/>
      <c r="W97" s="134"/>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row>
    <row r="98" spans="1:52">
      <c r="A98" s="7"/>
      <c r="B98" s="7"/>
      <c r="C98" s="7"/>
      <c r="D98" s="7"/>
      <c r="E98" s="7"/>
      <c r="F98" s="7"/>
      <c r="G98" s="7"/>
      <c r="H98" s="7"/>
      <c r="I98" s="7"/>
      <c r="J98" s="7"/>
      <c r="K98" s="7"/>
      <c r="L98" s="7"/>
      <c r="M98" s="7"/>
      <c r="N98" s="7"/>
      <c r="O98" s="7"/>
      <c r="P98" s="7"/>
      <c r="Q98" s="7"/>
      <c r="R98" s="7"/>
      <c r="S98" s="7"/>
      <c r="T98" s="7"/>
      <c r="U98" s="7"/>
      <c r="V98" s="134"/>
      <c r="W98" s="134"/>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row>
    <row r="99" spans="1:52">
      <c r="C99" s="10"/>
    </row>
  </sheetData>
  <dataConsolidate/>
  <mergeCells count="73">
    <mergeCell ref="A1:O1"/>
    <mergeCell ref="A2:O2"/>
    <mergeCell ref="A3:O3"/>
    <mergeCell ref="A4:A10"/>
    <mergeCell ref="B4:E10"/>
    <mergeCell ref="F4:H10"/>
    <mergeCell ref="I4:N4"/>
    <mergeCell ref="I5:N5"/>
    <mergeCell ref="I6:N6"/>
    <mergeCell ref="I7:N7"/>
    <mergeCell ref="A22:M22"/>
    <mergeCell ref="I8:N8"/>
    <mergeCell ref="I9:N9"/>
    <mergeCell ref="I10:N10"/>
    <mergeCell ref="C11:H11"/>
    <mergeCell ref="J11:L11"/>
    <mergeCell ref="M11:O11"/>
    <mergeCell ref="A12:O12"/>
    <mergeCell ref="A13:O13"/>
    <mergeCell ref="A14:O14"/>
    <mergeCell ref="A15:O15"/>
    <mergeCell ref="A17:A21"/>
    <mergeCell ref="A39:O39"/>
    <mergeCell ref="A23:O23"/>
    <mergeCell ref="A24:O24"/>
    <mergeCell ref="A25:O25"/>
    <mergeCell ref="A27:A31"/>
    <mergeCell ref="A32:M32"/>
    <mergeCell ref="A33:O33"/>
    <mergeCell ref="A34:N34"/>
    <mergeCell ref="A35:O35"/>
    <mergeCell ref="A36:N36"/>
    <mergeCell ref="A37:O37"/>
    <mergeCell ref="A38:N38"/>
    <mergeCell ref="A50:O50"/>
    <mergeCell ref="A40:N40"/>
    <mergeCell ref="A41:O41"/>
    <mergeCell ref="A42:N42"/>
    <mergeCell ref="A43:O43"/>
    <mergeCell ref="A44:N44"/>
    <mergeCell ref="A45:O45"/>
    <mergeCell ref="A46:O46"/>
    <mergeCell ref="A47:N47"/>
    <mergeCell ref="A48:O48"/>
    <mergeCell ref="A49:L49"/>
    <mergeCell ref="M49:N49"/>
    <mergeCell ref="A51:B54"/>
    <mergeCell ref="C51:L54"/>
    <mergeCell ref="M51:O51"/>
    <mergeCell ref="M52:O52"/>
    <mergeCell ref="M53:O57"/>
    <mergeCell ref="A55:B56"/>
    <mergeCell ref="C55:L56"/>
    <mergeCell ref="A57:L57"/>
    <mergeCell ref="A68:O68"/>
    <mergeCell ref="A65:O65"/>
    <mergeCell ref="A58:O58"/>
    <mergeCell ref="A59:L59"/>
    <mergeCell ref="M59:O59"/>
    <mergeCell ref="A60:L60"/>
    <mergeCell ref="M60:O60"/>
    <mergeCell ref="A61:L61"/>
    <mergeCell ref="M61:O61"/>
    <mergeCell ref="A62:O62"/>
    <mergeCell ref="A63:L63"/>
    <mergeCell ref="M63:O63"/>
    <mergeCell ref="A64:L64"/>
    <mergeCell ref="M64:N64"/>
    <mergeCell ref="R56:T57"/>
    <mergeCell ref="A66:L66"/>
    <mergeCell ref="M66:O66"/>
    <mergeCell ref="A67:L67"/>
    <mergeCell ref="M67:N67"/>
  </mergeCells>
  <conditionalFormatting sqref="O22">
    <cfRule type="cellIs" dxfId="28" priority="21" operator="equal">
      <formula>100</formula>
    </cfRule>
  </conditionalFormatting>
  <conditionalFormatting sqref="O22">
    <cfRule type="cellIs" dxfId="27" priority="19" operator="equal">
      <formula>"NO CUMPLE"</formula>
    </cfRule>
    <cfRule type="cellIs" dxfId="26" priority="20" operator="equal">
      <formula>"CUMPLE"</formula>
    </cfRule>
  </conditionalFormatting>
  <conditionalFormatting sqref="P23">
    <cfRule type="cellIs" dxfId="25" priority="18" operator="equal">
      <formula>100</formula>
    </cfRule>
  </conditionalFormatting>
  <conditionalFormatting sqref="P23">
    <cfRule type="cellIs" dxfId="24" priority="16" operator="equal">
      <formula>"NO CUMPLE"</formula>
    </cfRule>
    <cfRule type="cellIs" dxfId="23" priority="17" operator="equal">
      <formula>"CUMPLE"</formula>
    </cfRule>
  </conditionalFormatting>
  <conditionalFormatting sqref="P45 P56 P50:P54">
    <cfRule type="cellIs" dxfId="22" priority="15" operator="equal">
      <formula>100</formula>
    </cfRule>
  </conditionalFormatting>
  <conditionalFormatting sqref="P45 P56 P50:P54">
    <cfRule type="cellIs" dxfId="21" priority="13" operator="equal">
      <formula>"NO CUMPLE"</formula>
    </cfRule>
    <cfRule type="cellIs" dxfId="20" priority="14" operator="equal">
      <formula>"CUMPLE"</formula>
    </cfRule>
  </conditionalFormatting>
  <conditionalFormatting sqref="O32">
    <cfRule type="cellIs" dxfId="19" priority="12" operator="equal">
      <formula>100</formula>
    </cfRule>
  </conditionalFormatting>
  <conditionalFormatting sqref="O32">
    <cfRule type="cellIs" dxfId="18" priority="10" operator="equal">
      <formula>"NO CUMPLE"</formula>
    </cfRule>
    <cfRule type="cellIs" dxfId="17" priority="11" operator="equal">
      <formula>"CUMPLE"</formula>
    </cfRule>
  </conditionalFormatting>
  <conditionalFormatting sqref="P32">
    <cfRule type="cellIs" dxfId="16" priority="9" operator="equal">
      <formula>100</formula>
    </cfRule>
  </conditionalFormatting>
  <conditionalFormatting sqref="P32">
    <cfRule type="cellIs" dxfId="15" priority="7" operator="equal">
      <formula>"NO CUMPLE"</formula>
    </cfRule>
    <cfRule type="cellIs" dxfId="14" priority="8" operator="equal">
      <formula>"CUMPLE"</formula>
    </cfRule>
  </conditionalFormatting>
  <conditionalFormatting sqref="P55">
    <cfRule type="cellIs" dxfId="13" priority="6" operator="equal">
      <formula>100</formula>
    </cfRule>
  </conditionalFormatting>
  <conditionalFormatting sqref="P55">
    <cfRule type="cellIs" dxfId="12" priority="4" operator="equal">
      <formula>"NO CUMPLE"</formula>
    </cfRule>
    <cfRule type="cellIs" dxfId="11" priority="5" operator="equal">
      <formula>"CUMPLE"</formula>
    </cfRule>
  </conditionalFormatting>
  <conditionalFormatting sqref="P57">
    <cfRule type="cellIs" dxfId="10" priority="3" operator="equal">
      <formula>100</formula>
    </cfRule>
  </conditionalFormatting>
  <conditionalFormatting sqref="P57">
    <cfRule type="cellIs" dxfId="9" priority="1" operator="equal">
      <formula>"NO CUMPLE"</formula>
    </cfRule>
    <cfRule type="cellIs" dxfId="8" priority="2" operator="equal">
      <formula>"CUMPLE"</formula>
    </cfRule>
  </conditionalFormatting>
  <dataValidations count="2">
    <dataValidation type="list" allowBlank="1" showInputMessage="1" showErrorMessage="1" sqref="V1:V2" xr:uid="{92DB3AF4-A1DB-4341-83CF-A8D4A90BAF18}">
      <formula1>$V$1:$V$2</formula1>
    </dataValidation>
    <dataValidation type="list" allowBlank="1" showInputMessage="1" showErrorMessage="1" sqref="O50" xr:uid="{38ED3D33-9639-44B7-A6EF-A4A5D619624D}">
      <formula1>$R$4:$R$5</formula1>
    </dataValidation>
  </dataValidations>
  <pageMargins left="0.11811023622047245" right="0.11811023622047245" top="0.74803149606299213" bottom="0.74803149606299213" header="0.31496062992125984" footer="0.31496062992125984"/>
  <pageSetup scale="24" orientation="landscape" r:id="rId1"/>
  <rowBreaks count="2" manualBreakCount="2">
    <brk id="33" max="14" man="1"/>
    <brk id="79" max="11"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7DE9C3-6DA2-4D90-B9AA-4F2DCE8E9E0C}">
  <sheetPr>
    <tabColor rgb="FFFF66FF"/>
  </sheetPr>
  <dimension ref="A1:AF43"/>
  <sheetViews>
    <sheetView zoomScaleNormal="100" workbookViewId="0">
      <selection activeCell="B10" sqref="B10:N14"/>
    </sheetView>
  </sheetViews>
  <sheetFormatPr baseColWidth="10" defaultColWidth="9.140625" defaultRowHeight="16.5"/>
  <cols>
    <col min="1" max="1" width="2.7109375" style="1" customWidth="1"/>
    <col min="2" max="2" width="4.140625" style="1" bestFit="1" customWidth="1"/>
    <col min="3" max="3" width="31.140625" style="1" customWidth="1"/>
    <col min="4" max="8" width="12.7109375" style="1" customWidth="1"/>
    <col min="9" max="9" width="0.85546875" style="1" customWidth="1"/>
    <col min="10" max="10" width="13.5703125" style="1" customWidth="1"/>
    <col min="11" max="11" width="0.85546875" style="1" customWidth="1"/>
    <col min="12" max="14" width="14.7109375" style="1" customWidth="1"/>
    <col min="15" max="16384" width="9.140625" style="1"/>
  </cols>
  <sheetData>
    <row r="1" spans="1:32" ht="5.25" customHeight="1">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row>
    <row r="2" spans="1:32">
      <c r="A2" s="7"/>
      <c r="B2" s="187" t="s">
        <v>104</v>
      </c>
      <c r="C2" s="188"/>
      <c r="D2" s="188"/>
      <c r="E2" s="188"/>
      <c r="F2" s="188"/>
      <c r="G2" s="188"/>
      <c r="H2" s="188"/>
      <c r="I2" s="188"/>
      <c r="J2" s="188"/>
      <c r="K2" s="188"/>
      <c r="L2" s="188"/>
      <c r="M2" s="188"/>
      <c r="N2" s="188"/>
      <c r="O2" s="7"/>
      <c r="P2" s="7"/>
      <c r="Q2" s="7"/>
      <c r="R2" s="7"/>
      <c r="S2" s="7"/>
      <c r="T2" s="7"/>
      <c r="U2" s="7"/>
      <c r="V2" s="7"/>
      <c r="W2" s="7"/>
      <c r="X2" s="7"/>
      <c r="Y2" s="7"/>
      <c r="Z2" s="7"/>
      <c r="AA2" s="7"/>
      <c r="AB2" s="7"/>
      <c r="AC2" s="7"/>
      <c r="AD2" s="7"/>
      <c r="AE2" s="7"/>
      <c r="AF2" s="7"/>
    </row>
    <row r="3" spans="1:32">
      <c r="A3" s="7"/>
      <c r="B3" s="188"/>
      <c r="C3" s="188"/>
      <c r="D3" s="188"/>
      <c r="E3" s="188"/>
      <c r="F3" s="188"/>
      <c r="G3" s="188"/>
      <c r="H3" s="188"/>
      <c r="I3" s="188"/>
      <c r="J3" s="188"/>
      <c r="K3" s="188"/>
      <c r="L3" s="188"/>
      <c r="M3" s="188"/>
      <c r="N3" s="188"/>
      <c r="O3" s="7"/>
      <c r="P3" s="7"/>
      <c r="Q3" s="7"/>
      <c r="R3" s="7"/>
      <c r="S3" s="7"/>
      <c r="T3" s="7"/>
      <c r="U3" s="7"/>
      <c r="V3" s="7"/>
      <c r="W3" s="7"/>
      <c r="X3" s="7"/>
      <c r="Y3" s="7"/>
      <c r="Z3" s="7"/>
      <c r="AA3" s="7"/>
      <c r="AB3" s="7"/>
      <c r="AC3" s="7"/>
      <c r="AD3" s="7"/>
      <c r="AE3" s="7"/>
      <c r="AF3" s="7"/>
    </row>
    <row r="4" spans="1:32">
      <c r="A4" s="7"/>
      <c r="B4" s="188"/>
      <c r="C4" s="188"/>
      <c r="D4" s="188"/>
      <c r="E4" s="188"/>
      <c r="F4" s="188"/>
      <c r="G4" s="188"/>
      <c r="H4" s="188"/>
      <c r="I4" s="188"/>
      <c r="J4" s="188"/>
      <c r="K4" s="188"/>
      <c r="L4" s="188"/>
      <c r="M4" s="188"/>
      <c r="N4" s="188"/>
      <c r="O4" s="7"/>
      <c r="P4" s="7"/>
      <c r="Q4" s="7"/>
      <c r="R4" s="7"/>
      <c r="S4" s="7"/>
      <c r="T4" s="7"/>
      <c r="U4" s="7"/>
      <c r="V4" s="7"/>
      <c r="W4" s="7"/>
      <c r="X4" s="7"/>
      <c r="Y4" s="7"/>
      <c r="Z4" s="7"/>
      <c r="AA4" s="7"/>
      <c r="AB4" s="7"/>
      <c r="AC4" s="7"/>
      <c r="AD4" s="7"/>
      <c r="AE4" s="7"/>
      <c r="AF4" s="7"/>
    </row>
    <row r="5" spans="1:32">
      <c r="A5" s="7"/>
      <c r="B5" s="188"/>
      <c r="C5" s="188"/>
      <c r="D5" s="188"/>
      <c r="E5" s="188"/>
      <c r="F5" s="188"/>
      <c r="G5" s="188"/>
      <c r="H5" s="188"/>
      <c r="I5" s="188"/>
      <c r="J5" s="188"/>
      <c r="K5" s="188"/>
      <c r="L5" s="188"/>
      <c r="M5" s="188"/>
      <c r="N5" s="188"/>
      <c r="O5" s="7"/>
      <c r="P5" s="7"/>
      <c r="Q5" s="7"/>
      <c r="R5" s="7"/>
      <c r="S5" s="7"/>
      <c r="T5" s="7"/>
      <c r="U5" s="7"/>
      <c r="V5" s="7"/>
      <c r="W5" s="7"/>
      <c r="X5" s="7"/>
      <c r="Y5" s="7"/>
      <c r="Z5" s="7"/>
      <c r="AA5" s="7"/>
      <c r="AB5" s="7"/>
      <c r="AC5" s="7"/>
      <c r="AD5" s="7"/>
      <c r="AE5" s="7"/>
      <c r="AF5" s="7"/>
    </row>
    <row r="6" spans="1:32" ht="37.5" customHeight="1">
      <c r="A6" s="7"/>
      <c r="B6" s="318" t="str">
        <f>'RESUMEN P1'!B6</f>
        <v>REALIZAR EL SUMINISTRO E INSTALACIÓN DE LOS SISTEMAS DE AYUDAS VISUALES Y SUS OBRAS
COMPLEMENTARIAS PARA EL AEROPUERTO PERALES DE IBAGUÉ, TOLIMA (VF)</v>
      </c>
      <c r="C6" s="319"/>
      <c r="D6" s="319"/>
      <c r="E6" s="319"/>
      <c r="F6" s="319"/>
      <c r="G6" s="319"/>
      <c r="H6" s="319"/>
      <c r="I6" s="319"/>
      <c r="J6" s="319"/>
      <c r="K6" s="319"/>
      <c r="L6" s="319"/>
      <c r="M6" s="319"/>
      <c r="N6" s="320"/>
      <c r="O6" s="7"/>
      <c r="P6" s="7"/>
      <c r="Q6" s="7"/>
      <c r="R6" s="7"/>
      <c r="S6" s="7"/>
      <c r="T6" s="7"/>
      <c r="U6" s="7"/>
      <c r="V6" s="7"/>
      <c r="W6" s="7"/>
      <c r="X6" s="7"/>
      <c r="Y6" s="7"/>
      <c r="Z6" s="7"/>
      <c r="AA6" s="7"/>
      <c r="AB6" s="7"/>
      <c r="AC6" s="7"/>
      <c r="AD6" s="7"/>
      <c r="AE6" s="7"/>
      <c r="AF6" s="7"/>
    </row>
    <row r="7" spans="1:32">
      <c r="A7" s="7"/>
      <c r="B7" s="187" t="str">
        <f>'RESUMEN P1'!B7</f>
        <v>PROCESO DE LICITACIÓN PÚBLICA 24001224 H1 2024</v>
      </c>
      <c r="C7" s="187"/>
      <c r="D7" s="187"/>
      <c r="E7" s="187"/>
      <c r="F7" s="187"/>
      <c r="G7" s="187"/>
      <c r="H7" s="187"/>
      <c r="I7" s="187"/>
      <c r="J7" s="187"/>
      <c r="K7" s="187"/>
      <c r="L7" s="187"/>
      <c r="M7" s="187"/>
      <c r="N7" s="187"/>
      <c r="O7" s="7"/>
      <c r="P7" s="7"/>
      <c r="Q7" s="7"/>
      <c r="R7" s="7"/>
      <c r="S7" s="7"/>
      <c r="T7" s="7"/>
      <c r="U7" s="7"/>
      <c r="V7" s="7"/>
      <c r="W7" s="7"/>
      <c r="X7" s="7"/>
      <c r="Y7" s="7"/>
      <c r="Z7" s="7"/>
      <c r="AA7" s="7"/>
      <c r="AB7" s="7"/>
      <c r="AC7" s="7"/>
      <c r="AD7" s="7"/>
      <c r="AE7" s="7"/>
      <c r="AF7" s="7"/>
    </row>
    <row r="8" spans="1:32" ht="37.5" customHeight="1">
      <c r="A8" s="7"/>
      <c r="B8" s="189" t="s">
        <v>273</v>
      </c>
      <c r="C8" s="189"/>
      <c r="D8" s="189"/>
      <c r="E8" s="189"/>
      <c r="F8" s="189"/>
      <c r="G8" s="189"/>
      <c r="H8" s="189"/>
      <c r="I8" s="189"/>
      <c r="J8" s="189"/>
      <c r="K8" s="189"/>
      <c r="L8" s="189"/>
      <c r="M8" s="189"/>
      <c r="N8" s="189"/>
      <c r="O8" s="7"/>
      <c r="P8" s="7"/>
      <c r="Q8" s="7"/>
      <c r="R8" s="7"/>
      <c r="S8" s="7"/>
      <c r="T8" s="7"/>
      <c r="U8" s="7"/>
      <c r="V8" s="7"/>
      <c r="W8" s="7"/>
      <c r="X8" s="7"/>
      <c r="Y8" s="7"/>
      <c r="Z8" s="7"/>
      <c r="AA8" s="7"/>
      <c r="AB8" s="7"/>
      <c r="AC8" s="7"/>
      <c r="AD8" s="7"/>
      <c r="AE8" s="7"/>
      <c r="AF8" s="7"/>
    </row>
    <row r="9" spans="1:32">
      <c r="A9" s="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row r="10" spans="1:32">
      <c r="A10" s="7"/>
      <c r="B10" s="324" t="s">
        <v>105</v>
      </c>
      <c r="C10" s="324"/>
      <c r="D10" s="324"/>
      <c r="E10" s="324"/>
      <c r="F10" s="324"/>
      <c r="G10" s="324"/>
      <c r="H10" s="324"/>
      <c r="I10" s="324"/>
      <c r="J10" s="324"/>
      <c r="K10" s="324"/>
      <c r="L10" s="324"/>
      <c r="M10" s="324"/>
      <c r="N10" s="324"/>
      <c r="O10" s="7"/>
      <c r="P10" s="7"/>
      <c r="Q10" s="7"/>
      <c r="R10" s="7"/>
      <c r="S10" s="7"/>
      <c r="T10" s="7"/>
      <c r="U10" s="7"/>
      <c r="V10" s="7"/>
      <c r="W10" s="7"/>
      <c r="X10" s="7"/>
      <c r="Y10" s="7"/>
      <c r="Z10" s="7"/>
      <c r="AA10" s="7"/>
      <c r="AB10" s="7"/>
      <c r="AC10" s="7"/>
      <c r="AD10" s="7"/>
      <c r="AE10" s="7"/>
      <c r="AF10" s="7"/>
    </row>
    <row r="11" spans="1:32" ht="51">
      <c r="A11" s="7"/>
      <c r="B11" s="70" t="s">
        <v>1</v>
      </c>
      <c r="C11" s="70" t="s">
        <v>2</v>
      </c>
      <c r="D11" s="71" t="s">
        <v>99</v>
      </c>
      <c r="E11" s="71" t="s">
        <v>100</v>
      </c>
      <c r="F11" s="71" t="s">
        <v>101</v>
      </c>
      <c r="G11" s="71" t="s">
        <v>102</v>
      </c>
      <c r="H11" s="71" t="s">
        <v>103</v>
      </c>
      <c r="I11" s="325"/>
      <c r="J11" s="72" t="s">
        <v>42</v>
      </c>
      <c r="K11" s="325"/>
      <c r="L11" s="327" t="s">
        <v>0</v>
      </c>
      <c r="M11" s="328"/>
      <c r="N11" s="329"/>
      <c r="O11" s="7"/>
      <c r="P11" s="7"/>
      <c r="Q11" s="7"/>
      <c r="R11" s="7"/>
      <c r="S11" s="7"/>
      <c r="T11" s="7"/>
      <c r="U11" s="7"/>
      <c r="V11" s="7"/>
      <c r="W11" s="7"/>
      <c r="X11" s="7"/>
      <c r="Y11" s="7"/>
      <c r="Z11" s="7"/>
      <c r="AA11" s="7"/>
      <c r="AB11" s="7"/>
      <c r="AC11" s="7"/>
      <c r="AD11" s="7"/>
      <c r="AE11" s="7"/>
      <c r="AF11" s="7"/>
    </row>
    <row r="12" spans="1:32">
      <c r="A12" s="7"/>
      <c r="B12" s="66">
        <v>1</v>
      </c>
      <c r="C12" s="30" t="str">
        <f>'RESUMEN P1'!C11</f>
        <v>SKYTECH</v>
      </c>
      <c r="D12" s="69" t="str">
        <f>'1'!$O$17</f>
        <v>CUMPLE</v>
      </c>
      <c r="E12" s="69" t="str">
        <f>'1'!$O$18</f>
        <v>CUMPLE</v>
      </c>
      <c r="F12" s="69" t="str">
        <f>'1'!$O$19</f>
        <v>CUMPLE</v>
      </c>
      <c r="G12" s="69" t="str">
        <f>'1'!$O$20</f>
        <v>CUMPLE</v>
      </c>
      <c r="H12" s="69" t="str">
        <f>'1'!$O$21</f>
        <v>CUMPLE</v>
      </c>
      <c r="I12" s="326"/>
      <c r="J12" s="74" t="str">
        <f>'1'!$O$22</f>
        <v>CUMPLE</v>
      </c>
      <c r="K12" s="326"/>
      <c r="L12" s="321"/>
      <c r="M12" s="322"/>
      <c r="N12" s="323"/>
      <c r="O12" s="7"/>
      <c r="P12" s="7"/>
      <c r="Q12" s="7"/>
      <c r="R12" s="7"/>
      <c r="S12" s="7"/>
      <c r="T12" s="7"/>
      <c r="U12" s="7"/>
      <c r="V12" s="7"/>
      <c r="W12" s="7"/>
      <c r="X12" s="7"/>
      <c r="Y12" s="7"/>
      <c r="Z12" s="7"/>
      <c r="AA12" s="7"/>
      <c r="AB12" s="7"/>
      <c r="AC12" s="7"/>
      <c r="AD12" s="7"/>
      <c r="AE12" s="7"/>
      <c r="AF12" s="7"/>
    </row>
    <row r="13" spans="1:32">
      <c r="A13" s="7"/>
      <c r="B13" s="73">
        <v>2</v>
      </c>
      <c r="C13" s="30" t="str">
        <f>'RESUMEN P1'!C12</f>
        <v>RAPIDEXXUS</v>
      </c>
      <c r="D13" s="69" t="str">
        <f>'2'!$O$17</f>
        <v>CUMPLE</v>
      </c>
      <c r="E13" s="69" t="str">
        <f>'2'!$O$18</f>
        <v>CUMPLE</v>
      </c>
      <c r="F13" s="69" t="str">
        <f>'2'!$O$19</f>
        <v>CUMPLE</v>
      </c>
      <c r="G13" s="69" t="s">
        <v>37</v>
      </c>
      <c r="H13" s="69" t="s">
        <v>37</v>
      </c>
      <c r="I13" s="326"/>
      <c r="J13" s="74" t="str">
        <f>'2'!$O$22</f>
        <v>CUMPLE</v>
      </c>
      <c r="K13" s="326"/>
      <c r="L13" s="321"/>
      <c r="M13" s="322"/>
      <c r="N13" s="323"/>
      <c r="O13" s="7"/>
      <c r="P13" s="7"/>
      <c r="Q13" s="7"/>
      <c r="R13" s="7"/>
      <c r="S13" s="7"/>
      <c r="T13" s="7"/>
      <c r="U13" s="7"/>
      <c r="V13" s="7"/>
      <c r="W13" s="7"/>
      <c r="X13" s="7"/>
      <c r="Y13" s="7"/>
      <c r="Z13" s="7"/>
      <c r="AA13" s="7"/>
      <c r="AB13" s="7"/>
      <c r="AC13" s="7"/>
      <c r="AD13" s="7"/>
      <c r="AE13" s="7"/>
      <c r="AF13" s="7"/>
    </row>
    <row r="14" spans="1:32">
      <c r="A14" s="7"/>
      <c r="B14" s="66">
        <v>3</v>
      </c>
      <c r="C14" s="30" t="str">
        <f>'RESUMEN P1'!C13</f>
        <v>CONSORCIO ILUMINACIÓN IBE24</v>
      </c>
      <c r="D14" s="69" t="str">
        <f>'3'!$O$17</f>
        <v>CUMPLE</v>
      </c>
      <c r="E14" s="69" t="str">
        <f>'3'!$O$18</f>
        <v>CUMPLE</v>
      </c>
      <c r="F14" s="69" t="str">
        <f>'3'!$O$19</f>
        <v>CUMPLE</v>
      </c>
      <c r="G14" s="69" t="s">
        <v>37</v>
      </c>
      <c r="H14" s="69" t="s">
        <v>37</v>
      </c>
      <c r="I14" s="326"/>
      <c r="J14" s="74" t="str">
        <f>'3'!$O$22</f>
        <v>CUMPLE</v>
      </c>
      <c r="K14" s="326"/>
      <c r="L14" s="321"/>
      <c r="M14" s="322"/>
      <c r="N14" s="323"/>
      <c r="O14" s="7"/>
      <c r="P14" s="7"/>
      <c r="Q14" s="7"/>
      <c r="R14" s="7"/>
      <c r="S14" s="7"/>
      <c r="T14" s="7"/>
      <c r="U14" s="7"/>
      <c r="V14" s="7"/>
      <c r="W14" s="7"/>
      <c r="X14" s="7"/>
      <c r="Y14" s="7"/>
      <c r="Z14" s="7"/>
      <c r="AA14" s="7"/>
      <c r="AB14" s="7"/>
      <c r="AC14" s="7"/>
      <c r="AD14" s="7"/>
      <c r="AE14" s="7"/>
      <c r="AF14" s="7"/>
    </row>
    <row r="15" spans="1:32">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row>
    <row r="16" spans="1:32">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row>
    <row r="17" spans="1:32">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row>
    <row r="18" spans="1:32">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row>
    <row r="19" spans="1:32">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row>
    <row r="20" spans="1:32">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row>
    <row r="21" spans="1:3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row>
    <row r="22" spans="1:32">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row>
    <row r="23" spans="1:32">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row>
    <row r="24" spans="1:32">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row>
    <row r="25" spans="1:32">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row>
    <row r="26" spans="1:32">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row>
    <row r="27" spans="1:32">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row>
    <row r="28" spans="1:32">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row>
    <row r="29" spans="1:32">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row>
    <row r="30" spans="1:32">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row>
    <row r="31" spans="1:32">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row>
    <row r="32" spans="1:32">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row>
    <row r="33" spans="1:32">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row>
    <row r="34" spans="1:32">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row>
    <row r="35" spans="1:32">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row>
    <row r="36" spans="1:32">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row>
    <row r="37" spans="1:32">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row>
    <row r="38" spans="1:32">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row>
    <row r="39" spans="1:32">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row>
    <row r="40" spans="1:32">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row>
    <row r="41" spans="1:32">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row>
    <row r="42" spans="1:32">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row>
    <row r="43" spans="1:32">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row>
  </sheetData>
  <mergeCells count="11">
    <mergeCell ref="B2:N5"/>
    <mergeCell ref="B6:N6"/>
    <mergeCell ref="B7:N7"/>
    <mergeCell ref="B8:N8"/>
    <mergeCell ref="L14:N14"/>
    <mergeCell ref="B10:N10"/>
    <mergeCell ref="I11:I14"/>
    <mergeCell ref="K11:K14"/>
    <mergeCell ref="L11:N11"/>
    <mergeCell ref="L12:N12"/>
    <mergeCell ref="L13:N13"/>
  </mergeCells>
  <conditionalFormatting sqref="D12:H14 J12:J14">
    <cfRule type="containsText" dxfId="7" priority="4" operator="containsText" text="NO CUMPLE">
      <formula>NOT(ISERROR(SEARCH("NO CUMPLE",D12)))</formula>
    </cfRule>
  </conditionalFormatting>
  <pageMargins left="0.7" right="0.7" top="0.75" bottom="0.75" header="0.3" footer="0.3"/>
  <pageSetup orientation="portrait" r:id="rId1"/>
  <ignoredErrors>
    <ignoredError sqref="D13:F13" formula="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1B62F-ABFA-451C-AEBE-2E06A0226A62}">
  <sheetPr>
    <tabColor rgb="FFFF00FF"/>
  </sheetPr>
  <dimension ref="A1:AF43"/>
  <sheetViews>
    <sheetView zoomScaleNormal="100" workbookViewId="0">
      <selection activeCell="B10" sqref="B10:N14"/>
    </sheetView>
  </sheetViews>
  <sheetFormatPr baseColWidth="10" defaultColWidth="9.140625" defaultRowHeight="16.5"/>
  <cols>
    <col min="1" max="1" width="2.7109375" style="1" customWidth="1"/>
    <col min="2" max="2" width="4.140625" style="1" bestFit="1" customWidth="1"/>
    <col min="3" max="3" width="35.42578125" style="1" bestFit="1" customWidth="1"/>
    <col min="4" max="8" width="12.7109375" style="1" customWidth="1"/>
    <col min="9" max="9" width="0.85546875" style="1" customWidth="1"/>
    <col min="10" max="10" width="12.7109375" style="1" customWidth="1"/>
    <col min="11" max="11" width="0.85546875" style="1" customWidth="1"/>
    <col min="12" max="12" width="12.85546875" style="1" customWidth="1"/>
    <col min="13" max="13" width="12" style="1" customWidth="1"/>
    <col min="14" max="14" width="13.7109375" style="1" customWidth="1"/>
    <col min="15" max="16384" width="9.140625" style="1"/>
  </cols>
  <sheetData>
    <row r="1" spans="1:32" ht="5.25" customHeight="1">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row>
    <row r="2" spans="1:32">
      <c r="A2" s="7"/>
      <c r="B2" s="187" t="s">
        <v>104</v>
      </c>
      <c r="C2" s="188"/>
      <c r="D2" s="188"/>
      <c r="E2" s="188"/>
      <c r="F2" s="188"/>
      <c r="G2" s="188"/>
      <c r="H2" s="188"/>
      <c r="I2" s="188"/>
      <c r="J2" s="188"/>
      <c r="K2" s="188"/>
      <c r="L2" s="188"/>
      <c r="M2" s="188"/>
      <c r="N2" s="188"/>
      <c r="O2" s="7"/>
      <c r="P2" s="7"/>
      <c r="Q2" s="7"/>
      <c r="R2" s="7"/>
      <c r="S2" s="7"/>
      <c r="T2" s="7"/>
      <c r="U2" s="7"/>
      <c r="V2" s="7"/>
      <c r="W2" s="7"/>
      <c r="X2" s="7"/>
      <c r="Y2" s="7"/>
      <c r="Z2" s="7"/>
      <c r="AA2" s="7"/>
      <c r="AB2" s="7"/>
      <c r="AC2" s="7"/>
      <c r="AD2" s="7"/>
      <c r="AE2" s="7"/>
      <c r="AF2" s="7"/>
    </row>
    <row r="3" spans="1:32">
      <c r="A3" s="7"/>
      <c r="B3" s="188"/>
      <c r="C3" s="188"/>
      <c r="D3" s="188"/>
      <c r="E3" s="188"/>
      <c r="F3" s="188"/>
      <c r="G3" s="188"/>
      <c r="H3" s="188"/>
      <c r="I3" s="188"/>
      <c r="J3" s="188"/>
      <c r="K3" s="188"/>
      <c r="L3" s="188"/>
      <c r="M3" s="188"/>
      <c r="N3" s="188"/>
      <c r="O3" s="7"/>
      <c r="P3" s="7"/>
      <c r="Q3" s="7"/>
      <c r="R3" s="7"/>
      <c r="S3" s="7"/>
      <c r="T3" s="7"/>
      <c r="U3" s="7"/>
      <c r="V3" s="7"/>
      <c r="W3" s="7"/>
      <c r="X3" s="7"/>
      <c r="Y3" s="7"/>
      <c r="Z3" s="7"/>
      <c r="AA3" s="7"/>
      <c r="AB3" s="7"/>
      <c r="AC3" s="7"/>
      <c r="AD3" s="7"/>
      <c r="AE3" s="7"/>
      <c r="AF3" s="7"/>
    </row>
    <row r="4" spans="1:32">
      <c r="A4" s="7"/>
      <c r="B4" s="188"/>
      <c r="C4" s="188"/>
      <c r="D4" s="188"/>
      <c r="E4" s="188"/>
      <c r="F4" s="188"/>
      <c r="G4" s="188"/>
      <c r="H4" s="188"/>
      <c r="I4" s="188"/>
      <c r="J4" s="188"/>
      <c r="K4" s="188"/>
      <c r="L4" s="188"/>
      <c r="M4" s="188"/>
      <c r="N4" s="188"/>
      <c r="O4" s="7"/>
      <c r="P4" s="7"/>
      <c r="Q4" s="7"/>
      <c r="R4" s="7"/>
      <c r="S4" s="7"/>
      <c r="T4" s="7"/>
      <c r="U4" s="7"/>
      <c r="V4" s="7"/>
      <c r="W4" s="7"/>
      <c r="X4" s="7"/>
      <c r="Y4" s="7"/>
      <c r="Z4" s="7"/>
      <c r="AA4" s="7"/>
      <c r="AB4" s="7"/>
      <c r="AC4" s="7"/>
      <c r="AD4" s="7"/>
      <c r="AE4" s="7"/>
      <c r="AF4" s="7"/>
    </row>
    <row r="5" spans="1:32">
      <c r="A5" s="7"/>
      <c r="B5" s="188"/>
      <c r="C5" s="188"/>
      <c r="D5" s="188"/>
      <c r="E5" s="188"/>
      <c r="F5" s="188"/>
      <c r="G5" s="188"/>
      <c r="H5" s="188"/>
      <c r="I5" s="188"/>
      <c r="J5" s="188"/>
      <c r="K5" s="188"/>
      <c r="L5" s="188"/>
      <c r="M5" s="188"/>
      <c r="N5" s="188"/>
      <c r="O5" s="7"/>
      <c r="P5" s="7"/>
      <c r="Q5" s="7"/>
      <c r="R5" s="7"/>
      <c r="S5" s="7"/>
      <c r="T5" s="7"/>
      <c r="U5" s="7"/>
      <c r="V5" s="7"/>
      <c r="W5" s="7"/>
      <c r="X5" s="7"/>
      <c r="Y5" s="7"/>
      <c r="Z5" s="7"/>
      <c r="AA5" s="7"/>
      <c r="AB5" s="7"/>
      <c r="AC5" s="7"/>
      <c r="AD5" s="7"/>
      <c r="AE5" s="7"/>
      <c r="AF5" s="7"/>
    </row>
    <row r="6" spans="1:32" ht="37.5" customHeight="1">
      <c r="A6" s="7"/>
      <c r="B6" s="187" t="str">
        <f>'RESUMEN P1'!B6</f>
        <v>REALIZAR EL SUMINISTRO E INSTALACIÓN DE LOS SISTEMAS DE AYUDAS VISUALES Y SUS OBRAS
COMPLEMENTARIAS PARA EL AEROPUERTO PERALES DE IBAGUÉ, TOLIMA (VF)</v>
      </c>
      <c r="C6" s="188"/>
      <c r="D6" s="188"/>
      <c r="E6" s="188"/>
      <c r="F6" s="188"/>
      <c r="G6" s="188"/>
      <c r="H6" s="188"/>
      <c r="I6" s="188"/>
      <c r="J6" s="188"/>
      <c r="K6" s="188"/>
      <c r="L6" s="188"/>
      <c r="M6" s="188"/>
      <c r="N6" s="188"/>
      <c r="O6" s="7"/>
      <c r="P6" s="7"/>
      <c r="Q6" s="7"/>
      <c r="R6" s="7"/>
      <c r="S6" s="7"/>
      <c r="T6" s="7"/>
      <c r="U6" s="7"/>
      <c r="V6" s="7"/>
      <c r="W6" s="7"/>
      <c r="X6" s="7"/>
      <c r="Y6" s="7"/>
      <c r="Z6" s="7"/>
      <c r="AA6" s="7"/>
      <c r="AB6" s="7"/>
      <c r="AC6" s="7"/>
      <c r="AD6" s="7"/>
      <c r="AE6" s="7"/>
      <c r="AF6" s="7"/>
    </row>
    <row r="7" spans="1:32">
      <c r="A7" s="7"/>
      <c r="B7" s="187" t="str">
        <f>'RESUMEN P1'!B7</f>
        <v>PROCESO DE LICITACIÓN PÚBLICA 24001224 H1 2024</v>
      </c>
      <c r="C7" s="187"/>
      <c r="D7" s="187"/>
      <c r="E7" s="187"/>
      <c r="F7" s="187"/>
      <c r="G7" s="187"/>
      <c r="H7" s="187"/>
      <c r="I7" s="187"/>
      <c r="J7" s="187"/>
      <c r="K7" s="187"/>
      <c r="L7" s="187"/>
      <c r="M7" s="187"/>
      <c r="N7" s="187"/>
      <c r="O7" s="7"/>
      <c r="P7" s="7"/>
      <c r="Q7" s="7"/>
      <c r="R7" s="7"/>
      <c r="S7" s="7"/>
      <c r="T7" s="7"/>
      <c r="U7" s="7"/>
      <c r="V7" s="7"/>
      <c r="W7" s="7"/>
      <c r="X7" s="7"/>
      <c r="Y7" s="7"/>
      <c r="Z7" s="7"/>
      <c r="AA7" s="7"/>
      <c r="AB7" s="7"/>
      <c r="AC7" s="7"/>
      <c r="AD7" s="7"/>
      <c r="AE7" s="7"/>
      <c r="AF7" s="7"/>
    </row>
    <row r="8" spans="1:32" ht="37.5" customHeight="1">
      <c r="A8" s="7"/>
      <c r="B8" s="189" t="s">
        <v>273</v>
      </c>
      <c r="C8" s="189"/>
      <c r="D8" s="189"/>
      <c r="E8" s="189"/>
      <c r="F8" s="189"/>
      <c r="G8" s="189"/>
      <c r="H8" s="189"/>
      <c r="I8" s="189"/>
      <c r="J8" s="189"/>
      <c r="K8" s="189"/>
      <c r="L8" s="189"/>
      <c r="M8" s="189"/>
      <c r="N8" s="189"/>
      <c r="O8" s="7"/>
      <c r="P8" s="7"/>
      <c r="Q8" s="7"/>
      <c r="R8" s="7"/>
      <c r="S8" s="7"/>
      <c r="T8" s="7"/>
      <c r="U8" s="7"/>
      <c r="V8" s="7"/>
      <c r="W8" s="7"/>
      <c r="X8" s="7"/>
      <c r="Y8" s="7"/>
      <c r="Z8" s="7"/>
      <c r="AA8" s="7"/>
      <c r="AB8" s="7"/>
      <c r="AC8" s="7"/>
      <c r="AD8" s="7"/>
      <c r="AE8" s="7"/>
      <c r="AF8" s="7"/>
    </row>
    <row r="9" spans="1:32">
      <c r="A9" s="7"/>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row>
    <row r="10" spans="1:32">
      <c r="A10" s="7"/>
      <c r="B10" s="324" t="s">
        <v>106</v>
      </c>
      <c r="C10" s="324"/>
      <c r="D10" s="324"/>
      <c r="E10" s="324"/>
      <c r="F10" s="324"/>
      <c r="G10" s="324"/>
      <c r="H10" s="324"/>
      <c r="I10" s="324"/>
      <c r="J10" s="324"/>
      <c r="K10" s="324"/>
      <c r="L10" s="324"/>
      <c r="M10" s="324"/>
      <c r="N10" s="324"/>
      <c r="O10" s="7"/>
      <c r="P10" s="7"/>
      <c r="Q10" s="7"/>
      <c r="R10" s="7"/>
      <c r="S10" s="7"/>
      <c r="T10" s="7"/>
      <c r="U10" s="7"/>
      <c r="V10" s="7"/>
      <c r="W10" s="7"/>
      <c r="X10" s="7"/>
      <c r="Y10" s="7"/>
      <c r="Z10" s="7"/>
      <c r="AA10" s="7"/>
      <c r="AB10" s="7"/>
      <c r="AC10" s="7"/>
      <c r="AD10" s="7"/>
      <c r="AE10" s="7"/>
      <c r="AF10" s="7"/>
    </row>
    <row r="11" spans="1:32" ht="51">
      <c r="A11" s="7"/>
      <c r="B11" s="70" t="s">
        <v>1</v>
      </c>
      <c r="C11" s="70" t="s">
        <v>2</v>
      </c>
      <c r="D11" s="71" t="s">
        <v>99</v>
      </c>
      <c r="E11" s="71" t="s">
        <v>100</v>
      </c>
      <c r="F11" s="71" t="s">
        <v>101</v>
      </c>
      <c r="G11" s="71" t="s">
        <v>102</v>
      </c>
      <c r="H11" s="71" t="s">
        <v>103</v>
      </c>
      <c r="I11" s="325"/>
      <c r="J11" s="72" t="s">
        <v>47</v>
      </c>
      <c r="K11" s="325"/>
      <c r="L11" s="327" t="s">
        <v>0</v>
      </c>
      <c r="M11" s="328"/>
      <c r="N11" s="329"/>
      <c r="O11" s="7"/>
      <c r="P11" s="7"/>
      <c r="Q11" s="7"/>
      <c r="R11" s="7"/>
      <c r="S11" s="7"/>
      <c r="T11" s="7"/>
      <c r="U11" s="7"/>
      <c r="V11" s="7"/>
      <c r="W11" s="7"/>
      <c r="X11" s="7"/>
      <c r="Y11" s="7"/>
      <c r="Z11" s="7"/>
      <c r="AA11" s="7"/>
      <c r="AB11" s="7"/>
      <c r="AC11" s="7"/>
      <c r="AD11" s="7"/>
      <c r="AE11" s="7"/>
      <c r="AF11" s="7"/>
    </row>
    <row r="12" spans="1:32">
      <c r="A12" s="7"/>
      <c r="B12" s="66">
        <v>1</v>
      </c>
      <c r="C12" s="30" t="str">
        <f>'RESUMEN P1'!C11</f>
        <v>SKYTECH</v>
      </c>
      <c r="D12" s="69" t="str">
        <f>'1'!$O$27</f>
        <v>CUMPLE</v>
      </c>
      <c r="E12" s="69" t="str">
        <f>'1'!$O$28</f>
        <v>CUMPLE</v>
      </c>
      <c r="F12" s="69" t="str">
        <f>'1'!$O$29</f>
        <v>CUMPLE</v>
      </c>
      <c r="G12" s="69" t="str">
        <f>'1'!$O$30</f>
        <v>CUMPLE</v>
      </c>
      <c r="H12" s="69" t="str">
        <f>'1'!$O$31</f>
        <v>CUMPLE</v>
      </c>
      <c r="I12" s="326"/>
      <c r="J12" s="68" t="str">
        <f>'1'!$O$32</f>
        <v>CUMPLE</v>
      </c>
      <c r="K12" s="326"/>
      <c r="L12" s="330"/>
      <c r="M12" s="331"/>
      <c r="N12" s="332"/>
      <c r="O12" s="7"/>
      <c r="P12" s="7"/>
      <c r="Q12" s="7"/>
      <c r="R12" s="7"/>
      <c r="S12" s="7"/>
      <c r="T12" s="7"/>
      <c r="U12" s="7"/>
      <c r="V12" s="7"/>
      <c r="W12" s="7"/>
      <c r="X12" s="7"/>
      <c r="Y12" s="7"/>
      <c r="Z12" s="7"/>
      <c r="AA12" s="7"/>
      <c r="AB12" s="7"/>
      <c r="AC12" s="7"/>
      <c r="AD12" s="7"/>
      <c r="AE12" s="7"/>
      <c r="AF12" s="7"/>
    </row>
    <row r="13" spans="1:32">
      <c r="A13" s="7"/>
      <c r="B13" s="73">
        <v>2</v>
      </c>
      <c r="C13" s="30" t="str">
        <f>'RESUMEN P1'!C12</f>
        <v>RAPIDEXXUS</v>
      </c>
      <c r="D13" s="69" t="str">
        <f>'2'!$O$27</f>
        <v>CUMPLE</v>
      </c>
      <c r="E13" s="69" t="str">
        <f>'2'!$O$28</f>
        <v>CUMPLE</v>
      </c>
      <c r="F13" s="69" t="str">
        <f>'2'!$O$29</f>
        <v>CUMPLE</v>
      </c>
      <c r="G13" s="69" t="str">
        <f>'2'!$O$30</f>
        <v>CUMPLE</v>
      </c>
      <c r="H13" s="69" t="str">
        <f>'2'!$O$31</f>
        <v>CUMPLE</v>
      </c>
      <c r="I13" s="326"/>
      <c r="J13" s="68" t="str">
        <f>'2'!$O$32</f>
        <v>CUMPLE</v>
      </c>
      <c r="K13" s="326"/>
      <c r="L13" s="330"/>
      <c r="M13" s="331"/>
      <c r="N13" s="332"/>
      <c r="O13" s="7"/>
      <c r="P13" s="7"/>
      <c r="Q13" s="7"/>
      <c r="R13" s="7"/>
      <c r="S13" s="7"/>
      <c r="T13" s="7"/>
      <c r="U13" s="7"/>
      <c r="V13" s="7"/>
      <c r="W13" s="7"/>
      <c r="X13" s="7"/>
      <c r="Y13" s="7"/>
      <c r="Z13" s="7"/>
      <c r="AA13" s="7"/>
      <c r="AB13" s="7"/>
      <c r="AC13" s="7"/>
      <c r="AD13" s="7"/>
      <c r="AE13" s="7"/>
      <c r="AF13" s="7"/>
    </row>
    <row r="14" spans="1:32">
      <c r="A14" s="7"/>
      <c r="B14" s="66">
        <v>3</v>
      </c>
      <c r="C14" s="30" t="str">
        <f>'RESUMEN P1'!C13</f>
        <v>CONSORCIO ILUMINACIÓN IBE24</v>
      </c>
      <c r="D14" s="69" t="str">
        <f>'3'!$O$27</f>
        <v>CUMPLE</v>
      </c>
      <c r="E14" s="69" t="str">
        <f>'3'!$O$28</f>
        <v>CUMPLE</v>
      </c>
      <c r="F14" s="69" t="str">
        <f>'3'!$O$29</f>
        <v>CUMPLE</v>
      </c>
      <c r="G14" s="69" t="str">
        <f>'3'!$O$30</f>
        <v>CUMPLE</v>
      </c>
      <c r="H14" s="69" t="str">
        <f>'3'!$O$31</f>
        <v>CUMPLE</v>
      </c>
      <c r="I14" s="326"/>
      <c r="J14" s="68" t="str">
        <f>'3'!$O$32</f>
        <v>CUMPLE</v>
      </c>
      <c r="K14" s="326"/>
      <c r="L14" s="330"/>
      <c r="M14" s="331"/>
      <c r="N14" s="332"/>
      <c r="O14" s="7"/>
      <c r="P14" s="7"/>
      <c r="Q14" s="7"/>
      <c r="R14" s="7"/>
      <c r="S14" s="7"/>
      <c r="T14" s="7"/>
      <c r="U14" s="7"/>
      <c r="V14" s="7"/>
      <c r="W14" s="7"/>
      <c r="X14" s="7"/>
      <c r="Y14" s="7"/>
      <c r="Z14" s="7"/>
      <c r="AA14" s="7"/>
      <c r="AB14" s="7"/>
      <c r="AC14" s="7"/>
      <c r="AD14" s="7"/>
      <c r="AE14" s="7"/>
      <c r="AF14" s="7"/>
    </row>
    <row r="15" spans="1:32">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row>
    <row r="16" spans="1:32">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row>
    <row r="17" spans="1:32">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row>
    <row r="18" spans="1:32">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row>
    <row r="19" spans="1:32">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row>
    <row r="20" spans="1:32">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row>
    <row r="21" spans="1:3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row>
    <row r="22" spans="1:32">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row>
    <row r="23" spans="1:32">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row>
    <row r="24" spans="1:32">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row>
    <row r="25" spans="1:32">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row>
    <row r="26" spans="1:32">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row>
    <row r="27" spans="1:32">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row>
    <row r="28" spans="1:32">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row>
    <row r="29" spans="1:32">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row>
    <row r="30" spans="1:32">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row>
    <row r="31" spans="1:32">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row>
    <row r="32" spans="1:32">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row>
    <row r="33" spans="1:32">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row>
    <row r="34" spans="1:32">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row>
    <row r="35" spans="1:32">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row>
    <row r="36" spans="1:32">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row>
    <row r="37" spans="1:32">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row>
    <row r="38" spans="1:32">
      <c r="A38" s="7"/>
      <c r="B38" s="7"/>
      <c r="C38" s="7"/>
      <c r="D38" s="7"/>
      <c r="E38" s="7"/>
      <c r="F38" s="7"/>
      <c r="G38" s="7"/>
      <c r="H38" s="7"/>
      <c r="J38" s="7"/>
      <c r="L38" s="7"/>
      <c r="M38" s="7"/>
      <c r="N38" s="7"/>
      <c r="O38" s="7"/>
      <c r="P38" s="7"/>
      <c r="Q38" s="7"/>
      <c r="R38" s="7"/>
      <c r="S38" s="7"/>
      <c r="T38" s="7"/>
      <c r="U38" s="7"/>
      <c r="V38" s="7"/>
      <c r="W38" s="7"/>
      <c r="X38" s="7"/>
      <c r="Y38" s="7"/>
      <c r="Z38" s="7"/>
      <c r="AA38" s="7"/>
      <c r="AB38" s="7"/>
      <c r="AC38" s="7"/>
      <c r="AD38" s="7"/>
      <c r="AE38" s="7"/>
      <c r="AF38" s="7"/>
    </row>
    <row r="39" spans="1:32">
      <c r="A39" s="7"/>
      <c r="B39" s="7"/>
      <c r="C39" s="7"/>
      <c r="D39" s="7"/>
      <c r="E39" s="7"/>
      <c r="F39" s="7"/>
      <c r="G39" s="7"/>
      <c r="H39" s="7"/>
      <c r="J39" s="7"/>
      <c r="L39" s="7"/>
      <c r="M39" s="7"/>
      <c r="N39" s="7"/>
      <c r="O39" s="7"/>
      <c r="P39" s="7"/>
      <c r="Q39" s="7"/>
      <c r="R39" s="7"/>
      <c r="S39" s="7"/>
      <c r="T39" s="7"/>
      <c r="U39" s="7"/>
      <c r="V39" s="7"/>
      <c r="W39" s="7"/>
      <c r="X39" s="7"/>
      <c r="Y39" s="7"/>
      <c r="Z39" s="7"/>
      <c r="AA39" s="7"/>
      <c r="AB39" s="7"/>
      <c r="AC39" s="7"/>
      <c r="AD39" s="7"/>
      <c r="AE39" s="7"/>
      <c r="AF39" s="7"/>
    </row>
    <row r="40" spans="1:32">
      <c r="A40" s="7"/>
      <c r="B40" s="7"/>
      <c r="C40" s="7"/>
      <c r="D40" s="7"/>
      <c r="E40" s="7"/>
      <c r="F40" s="7"/>
      <c r="G40" s="7"/>
      <c r="H40" s="7"/>
      <c r="J40" s="7"/>
      <c r="L40" s="7"/>
      <c r="M40" s="7"/>
      <c r="N40" s="7"/>
      <c r="O40" s="7"/>
      <c r="P40" s="7"/>
      <c r="Q40" s="7"/>
      <c r="R40" s="7"/>
      <c r="S40" s="7"/>
      <c r="T40" s="7"/>
      <c r="U40" s="7"/>
      <c r="V40" s="7"/>
      <c r="W40" s="7"/>
      <c r="X40" s="7"/>
      <c r="Y40" s="7"/>
      <c r="Z40" s="7"/>
      <c r="AA40" s="7"/>
      <c r="AB40" s="7"/>
      <c r="AC40" s="7"/>
      <c r="AD40" s="7"/>
      <c r="AE40" s="7"/>
      <c r="AF40" s="7"/>
    </row>
    <row r="41" spans="1:32">
      <c r="A41" s="7"/>
      <c r="B41" s="7"/>
      <c r="C41" s="7"/>
      <c r="D41" s="7"/>
      <c r="E41" s="7"/>
      <c r="F41" s="7"/>
      <c r="G41" s="7"/>
      <c r="H41" s="7"/>
      <c r="J41" s="7"/>
      <c r="L41" s="7"/>
      <c r="M41" s="7"/>
      <c r="N41" s="7"/>
      <c r="O41" s="7"/>
      <c r="P41" s="7"/>
      <c r="Q41" s="7"/>
      <c r="R41" s="7"/>
      <c r="S41" s="7"/>
      <c r="T41" s="7"/>
      <c r="U41" s="7"/>
      <c r="V41" s="7"/>
      <c r="W41" s="7"/>
      <c r="X41" s="7"/>
      <c r="Y41" s="7"/>
      <c r="Z41" s="7"/>
      <c r="AA41" s="7"/>
      <c r="AB41" s="7"/>
      <c r="AC41" s="7"/>
      <c r="AD41" s="7"/>
      <c r="AE41" s="7"/>
      <c r="AF41" s="7"/>
    </row>
    <row r="42" spans="1:32">
      <c r="A42" s="7"/>
      <c r="B42" s="7"/>
      <c r="C42" s="7"/>
      <c r="D42" s="7"/>
      <c r="E42" s="7"/>
      <c r="F42" s="7"/>
      <c r="G42" s="7"/>
      <c r="H42" s="7"/>
      <c r="J42" s="7"/>
      <c r="L42" s="7"/>
      <c r="M42" s="7"/>
      <c r="N42" s="7"/>
      <c r="O42" s="7"/>
      <c r="P42" s="7"/>
      <c r="Q42" s="7"/>
      <c r="R42" s="7"/>
      <c r="S42" s="7"/>
      <c r="T42" s="7"/>
      <c r="U42" s="7"/>
      <c r="V42" s="7"/>
      <c r="W42" s="7"/>
      <c r="X42" s="7"/>
      <c r="Y42" s="7"/>
      <c r="Z42" s="7"/>
      <c r="AA42" s="7"/>
      <c r="AB42" s="7"/>
      <c r="AC42" s="7"/>
      <c r="AD42" s="7"/>
      <c r="AE42" s="7"/>
      <c r="AF42" s="7"/>
    </row>
    <row r="43" spans="1:32">
      <c r="A43" s="7"/>
      <c r="B43" s="7"/>
      <c r="C43" s="7"/>
      <c r="D43" s="7"/>
      <c r="E43" s="7"/>
      <c r="F43" s="7"/>
      <c r="G43" s="7"/>
      <c r="H43" s="7"/>
      <c r="J43" s="7"/>
      <c r="L43" s="7"/>
      <c r="M43" s="7"/>
      <c r="N43" s="7"/>
      <c r="O43" s="7"/>
      <c r="P43" s="7"/>
      <c r="Q43" s="7"/>
      <c r="R43" s="7"/>
      <c r="S43" s="7"/>
      <c r="T43" s="7"/>
      <c r="U43" s="7"/>
      <c r="V43" s="7"/>
      <c r="W43" s="7"/>
      <c r="X43" s="7"/>
      <c r="Y43" s="7"/>
      <c r="Z43" s="7"/>
      <c r="AA43" s="7"/>
      <c r="AB43" s="7"/>
      <c r="AC43" s="7"/>
      <c r="AD43" s="7"/>
      <c r="AE43" s="7"/>
      <c r="AF43" s="7"/>
    </row>
  </sheetData>
  <mergeCells count="11">
    <mergeCell ref="I11:I14"/>
    <mergeCell ref="K11:K14"/>
    <mergeCell ref="B2:N5"/>
    <mergeCell ref="B6:N6"/>
    <mergeCell ref="B7:N7"/>
    <mergeCell ref="B8:N8"/>
    <mergeCell ref="B10:N10"/>
    <mergeCell ref="L11:N11"/>
    <mergeCell ref="L12:N12"/>
    <mergeCell ref="L13:N13"/>
    <mergeCell ref="L14:N14"/>
  </mergeCells>
  <conditionalFormatting sqref="L12:L14 D12:H14 J12:J14">
    <cfRule type="containsText" dxfId="6" priority="4" operator="containsText" text="NO CUMPLE">
      <formula>NOT(ISERROR(SEARCH("NO CUMPLE",D12)))</formula>
    </cfRule>
  </conditionalFormatting>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9AFF7-4FF6-4EC3-926C-788E8316484B}">
  <sheetPr>
    <tabColor rgb="FF800080"/>
  </sheetPr>
  <dimension ref="A1:AB43"/>
  <sheetViews>
    <sheetView zoomScale="115" zoomScaleNormal="115" workbookViewId="0">
      <selection activeCell="H12" sqref="H12:J12"/>
    </sheetView>
  </sheetViews>
  <sheetFormatPr baseColWidth="10" defaultColWidth="9.140625" defaultRowHeight="16.5"/>
  <cols>
    <col min="1" max="1" width="2.7109375" style="1" customWidth="1"/>
    <col min="2" max="2" width="4.140625" style="1" bestFit="1" customWidth="1"/>
    <col min="3" max="3" width="35.42578125" style="1" bestFit="1" customWidth="1"/>
    <col min="4" max="4" width="20" style="1" bestFit="1" customWidth="1"/>
    <col min="5" max="5" width="0.85546875" style="1" customWidth="1"/>
    <col min="6" max="6" width="12.7109375" style="1" customWidth="1"/>
    <col min="7" max="7" width="0.85546875" style="1" customWidth="1"/>
    <col min="8" max="8" width="12.85546875" style="1" customWidth="1"/>
    <col min="9" max="9" width="12" style="1" customWidth="1"/>
    <col min="10" max="10" width="13.7109375" style="1" customWidth="1"/>
    <col min="11" max="16384" width="9.140625" style="1"/>
  </cols>
  <sheetData>
    <row r="1" spans="1:28" ht="5.25" customHeight="1">
      <c r="A1" s="7"/>
      <c r="B1" s="7"/>
      <c r="C1" s="7"/>
      <c r="D1" s="7"/>
      <c r="E1" s="7"/>
      <c r="F1" s="7"/>
      <c r="G1" s="7"/>
      <c r="H1" s="7"/>
      <c r="I1" s="7"/>
      <c r="J1" s="7"/>
      <c r="K1" s="7"/>
      <c r="L1" s="7"/>
      <c r="M1" s="7"/>
      <c r="N1" s="7"/>
      <c r="O1" s="7"/>
      <c r="P1" s="7"/>
      <c r="Q1" s="7"/>
      <c r="R1" s="7"/>
      <c r="S1" s="7"/>
      <c r="T1" s="7"/>
      <c r="U1" s="7"/>
      <c r="V1" s="7"/>
      <c r="W1" s="7"/>
      <c r="X1" s="7"/>
      <c r="Y1" s="7"/>
      <c r="Z1" s="7"/>
      <c r="AA1" s="7"/>
      <c r="AB1" s="7"/>
    </row>
    <row r="2" spans="1:28">
      <c r="A2" s="7"/>
      <c r="B2" s="187" t="s">
        <v>104</v>
      </c>
      <c r="C2" s="188"/>
      <c r="D2" s="188"/>
      <c r="E2" s="188"/>
      <c r="F2" s="188"/>
      <c r="G2" s="188"/>
      <c r="H2" s="188"/>
      <c r="I2" s="188"/>
      <c r="J2" s="188"/>
      <c r="K2" s="7"/>
      <c r="L2" s="7"/>
      <c r="M2" s="7"/>
      <c r="N2" s="7"/>
      <c r="O2" s="7"/>
      <c r="P2" s="7"/>
      <c r="Q2" s="7"/>
      <c r="R2" s="7"/>
      <c r="S2" s="7"/>
      <c r="T2" s="7"/>
      <c r="U2" s="7"/>
      <c r="V2" s="7"/>
      <c r="W2" s="7"/>
      <c r="X2" s="7"/>
      <c r="Y2" s="7"/>
      <c r="Z2" s="7"/>
      <c r="AA2" s="7"/>
      <c r="AB2" s="7"/>
    </row>
    <row r="3" spans="1:28">
      <c r="A3" s="7"/>
      <c r="B3" s="188"/>
      <c r="C3" s="188"/>
      <c r="D3" s="188"/>
      <c r="E3" s="188"/>
      <c r="F3" s="188"/>
      <c r="G3" s="188"/>
      <c r="H3" s="188"/>
      <c r="I3" s="188"/>
      <c r="J3" s="188"/>
      <c r="K3" s="7"/>
      <c r="L3" s="7"/>
      <c r="M3" s="7"/>
      <c r="N3" s="7"/>
      <c r="O3" s="7"/>
      <c r="P3" s="7"/>
      <c r="Q3" s="7"/>
      <c r="R3" s="7"/>
      <c r="S3" s="7"/>
      <c r="T3" s="7"/>
      <c r="U3" s="7"/>
      <c r="V3" s="7"/>
      <c r="W3" s="7"/>
      <c r="X3" s="7"/>
      <c r="Y3" s="7"/>
      <c r="Z3" s="7"/>
      <c r="AA3" s="7"/>
      <c r="AB3" s="7"/>
    </row>
    <row r="4" spans="1:28">
      <c r="A4" s="7"/>
      <c r="B4" s="188"/>
      <c r="C4" s="188"/>
      <c r="D4" s="188"/>
      <c r="E4" s="188"/>
      <c r="F4" s="188"/>
      <c r="G4" s="188"/>
      <c r="H4" s="188"/>
      <c r="I4" s="188"/>
      <c r="J4" s="188"/>
      <c r="K4" s="7"/>
      <c r="L4" s="7"/>
      <c r="M4" s="7"/>
      <c r="N4" s="7"/>
      <c r="O4" s="7"/>
      <c r="P4" s="7"/>
      <c r="Q4" s="7"/>
      <c r="R4" s="7"/>
      <c r="S4" s="7"/>
      <c r="T4" s="7"/>
      <c r="U4" s="7"/>
      <c r="V4" s="7"/>
      <c r="W4" s="7"/>
      <c r="X4" s="7"/>
      <c r="Y4" s="7"/>
      <c r="Z4" s="7"/>
      <c r="AA4" s="7"/>
      <c r="AB4" s="7"/>
    </row>
    <row r="5" spans="1:28">
      <c r="A5" s="7"/>
      <c r="B5" s="188"/>
      <c r="C5" s="188"/>
      <c r="D5" s="188"/>
      <c r="E5" s="188"/>
      <c r="F5" s="188"/>
      <c r="G5" s="188"/>
      <c r="H5" s="188"/>
      <c r="I5" s="188"/>
      <c r="J5" s="188"/>
      <c r="K5" s="7"/>
      <c r="L5" s="7"/>
      <c r="M5" s="7"/>
      <c r="N5" s="7"/>
      <c r="O5" s="7"/>
      <c r="P5" s="7"/>
      <c r="Q5" s="7"/>
      <c r="R5" s="7"/>
      <c r="S5" s="7"/>
      <c r="T5" s="7"/>
      <c r="U5" s="7"/>
      <c r="V5" s="7"/>
      <c r="W5" s="7"/>
      <c r="X5" s="7"/>
      <c r="Y5" s="7"/>
      <c r="Z5" s="7"/>
      <c r="AA5" s="7"/>
      <c r="AB5" s="7"/>
    </row>
    <row r="6" spans="1:28" ht="37.5" customHeight="1">
      <c r="A6" s="7"/>
      <c r="B6" s="187" t="str">
        <f>'RESUMEN P1'!B6</f>
        <v>REALIZAR EL SUMINISTRO E INSTALACIÓN DE LOS SISTEMAS DE AYUDAS VISUALES Y SUS OBRAS
COMPLEMENTARIAS PARA EL AEROPUERTO PERALES DE IBAGUÉ, TOLIMA (VF)</v>
      </c>
      <c r="C6" s="188"/>
      <c r="D6" s="188"/>
      <c r="E6" s="188"/>
      <c r="F6" s="188"/>
      <c r="G6" s="188"/>
      <c r="H6" s="188"/>
      <c r="I6" s="188"/>
      <c r="J6" s="188"/>
      <c r="K6" s="7"/>
      <c r="L6" s="7"/>
      <c r="M6" s="7"/>
      <c r="N6" s="7"/>
      <c r="O6" s="7"/>
      <c r="P6" s="7"/>
      <c r="Q6" s="7"/>
      <c r="R6" s="7"/>
      <c r="S6" s="7"/>
      <c r="T6" s="7"/>
      <c r="U6" s="7"/>
      <c r="V6" s="7"/>
      <c r="W6" s="7"/>
      <c r="X6" s="7"/>
      <c r="Y6" s="7"/>
      <c r="Z6" s="7"/>
      <c r="AA6" s="7"/>
      <c r="AB6" s="7"/>
    </row>
    <row r="7" spans="1:28">
      <c r="A7" s="7"/>
      <c r="B7" s="187" t="str">
        <f>'RESUMEN P1'!B7</f>
        <v>PROCESO DE LICITACIÓN PÚBLICA 24001224 H1 2024</v>
      </c>
      <c r="C7" s="187"/>
      <c r="D7" s="187"/>
      <c r="E7" s="187"/>
      <c r="F7" s="187"/>
      <c r="G7" s="187"/>
      <c r="H7" s="187"/>
      <c r="I7" s="187"/>
      <c r="J7" s="187"/>
      <c r="K7" s="7"/>
      <c r="L7" s="7"/>
      <c r="M7" s="7"/>
      <c r="N7" s="7"/>
      <c r="O7" s="7"/>
      <c r="P7" s="7"/>
      <c r="Q7" s="7"/>
      <c r="R7" s="7"/>
      <c r="S7" s="7"/>
      <c r="T7" s="7"/>
      <c r="U7" s="7"/>
      <c r="V7" s="7"/>
      <c r="W7" s="7"/>
      <c r="X7" s="7"/>
      <c r="Y7" s="7"/>
      <c r="Z7" s="7"/>
      <c r="AA7" s="7"/>
      <c r="AB7" s="7"/>
    </row>
    <row r="8" spans="1:28" ht="37.5" customHeight="1">
      <c r="A8" s="7"/>
      <c r="B8" s="189" t="s">
        <v>273</v>
      </c>
      <c r="C8" s="189"/>
      <c r="D8" s="189"/>
      <c r="E8" s="189"/>
      <c r="F8" s="189"/>
      <c r="G8" s="189"/>
      <c r="H8" s="189"/>
      <c r="I8" s="189"/>
      <c r="J8" s="189"/>
      <c r="K8" s="7"/>
      <c r="L8" s="7"/>
      <c r="M8" s="7"/>
      <c r="N8" s="7"/>
      <c r="O8" s="7"/>
      <c r="P8" s="7"/>
      <c r="Q8" s="7"/>
      <c r="R8" s="7"/>
      <c r="S8" s="7"/>
      <c r="T8" s="7"/>
      <c r="U8" s="7"/>
      <c r="V8" s="7"/>
      <c r="W8" s="7"/>
      <c r="X8" s="7"/>
      <c r="Y8" s="7"/>
      <c r="Z8" s="7"/>
      <c r="AA8" s="7"/>
      <c r="AB8" s="7"/>
    </row>
    <row r="9" spans="1:28">
      <c r="A9" s="7"/>
      <c r="B9" s="7"/>
      <c r="C9" s="7"/>
      <c r="D9" s="7"/>
      <c r="E9" s="7"/>
      <c r="F9" s="7"/>
      <c r="G9" s="7"/>
      <c r="H9" s="7"/>
      <c r="I9" s="7"/>
      <c r="J9" s="7"/>
      <c r="K9" s="7"/>
      <c r="L9" s="7"/>
      <c r="M9" s="7"/>
      <c r="N9" s="7"/>
      <c r="O9" s="7"/>
      <c r="P9" s="7"/>
      <c r="Q9" s="7"/>
      <c r="R9" s="7"/>
      <c r="S9" s="7"/>
      <c r="T9" s="7"/>
      <c r="U9" s="7"/>
      <c r="V9" s="7"/>
      <c r="W9" s="7"/>
      <c r="X9" s="7"/>
      <c r="Y9" s="7"/>
      <c r="Z9" s="7"/>
      <c r="AA9" s="7"/>
      <c r="AB9" s="7"/>
    </row>
    <row r="10" spans="1:28">
      <c r="A10" s="7"/>
      <c r="B10" s="324" t="s">
        <v>109</v>
      </c>
      <c r="C10" s="324"/>
      <c r="D10" s="324"/>
      <c r="E10" s="324"/>
      <c r="F10" s="324"/>
      <c r="G10" s="324"/>
      <c r="H10" s="324"/>
      <c r="I10" s="324"/>
      <c r="J10" s="324"/>
      <c r="K10" s="7"/>
      <c r="L10" s="7"/>
      <c r="M10" s="7"/>
      <c r="N10" s="7"/>
      <c r="O10" s="7"/>
      <c r="P10" s="7"/>
      <c r="Q10" s="7"/>
      <c r="R10" s="7"/>
      <c r="S10" s="7"/>
      <c r="T10" s="7"/>
      <c r="U10" s="7"/>
      <c r="V10" s="7"/>
      <c r="W10" s="7"/>
      <c r="X10" s="7"/>
      <c r="Y10" s="7"/>
      <c r="Z10" s="7"/>
      <c r="AA10" s="7"/>
      <c r="AB10" s="7"/>
    </row>
    <row r="11" spans="1:28" ht="27">
      <c r="A11" s="7"/>
      <c r="B11" s="70" t="s">
        <v>1</v>
      </c>
      <c r="C11" s="70" t="s">
        <v>2</v>
      </c>
      <c r="D11" s="75" t="s">
        <v>113</v>
      </c>
      <c r="E11" s="325"/>
      <c r="F11" s="75" t="s">
        <v>32</v>
      </c>
      <c r="G11" s="325"/>
      <c r="H11" s="327" t="s">
        <v>0</v>
      </c>
      <c r="I11" s="328"/>
      <c r="J11" s="329"/>
      <c r="K11" s="7"/>
      <c r="L11" s="7"/>
      <c r="M11" s="7"/>
      <c r="N11" s="7"/>
      <c r="O11" s="7"/>
      <c r="P11" s="7"/>
      <c r="Q11" s="7"/>
      <c r="R11" s="7"/>
      <c r="S11" s="7"/>
      <c r="T11" s="7"/>
      <c r="U11" s="7"/>
      <c r="V11" s="7"/>
      <c r="W11" s="7"/>
      <c r="X11" s="7"/>
      <c r="Y11" s="7"/>
      <c r="Z11" s="7"/>
      <c r="AA11" s="7"/>
      <c r="AB11" s="7"/>
    </row>
    <row r="12" spans="1:28">
      <c r="A12" s="7"/>
      <c r="B12" s="66">
        <v>1</v>
      </c>
      <c r="C12" s="30" t="str">
        <f>'RESUMEN P1'!C11</f>
        <v>SKYTECH</v>
      </c>
      <c r="D12" s="76" t="str">
        <f>'1'!$M$49</f>
        <v>CUMPLE</v>
      </c>
      <c r="E12" s="326"/>
      <c r="F12" s="76">
        <f>'1'!$O$49</f>
        <v>18.5</v>
      </c>
      <c r="G12" s="326"/>
      <c r="H12" s="333"/>
      <c r="I12" s="334"/>
      <c r="J12" s="335"/>
      <c r="K12" s="7"/>
      <c r="L12" s="7"/>
      <c r="M12" s="7"/>
      <c r="N12" s="7"/>
      <c r="O12" s="7"/>
      <c r="P12" s="7"/>
      <c r="Q12" s="7"/>
      <c r="R12" s="7"/>
      <c r="S12" s="7"/>
      <c r="T12" s="7"/>
      <c r="U12" s="7"/>
      <c r="V12" s="7"/>
      <c r="W12" s="7"/>
      <c r="X12" s="7"/>
      <c r="Y12" s="7"/>
      <c r="Z12" s="7"/>
      <c r="AA12" s="7"/>
      <c r="AB12" s="7"/>
    </row>
    <row r="13" spans="1:28">
      <c r="A13" s="7"/>
      <c r="B13" s="73">
        <v>2</v>
      </c>
      <c r="C13" s="30" t="str">
        <f>'RESUMEN P1'!C12</f>
        <v>RAPIDEXXUS</v>
      </c>
      <c r="D13" s="76" t="str">
        <f>'2'!$M$49</f>
        <v>CUMPLE</v>
      </c>
      <c r="E13" s="326"/>
      <c r="F13" s="76">
        <f>'2'!$O$49</f>
        <v>18.5</v>
      </c>
      <c r="G13" s="326"/>
      <c r="H13" s="330"/>
      <c r="I13" s="331"/>
      <c r="J13" s="332"/>
      <c r="K13" s="7"/>
      <c r="L13" s="7"/>
      <c r="M13" s="7"/>
      <c r="N13" s="7"/>
      <c r="O13" s="7"/>
      <c r="P13" s="7"/>
      <c r="Q13" s="7"/>
      <c r="R13" s="7"/>
      <c r="S13" s="7"/>
      <c r="T13" s="7"/>
      <c r="U13" s="7"/>
      <c r="V13" s="7"/>
      <c r="W13" s="7"/>
      <c r="X13" s="7"/>
      <c r="Y13" s="7"/>
      <c r="Z13" s="7"/>
      <c r="AA13" s="7"/>
      <c r="AB13" s="7"/>
    </row>
    <row r="14" spans="1:28">
      <c r="A14" s="7"/>
      <c r="B14" s="66">
        <v>3</v>
      </c>
      <c r="C14" s="30" t="str">
        <f>'RESUMEN P1'!C13</f>
        <v>CONSORCIO ILUMINACIÓN IBE24</v>
      </c>
      <c r="D14" s="76" t="str">
        <f>'3'!$M$49</f>
        <v>CUMPLE</v>
      </c>
      <c r="E14" s="326"/>
      <c r="F14" s="76">
        <f>'3'!$O$49</f>
        <v>18.5</v>
      </c>
      <c r="G14" s="326"/>
      <c r="H14" s="330"/>
      <c r="I14" s="331"/>
      <c r="J14" s="332"/>
      <c r="K14" s="7"/>
      <c r="L14" s="7"/>
      <c r="M14" s="7"/>
      <c r="N14" s="7"/>
      <c r="O14" s="7"/>
      <c r="P14" s="7"/>
      <c r="Q14" s="7"/>
      <c r="R14" s="7"/>
      <c r="S14" s="7"/>
      <c r="T14" s="7"/>
      <c r="U14" s="7"/>
      <c r="V14" s="7"/>
      <c r="W14" s="7"/>
      <c r="X14" s="7"/>
      <c r="Y14" s="7"/>
      <c r="Z14" s="7"/>
      <c r="AA14" s="7"/>
      <c r="AB14" s="7"/>
    </row>
    <row r="15" spans="1:28">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row>
    <row r="16" spans="1:28">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row>
    <row r="17" spans="1:28">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row>
    <row r="18" spans="1:28">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row>
    <row r="19" spans="1:28">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row>
    <row r="20" spans="1:28">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row>
    <row r="21" spans="1:28">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row>
    <row r="22" spans="1:28">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row>
    <row r="23" spans="1:28">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row>
    <row r="24" spans="1:28">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row>
    <row r="25" spans="1:28">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row>
    <row r="26" spans="1:28">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row>
    <row r="27" spans="1:28">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row>
    <row r="28" spans="1:28">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row>
    <row r="29" spans="1:28">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row>
    <row r="30" spans="1:28">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row>
    <row r="31" spans="1:28">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row>
    <row r="32" spans="1:28">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row>
    <row r="33" spans="1:28">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row>
    <row r="34" spans="1:28">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row>
    <row r="35" spans="1:28">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row>
    <row r="36" spans="1:28">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row>
    <row r="37" spans="1:28">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row>
    <row r="38" spans="1:28">
      <c r="A38" s="7"/>
      <c r="B38" s="7"/>
      <c r="C38" s="7"/>
      <c r="D38" s="7"/>
      <c r="F38" s="7"/>
      <c r="H38" s="7"/>
      <c r="I38" s="7"/>
      <c r="J38" s="7"/>
      <c r="K38" s="7"/>
      <c r="L38" s="7"/>
      <c r="M38" s="7"/>
      <c r="N38" s="7"/>
      <c r="O38" s="7"/>
      <c r="P38" s="7"/>
      <c r="Q38" s="7"/>
      <c r="R38" s="7"/>
      <c r="S38" s="7"/>
      <c r="T38" s="7"/>
      <c r="U38" s="7"/>
      <c r="V38" s="7"/>
      <c r="W38" s="7"/>
      <c r="X38" s="7"/>
      <c r="Y38" s="7"/>
      <c r="Z38" s="7"/>
      <c r="AA38" s="7"/>
      <c r="AB38" s="7"/>
    </row>
    <row r="39" spans="1:28">
      <c r="A39" s="7"/>
      <c r="B39" s="7"/>
      <c r="C39" s="7"/>
      <c r="D39" s="7"/>
      <c r="F39" s="7"/>
      <c r="H39" s="7"/>
      <c r="I39" s="7"/>
      <c r="J39" s="7"/>
      <c r="K39" s="7"/>
      <c r="L39" s="7"/>
      <c r="M39" s="7"/>
      <c r="N39" s="7"/>
      <c r="O39" s="7"/>
      <c r="P39" s="7"/>
      <c r="Q39" s="7"/>
      <c r="R39" s="7"/>
      <c r="S39" s="7"/>
      <c r="T39" s="7"/>
      <c r="U39" s="7"/>
      <c r="V39" s="7"/>
      <c r="W39" s="7"/>
      <c r="X39" s="7"/>
      <c r="Y39" s="7"/>
      <c r="Z39" s="7"/>
      <c r="AA39" s="7"/>
      <c r="AB39" s="7"/>
    </row>
    <row r="40" spans="1:28">
      <c r="A40" s="7"/>
      <c r="B40" s="7"/>
      <c r="C40" s="7"/>
      <c r="D40" s="7"/>
      <c r="F40" s="7"/>
      <c r="H40" s="7"/>
      <c r="I40" s="7"/>
      <c r="J40" s="7"/>
      <c r="K40" s="7"/>
      <c r="L40" s="7"/>
      <c r="M40" s="7"/>
      <c r="N40" s="7"/>
      <c r="O40" s="7"/>
      <c r="P40" s="7"/>
      <c r="Q40" s="7"/>
      <c r="R40" s="7"/>
      <c r="S40" s="7"/>
      <c r="T40" s="7"/>
      <c r="U40" s="7"/>
      <c r="V40" s="7"/>
      <c r="W40" s="7"/>
      <c r="X40" s="7"/>
      <c r="Y40" s="7"/>
      <c r="Z40" s="7"/>
      <c r="AA40" s="7"/>
      <c r="AB40" s="7"/>
    </row>
    <row r="41" spans="1:28">
      <c r="A41" s="7"/>
      <c r="B41" s="7"/>
      <c r="C41" s="7"/>
      <c r="D41" s="7"/>
      <c r="F41" s="7"/>
      <c r="H41" s="7"/>
      <c r="I41" s="7"/>
      <c r="J41" s="7"/>
      <c r="K41" s="7"/>
      <c r="L41" s="7"/>
      <c r="M41" s="7"/>
      <c r="N41" s="7"/>
      <c r="O41" s="7"/>
      <c r="P41" s="7"/>
      <c r="Q41" s="7"/>
      <c r="R41" s="7"/>
      <c r="S41" s="7"/>
      <c r="T41" s="7"/>
      <c r="U41" s="7"/>
      <c r="V41" s="7"/>
      <c r="W41" s="7"/>
      <c r="X41" s="7"/>
      <c r="Y41" s="7"/>
      <c r="Z41" s="7"/>
      <c r="AA41" s="7"/>
      <c r="AB41" s="7"/>
    </row>
    <row r="42" spans="1:28">
      <c r="A42" s="7"/>
      <c r="B42" s="7"/>
      <c r="C42" s="7"/>
      <c r="D42" s="7"/>
      <c r="F42" s="7"/>
      <c r="H42" s="7"/>
      <c r="I42" s="7"/>
      <c r="J42" s="7"/>
      <c r="K42" s="7"/>
      <c r="L42" s="7"/>
      <c r="M42" s="7"/>
      <c r="N42" s="7"/>
      <c r="O42" s="7"/>
      <c r="P42" s="7"/>
      <c r="Q42" s="7"/>
      <c r="R42" s="7"/>
      <c r="S42" s="7"/>
      <c r="T42" s="7"/>
      <c r="U42" s="7"/>
      <c r="V42" s="7"/>
      <c r="W42" s="7"/>
      <c r="X42" s="7"/>
      <c r="Y42" s="7"/>
      <c r="Z42" s="7"/>
      <c r="AA42" s="7"/>
      <c r="AB42" s="7"/>
    </row>
    <row r="43" spans="1:28">
      <c r="A43" s="7"/>
      <c r="B43" s="7"/>
      <c r="C43" s="7"/>
      <c r="D43" s="7"/>
      <c r="F43" s="7"/>
      <c r="H43" s="7"/>
      <c r="I43" s="7"/>
      <c r="J43" s="7"/>
      <c r="K43" s="7"/>
      <c r="L43" s="7"/>
      <c r="M43" s="7"/>
      <c r="N43" s="7"/>
      <c r="O43" s="7"/>
      <c r="P43" s="7"/>
      <c r="Q43" s="7"/>
      <c r="R43" s="7"/>
      <c r="S43" s="7"/>
      <c r="T43" s="7"/>
      <c r="U43" s="7"/>
      <c r="V43" s="7"/>
      <c r="W43" s="7"/>
      <c r="X43" s="7"/>
      <c r="Y43" s="7"/>
      <c r="Z43" s="7"/>
      <c r="AA43" s="7"/>
      <c r="AB43" s="7"/>
    </row>
  </sheetData>
  <mergeCells count="11">
    <mergeCell ref="H14:J14"/>
    <mergeCell ref="B2:J5"/>
    <mergeCell ref="B6:J6"/>
    <mergeCell ref="B7:J7"/>
    <mergeCell ref="B8:J8"/>
    <mergeCell ref="B10:J10"/>
    <mergeCell ref="E11:E14"/>
    <mergeCell ref="G11:G14"/>
    <mergeCell ref="H11:J11"/>
    <mergeCell ref="H12:J12"/>
    <mergeCell ref="H13:J13"/>
  </mergeCells>
  <conditionalFormatting sqref="H12:H14 D12:D14 F12:F14">
    <cfRule type="containsText" dxfId="5" priority="1" operator="containsText" text="NO CUMPLE">
      <formula>NOT(ISERROR(SEARCH("NO CUMPLE",D12)))</formula>
    </cfRule>
  </conditionalFormatting>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718C2-974F-46B4-82D3-05686BE1EAB9}">
  <sheetPr>
    <tabColor rgb="FFCC00CC"/>
  </sheetPr>
  <dimension ref="A1:AB43"/>
  <sheetViews>
    <sheetView zoomScale="115" zoomScaleNormal="115" workbookViewId="0">
      <selection activeCell="B8" sqref="B8:J8"/>
    </sheetView>
  </sheetViews>
  <sheetFormatPr baseColWidth="10" defaultColWidth="9.140625" defaultRowHeight="16.5"/>
  <cols>
    <col min="1" max="1" width="2.7109375" style="1" customWidth="1"/>
    <col min="2" max="2" width="4.140625" style="1" bestFit="1" customWidth="1"/>
    <col min="3" max="3" width="35.42578125" style="1" bestFit="1" customWidth="1"/>
    <col min="4" max="4" width="20" style="1" bestFit="1" customWidth="1"/>
    <col min="5" max="5" width="0.85546875" style="1" customWidth="1"/>
    <col min="6" max="6" width="12.7109375" style="1" customWidth="1"/>
    <col min="7" max="7" width="0.85546875" style="1" customWidth="1"/>
    <col min="8" max="8" width="12.85546875" style="1" customWidth="1"/>
    <col min="9" max="9" width="12" style="1" customWidth="1"/>
    <col min="10" max="10" width="13.7109375" style="1" customWidth="1"/>
    <col min="11" max="16384" width="9.140625" style="1"/>
  </cols>
  <sheetData>
    <row r="1" spans="1:28" ht="5.25" customHeight="1">
      <c r="A1" s="7"/>
      <c r="B1" s="7"/>
      <c r="C1" s="7"/>
      <c r="D1" s="7"/>
      <c r="E1" s="7"/>
      <c r="F1" s="7"/>
      <c r="G1" s="7"/>
      <c r="H1" s="7"/>
      <c r="I1" s="7"/>
      <c r="J1" s="7"/>
      <c r="K1" s="7"/>
      <c r="L1" s="7"/>
      <c r="M1" s="7"/>
      <c r="N1" s="7"/>
      <c r="O1" s="7"/>
      <c r="P1" s="7"/>
      <c r="Q1" s="7"/>
      <c r="R1" s="7"/>
      <c r="S1" s="7"/>
      <c r="T1" s="7"/>
      <c r="U1" s="7"/>
      <c r="V1" s="7"/>
      <c r="W1" s="7"/>
      <c r="X1" s="7"/>
      <c r="Y1" s="7"/>
      <c r="Z1" s="7"/>
      <c r="AA1" s="7"/>
      <c r="AB1" s="7"/>
    </row>
    <row r="2" spans="1:28">
      <c r="A2" s="7"/>
      <c r="B2" s="187" t="s">
        <v>104</v>
      </c>
      <c r="C2" s="188"/>
      <c r="D2" s="188"/>
      <c r="E2" s="188"/>
      <c r="F2" s="188"/>
      <c r="G2" s="188"/>
      <c r="H2" s="188"/>
      <c r="I2" s="188"/>
      <c r="J2" s="188"/>
      <c r="K2" s="7"/>
      <c r="L2" s="7"/>
      <c r="M2" s="7"/>
      <c r="N2" s="7"/>
      <c r="O2" s="7"/>
      <c r="P2" s="7"/>
      <c r="Q2" s="7"/>
      <c r="R2" s="7"/>
      <c r="S2" s="7"/>
      <c r="T2" s="7"/>
      <c r="U2" s="7"/>
      <c r="V2" s="7"/>
      <c r="W2" s="7"/>
      <c r="X2" s="7"/>
      <c r="Y2" s="7"/>
      <c r="Z2" s="7"/>
      <c r="AA2" s="7"/>
      <c r="AB2" s="7"/>
    </row>
    <row r="3" spans="1:28">
      <c r="A3" s="7"/>
      <c r="B3" s="188"/>
      <c r="C3" s="188"/>
      <c r="D3" s="188"/>
      <c r="E3" s="188"/>
      <c r="F3" s="188"/>
      <c r="G3" s="188"/>
      <c r="H3" s="188"/>
      <c r="I3" s="188"/>
      <c r="J3" s="188"/>
      <c r="K3" s="7"/>
      <c r="L3" s="7"/>
      <c r="M3" s="7"/>
      <c r="N3" s="7"/>
      <c r="O3" s="7"/>
      <c r="P3" s="7"/>
      <c r="Q3" s="7"/>
      <c r="R3" s="7"/>
      <c r="S3" s="7"/>
      <c r="T3" s="7"/>
      <c r="U3" s="7"/>
      <c r="V3" s="7"/>
      <c r="W3" s="7"/>
      <c r="X3" s="7"/>
      <c r="Y3" s="7"/>
      <c r="Z3" s="7"/>
      <c r="AA3" s="7"/>
      <c r="AB3" s="7"/>
    </row>
    <row r="4" spans="1:28">
      <c r="A4" s="7"/>
      <c r="B4" s="188"/>
      <c r="C4" s="188"/>
      <c r="D4" s="188"/>
      <c r="E4" s="188"/>
      <c r="F4" s="188"/>
      <c r="G4" s="188"/>
      <c r="H4" s="188"/>
      <c r="I4" s="188"/>
      <c r="J4" s="188"/>
      <c r="K4" s="7"/>
      <c r="L4" s="7"/>
      <c r="M4" s="7"/>
      <c r="N4" s="7"/>
      <c r="O4" s="7"/>
      <c r="P4" s="7"/>
      <c r="Q4" s="7"/>
      <c r="R4" s="7"/>
      <c r="S4" s="7"/>
      <c r="T4" s="7"/>
      <c r="U4" s="7"/>
      <c r="V4" s="7"/>
      <c r="W4" s="7"/>
      <c r="X4" s="7"/>
      <c r="Y4" s="7"/>
      <c r="Z4" s="7"/>
      <c r="AA4" s="7"/>
      <c r="AB4" s="7"/>
    </row>
    <row r="5" spans="1:28">
      <c r="A5" s="7"/>
      <c r="B5" s="188"/>
      <c r="C5" s="188"/>
      <c r="D5" s="188"/>
      <c r="E5" s="188"/>
      <c r="F5" s="188"/>
      <c r="G5" s="188"/>
      <c r="H5" s="188"/>
      <c r="I5" s="188"/>
      <c r="J5" s="188"/>
      <c r="K5" s="7"/>
      <c r="L5" s="7"/>
      <c r="M5" s="7"/>
      <c r="N5" s="7"/>
      <c r="O5" s="7"/>
      <c r="P5" s="7"/>
      <c r="Q5" s="7"/>
      <c r="R5" s="7"/>
      <c r="S5" s="7"/>
      <c r="T5" s="7"/>
      <c r="U5" s="7"/>
      <c r="V5" s="7"/>
      <c r="W5" s="7"/>
      <c r="X5" s="7"/>
      <c r="Y5" s="7"/>
      <c r="Z5" s="7"/>
      <c r="AA5" s="7"/>
      <c r="AB5" s="7"/>
    </row>
    <row r="6" spans="1:28" ht="37.5" customHeight="1">
      <c r="A6" s="7"/>
      <c r="B6" s="187" t="str">
        <f>'RESUMEN P1'!B6</f>
        <v>REALIZAR EL SUMINISTRO E INSTALACIÓN DE LOS SISTEMAS DE AYUDAS VISUALES Y SUS OBRAS
COMPLEMENTARIAS PARA EL AEROPUERTO PERALES DE IBAGUÉ, TOLIMA (VF)</v>
      </c>
      <c r="C6" s="188"/>
      <c r="D6" s="188"/>
      <c r="E6" s="188"/>
      <c r="F6" s="188"/>
      <c r="G6" s="188"/>
      <c r="H6" s="188"/>
      <c r="I6" s="188"/>
      <c r="J6" s="188"/>
      <c r="K6" s="7"/>
      <c r="L6" s="7"/>
      <c r="M6" s="7"/>
      <c r="N6" s="7"/>
      <c r="O6" s="7"/>
      <c r="P6" s="7"/>
      <c r="Q6" s="7"/>
      <c r="R6" s="7"/>
      <c r="S6" s="7"/>
      <c r="T6" s="7"/>
      <c r="U6" s="7"/>
      <c r="V6" s="7"/>
      <c r="W6" s="7"/>
      <c r="X6" s="7"/>
      <c r="Y6" s="7"/>
      <c r="Z6" s="7"/>
      <c r="AA6" s="7"/>
      <c r="AB6" s="7"/>
    </row>
    <row r="7" spans="1:28">
      <c r="A7" s="7"/>
      <c r="B7" s="187" t="str">
        <f>'RESUMEN P1'!B7</f>
        <v>PROCESO DE LICITACIÓN PÚBLICA 24001224 H1 2024</v>
      </c>
      <c r="C7" s="187"/>
      <c r="D7" s="187"/>
      <c r="E7" s="187"/>
      <c r="F7" s="187"/>
      <c r="G7" s="187"/>
      <c r="H7" s="187"/>
      <c r="I7" s="187"/>
      <c r="J7" s="187"/>
      <c r="K7" s="7"/>
      <c r="L7" s="7"/>
      <c r="M7" s="7"/>
      <c r="N7" s="7"/>
      <c r="O7" s="7"/>
      <c r="P7" s="7"/>
      <c r="Q7" s="7"/>
      <c r="R7" s="7"/>
      <c r="S7" s="7"/>
      <c r="T7" s="7"/>
      <c r="U7" s="7"/>
      <c r="V7" s="7"/>
      <c r="W7" s="7"/>
      <c r="X7" s="7"/>
      <c r="Y7" s="7"/>
      <c r="Z7" s="7"/>
      <c r="AA7" s="7"/>
      <c r="AB7" s="7"/>
    </row>
    <row r="8" spans="1:28" ht="37.5" customHeight="1">
      <c r="A8" s="7"/>
      <c r="B8" s="189" t="s">
        <v>273</v>
      </c>
      <c r="C8" s="189"/>
      <c r="D8" s="189"/>
      <c r="E8" s="189"/>
      <c r="F8" s="189"/>
      <c r="G8" s="189"/>
      <c r="H8" s="189"/>
      <c r="I8" s="189"/>
      <c r="J8" s="189"/>
      <c r="K8" s="7"/>
      <c r="L8" s="7"/>
      <c r="M8" s="7"/>
      <c r="N8" s="7"/>
      <c r="O8" s="7"/>
      <c r="P8" s="7"/>
      <c r="Q8" s="7"/>
      <c r="R8" s="7"/>
      <c r="S8" s="7"/>
      <c r="T8" s="7"/>
      <c r="U8" s="7"/>
      <c r="V8" s="7"/>
      <c r="W8" s="7"/>
      <c r="X8" s="7"/>
      <c r="Y8" s="7"/>
      <c r="Z8" s="7"/>
      <c r="AA8" s="7"/>
      <c r="AB8" s="7"/>
    </row>
    <row r="9" spans="1:28">
      <c r="A9" s="7"/>
      <c r="B9" s="7"/>
      <c r="C9" s="7"/>
      <c r="D9" s="7"/>
      <c r="E9" s="7"/>
      <c r="F9" s="7"/>
      <c r="G9" s="7"/>
      <c r="H9" s="7"/>
      <c r="I9" s="7"/>
      <c r="J9" s="7"/>
      <c r="K9" s="7"/>
      <c r="L9" s="7"/>
      <c r="M9" s="7"/>
      <c r="N9" s="7"/>
      <c r="O9" s="7"/>
      <c r="P9" s="7"/>
      <c r="Q9" s="7"/>
      <c r="R9" s="7"/>
      <c r="S9" s="7"/>
      <c r="T9" s="7"/>
      <c r="U9" s="7"/>
      <c r="V9" s="7"/>
      <c r="W9" s="7"/>
      <c r="X9" s="7"/>
      <c r="Y9" s="7"/>
      <c r="Z9" s="7"/>
      <c r="AA9" s="7"/>
      <c r="AB9" s="7"/>
    </row>
    <row r="10" spans="1:28">
      <c r="A10" s="7"/>
      <c r="B10" s="324" t="s">
        <v>107</v>
      </c>
      <c r="C10" s="324"/>
      <c r="D10" s="324"/>
      <c r="E10" s="324"/>
      <c r="F10" s="324"/>
      <c r="G10" s="324"/>
      <c r="H10" s="324"/>
      <c r="I10" s="324"/>
      <c r="J10" s="324"/>
      <c r="K10" s="7"/>
      <c r="L10" s="7"/>
      <c r="M10" s="7"/>
      <c r="N10" s="7"/>
      <c r="O10" s="7"/>
      <c r="P10" s="7"/>
      <c r="Q10" s="7"/>
      <c r="R10" s="7"/>
      <c r="S10" s="7"/>
      <c r="T10" s="7"/>
      <c r="U10" s="7"/>
      <c r="V10" s="7"/>
      <c r="W10" s="7"/>
      <c r="X10" s="7"/>
      <c r="Y10" s="7"/>
      <c r="Z10" s="7"/>
      <c r="AA10" s="7"/>
      <c r="AB10" s="7"/>
    </row>
    <row r="11" spans="1:28" ht="27">
      <c r="A11" s="7"/>
      <c r="B11" s="70" t="s">
        <v>1</v>
      </c>
      <c r="C11" s="70" t="s">
        <v>2</v>
      </c>
      <c r="D11" s="75" t="s">
        <v>113</v>
      </c>
      <c r="E11" s="325"/>
      <c r="F11" s="75" t="s">
        <v>32</v>
      </c>
      <c r="G11" s="325"/>
      <c r="H11" s="327" t="s">
        <v>0</v>
      </c>
      <c r="I11" s="328"/>
      <c r="J11" s="329"/>
      <c r="K11" s="7"/>
      <c r="L11" s="7"/>
      <c r="M11" s="7"/>
      <c r="N11" s="7"/>
      <c r="O11" s="7"/>
      <c r="P11" s="7"/>
      <c r="Q11" s="7"/>
      <c r="R11" s="7"/>
      <c r="S11" s="7"/>
      <c r="T11" s="7"/>
      <c r="U11" s="7"/>
      <c r="V11" s="7"/>
      <c r="W11" s="7"/>
      <c r="X11" s="7"/>
      <c r="Y11" s="7"/>
      <c r="Z11" s="7"/>
      <c r="AA11" s="7"/>
      <c r="AB11" s="7"/>
    </row>
    <row r="12" spans="1:28">
      <c r="A12" s="7"/>
      <c r="B12" s="66">
        <v>1</v>
      </c>
      <c r="C12" s="30" t="str">
        <f>'RESUMEN P1'!C11</f>
        <v>SKYTECH</v>
      </c>
      <c r="D12" s="76" t="str">
        <f>'1'!$M$52</f>
        <v>CUMPLE</v>
      </c>
      <c r="E12" s="326"/>
      <c r="F12" s="76">
        <f>'1'!$M$53</f>
        <v>10</v>
      </c>
      <c r="G12" s="326"/>
      <c r="H12" s="333"/>
      <c r="I12" s="334"/>
      <c r="J12" s="335"/>
      <c r="K12" s="7"/>
      <c r="L12" s="7"/>
      <c r="M12" s="7"/>
      <c r="N12" s="7"/>
      <c r="O12" s="7"/>
      <c r="P12" s="7"/>
      <c r="Q12" s="7"/>
      <c r="R12" s="7"/>
      <c r="S12" s="7"/>
      <c r="T12" s="7"/>
      <c r="U12" s="7"/>
      <c r="V12" s="7"/>
      <c r="W12" s="7"/>
      <c r="X12" s="7"/>
      <c r="Y12" s="7"/>
      <c r="Z12" s="7"/>
      <c r="AA12" s="7"/>
      <c r="AB12" s="7"/>
    </row>
    <row r="13" spans="1:28">
      <c r="A13" s="7"/>
      <c r="B13" s="73">
        <v>2</v>
      </c>
      <c r="C13" s="30" t="str">
        <f>'RESUMEN P1'!C12</f>
        <v>RAPIDEXXUS</v>
      </c>
      <c r="D13" s="76" t="str">
        <f>'2'!$M$52</f>
        <v>CUMPLE</v>
      </c>
      <c r="E13" s="326"/>
      <c r="F13" s="76">
        <f>'2'!$M$53</f>
        <v>10</v>
      </c>
      <c r="G13" s="326"/>
      <c r="H13" s="330"/>
      <c r="I13" s="331"/>
      <c r="J13" s="332"/>
      <c r="K13" s="7"/>
      <c r="L13" s="7"/>
      <c r="M13" s="7"/>
      <c r="N13" s="7"/>
      <c r="O13" s="7"/>
      <c r="P13" s="7"/>
      <c r="Q13" s="7"/>
      <c r="R13" s="7"/>
      <c r="S13" s="7"/>
      <c r="T13" s="7"/>
      <c r="U13" s="7"/>
      <c r="V13" s="7"/>
      <c r="W13" s="7"/>
      <c r="X13" s="7"/>
      <c r="Y13" s="7"/>
      <c r="Z13" s="7"/>
      <c r="AA13" s="7"/>
      <c r="AB13" s="7"/>
    </row>
    <row r="14" spans="1:28">
      <c r="A14" s="7"/>
      <c r="B14" s="66">
        <v>3</v>
      </c>
      <c r="C14" s="30" t="str">
        <f>'RESUMEN P1'!C13</f>
        <v>CONSORCIO ILUMINACIÓN IBE24</v>
      </c>
      <c r="D14" s="76" t="str">
        <f>'3'!$M$52</f>
        <v>CUMPLE</v>
      </c>
      <c r="E14" s="326"/>
      <c r="F14" s="76">
        <f>'3'!$M$53</f>
        <v>10</v>
      </c>
      <c r="G14" s="326"/>
      <c r="H14" s="330"/>
      <c r="I14" s="331"/>
      <c r="J14" s="332"/>
      <c r="K14" s="7"/>
      <c r="L14" s="7"/>
      <c r="M14" s="7"/>
      <c r="N14" s="7"/>
      <c r="O14" s="7"/>
      <c r="P14" s="7"/>
      <c r="Q14" s="7"/>
      <c r="R14" s="7"/>
      <c r="S14" s="7"/>
      <c r="T14" s="7"/>
      <c r="U14" s="7"/>
      <c r="V14" s="7"/>
      <c r="W14" s="7"/>
      <c r="X14" s="7"/>
      <c r="Y14" s="7"/>
      <c r="Z14" s="7"/>
      <c r="AA14" s="7"/>
      <c r="AB14" s="7"/>
    </row>
    <row r="15" spans="1:28">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row>
    <row r="16" spans="1:28">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row>
    <row r="17" spans="1:28">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row>
    <row r="18" spans="1:28">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row>
    <row r="19" spans="1:28">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row>
    <row r="20" spans="1:28">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row>
    <row r="21" spans="1:28">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row>
    <row r="22" spans="1:28">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row>
    <row r="23" spans="1:28">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row>
    <row r="24" spans="1:28">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row>
    <row r="25" spans="1:28">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row>
    <row r="26" spans="1:28">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row>
    <row r="27" spans="1:28">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row>
    <row r="28" spans="1:28">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row>
    <row r="29" spans="1:28">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row>
    <row r="30" spans="1:28">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row>
    <row r="31" spans="1:28">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row>
    <row r="32" spans="1:28">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row>
    <row r="33" spans="1:28">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row>
    <row r="34" spans="1:28">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row>
    <row r="35" spans="1:28">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row>
    <row r="36" spans="1:28">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row>
    <row r="37" spans="1:28">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row>
    <row r="38" spans="1:28">
      <c r="A38" s="7"/>
      <c r="B38" s="7"/>
      <c r="C38" s="7"/>
      <c r="D38" s="7"/>
      <c r="F38" s="7"/>
      <c r="H38" s="7"/>
      <c r="I38" s="7"/>
      <c r="J38" s="7"/>
      <c r="K38" s="7"/>
      <c r="L38" s="7"/>
      <c r="M38" s="7"/>
      <c r="N38" s="7"/>
      <c r="O38" s="7"/>
      <c r="P38" s="7"/>
      <c r="Q38" s="7"/>
      <c r="R38" s="7"/>
      <c r="S38" s="7"/>
      <c r="T38" s="7"/>
      <c r="U38" s="7"/>
      <c r="V38" s="7"/>
      <c r="W38" s="7"/>
      <c r="X38" s="7"/>
      <c r="Y38" s="7"/>
      <c r="Z38" s="7"/>
      <c r="AA38" s="7"/>
      <c r="AB38" s="7"/>
    </row>
    <row r="39" spans="1:28">
      <c r="A39" s="7"/>
      <c r="B39" s="7"/>
      <c r="C39" s="7"/>
      <c r="D39" s="7"/>
      <c r="F39" s="7"/>
      <c r="H39" s="7"/>
      <c r="I39" s="7"/>
      <c r="J39" s="7"/>
      <c r="K39" s="7"/>
      <c r="L39" s="7"/>
      <c r="M39" s="7"/>
      <c r="N39" s="7"/>
      <c r="O39" s="7"/>
      <c r="P39" s="7"/>
      <c r="Q39" s="7"/>
      <c r="R39" s="7"/>
      <c r="S39" s="7"/>
      <c r="T39" s="7"/>
      <c r="U39" s="7"/>
      <c r="V39" s="7"/>
      <c r="W39" s="7"/>
      <c r="X39" s="7"/>
      <c r="Y39" s="7"/>
      <c r="Z39" s="7"/>
      <c r="AA39" s="7"/>
      <c r="AB39" s="7"/>
    </row>
    <row r="40" spans="1:28">
      <c r="A40" s="7"/>
      <c r="B40" s="7"/>
      <c r="C40" s="7"/>
      <c r="D40" s="7"/>
      <c r="F40" s="7"/>
      <c r="H40" s="7"/>
      <c r="I40" s="7"/>
      <c r="J40" s="7"/>
      <c r="K40" s="7"/>
      <c r="L40" s="7"/>
      <c r="M40" s="7"/>
      <c r="N40" s="7"/>
      <c r="O40" s="7"/>
      <c r="P40" s="7"/>
      <c r="Q40" s="7"/>
      <c r="R40" s="7"/>
      <c r="S40" s="7"/>
      <c r="T40" s="7"/>
      <c r="U40" s="7"/>
      <c r="V40" s="7"/>
      <c r="W40" s="7"/>
      <c r="X40" s="7"/>
      <c r="Y40" s="7"/>
      <c r="Z40" s="7"/>
      <c r="AA40" s="7"/>
      <c r="AB40" s="7"/>
    </row>
    <row r="41" spans="1:28">
      <c r="A41" s="7"/>
      <c r="B41" s="7"/>
      <c r="C41" s="7"/>
      <c r="D41" s="7"/>
      <c r="F41" s="7"/>
      <c r="H41" s="7"/>
      <c r="I41" s="7"/>
      <c r="J41" s="7"/>
      <c r="K41" s="7"/>
      <c r="L41" s="7"/>
      <c r="M41" s="7"/>
      <c r="N41" s="7"/>
      <c r="O41" s="7"/>
      <c r="P41" s="7"/>
      <c r="Q41" s="7"/>
      <c r="R41" s="7"/>
      <c r="S41" s="7"/>
      <c r="T41" s="7"/>
      <c r="U41" s="7"/>
      <c r="V41" s="7"/>
      <c r="W41" s="7"/>
      <c r="X41" s="7"/>
      <c r="Y41" s="7"/>
      <c r="Z41" s="7"/>
      <c r="AA41" s="7"/>
      <c r="AB41" s="7"/>
    </row>
    <row r="42" spans="1:28">
      <c r="A42" s="7"/>
      <c r="B42" s="7"/>
      <c r="C42" s="7"/>
      <c r="D42" s="7"/>
      <c r="F42" s="7"/>
      <c r="H42" s="7"/>
      <c r="I42" s="7"/>
      <c r="J42" s="7"/>
      <c r="K42" s="7"/>
      <c r="L42" s="7"/>
      <c r="M42" s="7"/>
      <c r="N42" s="7"/>
      <c r="O42" s="7"/>
      <c r="P42" s="7"/>
      <c r="Q42" s="7"/>
      <c r="R42" s="7"/>
      <c r="S42" s="7"/>
      <c r="T42" s="7"/>
      <c r="U42" s="7"/>
      <c r="V42" s="7"/>
      <c r="W42" s="7"/>
      <c r="X42" s="7"/>
      <c r="Y42" s="7"/>
      <c r="Z42" s="7"/>
      <c r="AA42" s="7"/>
      <c r="AB42" s="7"/>
    </row>
    <row r="43" spans="1:28">
      <c r="A43" s="7"/>
      <c r="B43" s="7"/>
      <c r="C43" s="7"/>
      <c r="D43" s="7"/>
      <c r="F43" s="7"/>
      <c r="H43" s="7"/>
      <c r="I43" s="7"/>
      <c r="J43" s="7"/>
      <c r="K43" s="7"/>
      <c r="L43" s="7"/>
      <c r="M43" s="7"/>
      <c r="N43" s="7"/>
      <c r="O43" s="7"/>
      <c r="P43" s="7"/>
      <c r="Q43" s="7"/>
      <c r="R43" s="7"/>
      <c r="S43" s="7"/>
      <c r="T43" s="7"/>
      <c r="U43" s="7"/>
      <c r="V43" s="7"/>
      <c r="W43" s="7"/>
      <c r="X43" s="7"/>
      <c r="Y43" s="7"/>
      <c r="Z43" s="7"/>
      <c r="AA43" s="7"/>
      <c r="AB43" s="7"/>
    </row>
  </sheetData>
  <mergeCells count="11">
    <mergeCell ref="H14:J14"/>
    <mergeCell ref="B2:J5"/>
    <mergeCell ref="B6:J6"/>
    <mergeCell ref="B7:J7"/>
    <mergeCell ref="B8:J8"/>
    <mergeCell ref="B10:J10"/>
    <mergeCell ref="E11:E14"/>
    <mergeCell ref="G11:G14"/>
    <mergeCell ref="H11:J11"/>
    <mergeCell ref="H12:J12"/>
    <mergeCell ref="H13:J13"/>
  </mergeCells>
  <conditionalFormatting sqref="H12:H14 D12:D14 F12:F14">
    <cfRule type="containsText" dxfId="4" priority="1" operator="containsText" text="NO CUMPLE">
      <formula>NOT(ISERROR(SEARCH("NO CUMPLE",D12)))</formula>
    </cfRule>
  </conditionalFormatting>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70AB5-CC7B-4EDD-8FF2-9B60990548DD}">
  <sheetPr>
    <tabColor rgb="FF660066"/>
  </sheetPr>
  <dimension ref="A1:AB43"/>
  <sheetViews>
    <sheetView zoomScale="115" zoomScaleNormal="115" workbookViewId="0">
      <selection activeCell="B8" sqref="B8:J8"/>
    </sheetView>
  </sheetViews>
  <sheetFormatPr baseColWidth="10" defaultColWidth="9.140625" defaultRowHeight="16.5"/>
  <cols>
    <col min="1" max="1" width="2.7109375" style="1" customWidth="1"/>
    <col min="2" max="2" width="4.140625" style="1" bestFit="1" customWidth="1"/>
    <col min="3" max="3" width="35.42578125" style="1" bestFit="1" customWidth="1"/>
    <col min="4" max="4" width="20" style="1" bestFit="1" customWidth="1"/>
    <col min="5" max="5" width="0.85546875" style="1" customWidth="1"/>
    <col min="6" max="6" width="12.7109375" style="1" customWidth="1"/>
    <col min="7" max="7" width="0.85546875" style="1" customWidth="1"/>
    <col min="8" max="8" width="12.85546875" style="1" customWidth="1"/>
    <col min="9" max="9" width="12" style="1" customWidth="1"/>
    <col min="10" max="10" width="13.7109375" style="1" customWidth="1"/>
    <col min="11" max="16384" width="9.140625" style="1"/>
  </cols>
  <sheetData>
    <row r="1" spans="1:28" ht="5.25" customHeight="1">
      <c r="A1" s="7"/>
      <c r="B1" s="7"/>
      <c r="C1" s="7"/>
      <c r="D1" s="7"/>
      <c r="E1" s="7"/>
      <c r="F1" s="7"/>
      <c r="G1" s="7"/>
      <c r="H1" s="7"/>
      <c r="I1" s="7"/>
      <c r="J1" s="7"/>
      <c r="K1" s="7"/>
      <c r="L1" s="7"/>
      <c r="M1" s="7"/>
      <c r="N1" s="7"/>
      <c r="O1" s="7"/>
      <c r="P1" s="7"/>
      <c r="Q1" s="7"/>
      <c r="R1" s="7"/>
      <c r="S1" s="7"/>
      <c r="T1" s="7"/>
      <c r="U1" s="7"/>
      <c r="V1" s="7"/>
      <c r="W1" s="7"/>
      <c r="X1" s="7"/>
      <c r="Y1" s="7"/>
      <c r="Z1" s="7"/>
      <c r="AA1" s="7"/>
      <c r="AB1" s="7"/>
    </row>
    <row r="2" spans="1:28">
      <c r="A2" s="7"/>
      <c r="B2" s="187" t="s">
        <v>104</v>
      </c>
      <c r="C2" s="188"/>
      <c r="D2" s="188"/>
      <c r="E2" s="188"/>
      <c r="F2" s="188"/>
      <c r="G2" s="188"/>
      <c r="H2" s="188"/>
      <c r="I2" s="188"/>
      <c r="J2" s="188"/>
      <c r="K2" s="7"/>
      <c r="L2" s="7"/>
      <c r="M2" s="7"/>
      <c r="N2" s="7"/>
      <c r="O2" s="7"/>
      <c r="P2" s="7"/>
      <c r="Q2" s="7"/>
      <c r="R2" s="7"/>
      <c r="S2" s="7"/>
      <c r="T2" s="7"/>
      <c r="U2" s="7"/>
      <c r="V2" s="7"/>
      <c r="W2" s="7"/>
      <c r="X2" s="7"/>
      <c r="Y2" s="7"/>
      <c r="Z2" s="7"/>
      <c r="AA2" s="7"/>
      <c r="AB2" s="7"/>
    </row>
    <row r="3" spans="1:28">
      <c r="A3" s="7"/>
      <c r="B3" s="188"/>
      <c r="C3" s="188"/>
      <c r="D3" s="188"/>
      <c r="E3" s="188"/>
      <c r="F3" s="188"/>
      <c r="G3" s="188"/>
      <c r="H3" s="188"/>
      <c r="I3" s="188"/>
      <c r="J3" s="188"/>
      <c r="K3" s="7"/>
      <c r="L3" s="7"/>
      <c r="M3" s="7"/>
      <c r="N3" s="7"/>
      <c r="O3" s="7"/>
      <c r="P3" s="7"/>
      <c r="Q3" s="7"/>
      <c r="R3" s="7"/>
      <c r="S3" s="7"/>
      <c r="T3" s="7"/>
      <c r="U3" s="7"/>
      <c r="V3" s="7"/>
      <c r="W3" s="7"/>
      <c r="X3" s="7"/>
      <c r="Y3" s="7"/>
      <c r="Z3" s="7"/>
      <c r="AA3" s="7"/>
      <c r="AB3" s="7"/>
    </row>
    <row r="4" spans="1:28">
      <c r="A4" s="7"/>
      <c r="B4" s="188"/>
      <c r="C4" s="188"/>
      <c r="D4" s="188"/>
      <c r="E4" s="188"/>
      <c r="F4" s="188"/>
      <c r="G4" s="188"/>
      <c r="H4" s="188"/>
      <c r="I4" s="188"/>
      <c r="J4" s="188"/>
      <c r="K4" s="7"/>
      <c r="L4" s="7"/>
      <c r="M4" s="7"/>
      <c r="N4" s="7"/>
      <c r="O4" s="7"/>
      <c r="P4" s="7"/>
      <c r="Q4" s="7"/>
      <c r="R4" s="7"/>
      <c r="S4" s="7"/>
      <c r="T4" s="7"/>
      <c r="U4" s="7"/>
      <c r="V4" s="7"/>
      <c r="W4" s="7"/>
      <c r="X4" s="7"/>
      <c r="Y4" s="7"/>
      <c r="Z4" s="7"/>
      <c r="AA4" s="7"/>
      <c r="AB4" s="7"/>
    </row>
    <row r="5" spans="1:28">
      <c r="A5" s="7"/>
      <c r="B5" s="188"/>
      <c r="C5" s="188"/>
      <c r="D5" s="188"/>
      <c r="E5" s="188"/>
      <c r="F5" s="188"/>
      <c r="G5" s="188"/>
      <c r="H5" s="188"/>
      <c r="I5" s="188"/>
      <c r="J5" s="188"/>
      <c r="K5" s="7"/>
      <c r="L5" s="7"/>
      <c r="M5" s="7"/>
      <c r="N5" s="7"/>
      <c r="O5" s="7"/>
      <c r="P5" s="7"/>
      <c r="Q5" s="7"/>
      <c r="R5" s="7"/>
      <c r="S5" s="7"/>
      <c r="T5" s="7"/>
      <c r="U5" s="7"/>
      <c r="V5" s="7"/>
      <c r="W5" s="7"/>
      <c r="X5" s="7"/>
      <c r="Y5" s="7"/>
      <c r="Z5" s="7"/>
      <c r="AA5" s="7"/>
      <c r="AB5" s="7"/>
    </row>
    <row r="6" spans="1:28" ht="37.5" customHeight="1">
      <c r="A6" s="7"/>
      <c r="B6" s="187" t="str">
        <f>'RESUMEN P1'!B6</f>
        <v>REALIZAR EL SUMINISTRO E INSTALACIÓN DE LOS SISTEMAS DE AYUDAS VISUALES Y SUS OBRAS
COMPLEMENTARIAS PARA EL AEROPUERTO PERALES DE IBAGUÉ, TOLIMA (VF)</v>
      </c>
      <c r="C6" s="188"/>
      <c r="D6" s="188"/>
      <c r="E6" s="188"/>
      <c r="F6" s="188"/>
      <c r="G6" s="188"/>
      <c r="H6" s="188"/>
      <c r="I6" s="188"/>
      <c r="J6" s="188"/>
      <c r="K6" s="7"/>
      <c r="L6" s="7"/>
      <c r="M6" s="7"/>
      <c r="N6" s="7"/>
      <c r="O6" s="7"/>
      <c r="P6" s="7"/>
      <c r="Q6" s="7"/>
      <c r="R6" s="7"/>
      <c r="S6" s="7"/>
      <c r="T6" s="7"/>
      <c r="U6" s="7"/>
      <c r="V6" s="7"/>
      <c r="W6" s="7"/>
      <c r="X6" s="7"/>
      <c r="Y6" s="7"/>
      <c r="Z6" s="7"/>
      <c r="AA6" s="7"/>
      <c r="AB6" s="7"/>
    </row>
    <row r="7" spans="1:28">
      <c r="A7" s="7"/>
      <c r="B7" s="187" t="str">
        <f>'RESUMEN P1'!B7</f>
        <v>PROCESO DE LICITACIÓN PÚBLICA 24001224 H1 2024</v>
      </c>
      <c r="C7" s="187"/>
      <c r="D7" s="187"/>
      <c r="E7" s="187"/>
      <c r="F7" s="187"/>
      <c r="G7" s="187"/>
      <c r="H7" s="187"/>
      <c r="I7" s="187"/>
      <c r="J7" s="187"/>
      <c r="K7" s="7"/>
      <c r="L7" s="7"/>
      <c r="M7" s="7"/>
      <c r="N7" s="7"/>
      <c r="O7" s="7"/>
      <c r="P7" s="7"/>
      <c r="Q7" s="7"/>
      <c r="R7" s="7"/>
      <c r="S7" s="7"/>
      <c r="T7" s="7"/>
      <c r="U7" s="7"/>
      <c r="V7" s="7"/>
      <c r="W7" s="7"/>
      <c r="X7" s="7"/>
      <c r="Y7" s="7"/>
      <c r="Z7" s="7"/>
      <c r="AA7" s="7"/>
      <c r="AB7" s="7"/>
    </row>
    <row r="8" spans="1:28" ht="37.5" customHeight="1">
      <c r="A8" s="7"/>
      <c r="B8" s="189" t="s">
        <v>273</v>
      </c>
      <c r="C8" s="189"/>
      <c r="D8" s="189"/>
      <c r="E8" s="189"/>
      <c r="F8" s="189"/>
      <c r="G8" s="189"/>
      <c r="H8" s="189"/>
      <c r="I8" s="189"/>
      <c r="J8" s="189"/>
      <c r="K8" s="7"/>
      <c r="L8" s="7"/>
      <c r="M8" s="7"/>
      <c r="N8" s="7"/>
      <c r="O8" s="7"/>
      <c r="P8" s="7"/>
      <c r="Q8" s="7"/>
      <c r="R8" s="7"/>
      <c r="S8" s="7"/>
      <c r="T8" s="7"/>
      <c r="U8" s="7"/>
      <c r="V8" s="7"/>
      <c r="W8" s="7"/>
      <c r="X8" s="7"/>
      <c r="Y8" s="7"/>
      <c r="Z8" s="7"/>
      <c r="AA8" s="7"/>
      <c r="AB8" s="7"/>
    </row>
    <row r="9" spans="1:28">
      <c r="A9" s="7"/>
      <c r="B9" s="7"/>
      <c r="C9" s="7"/>
      <c r="D9" s="7"/>
      <c r="E9" s="7"/>
      <c r="F9" s="7"/>
      <c r="G9" s="7"/>
      <c r="H9" s="7"/>
      <c r="I9" s="7"/>
      <c r="J9" s="7"/>
      <c r="K9" s="7"/>
      <c r="L9" s="7"/>
      <c r="M9" s="7"/>
      <c r="N9" s="7"/>
      <c r="O9" s="7"/>
      <c r="P9" s="7"/>
      <c r="Q9" s="7"/>
      <c r="R9" s="7"/>
      <c r="S9" s="7"/>
      <c r="T9" s="7"/>
      <c r="U9" s="7"/>
      <c r="V9" s="7"/>
      <c r="W9" s="7"/>
      <c r="X9" s="7"/>
      <c r="Y9" s="7"/>
      <c r="Z9" s="7"/>
      <c r="AA9" s="7"/>
      <c r="AB9" s="7"/>
    </row>
    <row r="10" spans="1:28">
      <c r="A10" s="7"/>
      <c r="B10" s="324" t="s">
        <v>108</v>
      </c>
      <c r="C10" s="324"/>
      <c r="D10" s="324"/>
      <c r="E10" s="324"/>
      <c r="F10" s="324"/>
      <c r="G10" s="324"/>
      <c r="H10" s="324"/>
      <c r="I10" s="324"/>
      <c r="J10" s="324"/>
      <c r="K10" s="7"/>
      <c r="L10" s="7"/>
      <c r="M10" s="7"/>
      <c r="N10" s="7"/>
      <c r="O10" s="7"/>
      <c r="P10" s="7"/>
      <c r="Q10" s="7"/>
      <c r="R10" s="7"/>
      <c r="S10" s="7"/>
      <c r="T10" s="7"/>
      <c r="U10" s="7"/>
      <c r="V10" s="7"/>
      <c r="W10" s="7"/>
      <c r="X10" s="7"/>
      <c r="Y10" s="7"/>
      <c r="Z10" s="7"/>
      <c r="AA10" s="7"/>
      <c r="AB10" s="7"/>
    </row>
    <row r="11" spans="1:28" ht="27">
      <c r="A11" s="7"/>
      <c r="B11" s="70" t="s">
        <v>1</v>
      </c>
      <c r="C11" s="70" t="s">
        <v>2</v>
      </c>
      <c r="D11" s="75" t="s">
        <v>113</v>
      </c>
      <c r="E11" s="325"/>
      <c r="F11" s="75" t="s">
        <v>32</v>
      </c>
      <c r="G11" s="325"/>
      <c r="H11" s="327" t="s">
        <v>0</v>
      </c>
      <c r="I11" s="328"/>
      <c r="J11" s="329"/>
      <c r="K11" s="7"/>
      <c r="L11" s="7"/>
      <c r="M11" s="7"/>
      <c r="N11" s="7"/>
      <c r="O11" s="7"/>
      <c r="P11" s="7"/>
      <c r="Q11" s="7"/>
      <c r="R11" s="7"/>
      <c r="S11" s="7"/>
      <c r="T11" s="7"/>
      <c r="U11" s="7"/>
      <c r="V11" s="7"/>
      <c r="W11" s="7"/>
      <c r="X11" s="7"/>
      <c r="Y11" s="7"/>
      <c r="Z11" s="7"/>
      <c r="AA11" s="7"/>
      <c r="AB11" s="7"/>
    </row>
    <row r="12" spans="1:28">
      <c r="A12" s="7"/>
      <c r="B12" s="66">
        <v>1</v>
      </c>
      <c r="C12" s="30" t="str">
        <f>'RESUMEN P1'!C11</f>
        <v>SKYTECH</v>
      </c>
      <c r="D12" s="76" t="str">
        <f>'1'!$M$60</f>
        <v>CUMPLE</v>
      </c>
      <c r="E12" s="326"/>
      <c r="F12" s="76">
        <f>'1'!$M$61</f>
        <v>1</v>
      </c>
      <c r="G12" s="326"/>
      <c r="H12" s="333"/>
      <c r="I12" s="334"/>
      <c r="J12" s="335"/>
      <c r="K12" s="7"/>
      <c r="L12" s="7"/>
      <c r="M12" s="7"/>
      <c r="N12" s="7"/>
      <c r="O12" s="7"/>
      <c r="P12" s="7"/>
      <c r="Q12" s="7"/>
      <c r="R12" s="7"/>
      <c r="S12" s="7"/>
      <c r="T12" s="7"/>
      <c r="U12" s="7"/>
      <c r="V12" s="7"/>
      <c r="W12" s="7"/>
      <c r="X12" s="7"/>
      <c r="Y12" s="7"/>
      <c r="Z12" s="7"/>
      <c r="AA12" s="7"/>
      <c r="AB12" s="7"/>
    </row>
    <row r="13" spans="1:28">
      <c r="A13" s="7"/>
      <c r="B13" s="73">
        <v>2</v>
      </c>
      <c r="C13" s="30" t="str">
        <f>'RESUMEN P1'!C12</f>
        <v>RAPIDEXXUS</v>
      </c>
      <c r="D13" s="76" t="str">
        <f>'2'!$M$60</f>
        <v>CUMPLE</v>
      </c>
      <c r="E13" s="326"/>
      <c r="F13" s="76">
        <f>'2'!$M$61</f>
        <v>1</v>
      </c>
      <c r="G13" s="326"/>
      <c r="H13" s="330"/>
      <c r="I13" s="331"/>
      <c r="J13" s="332"/>
      <c r="K13" s="7"/>
      <c r="L13" s="7"/>
      <c r="M13" s="7"/>
      <c r="N13" s="7"/>
      <c r="O13" s="7"/>
      <c r="P13" s="7"/>
      <c r="Q13" s="7"/>
      <c r="R13" s="7"/>
      <c r="S13" s="7"/>
      <c r="T13" s="7"/>
      <c r="U13" s="7"/>
      <c r="V13" s="7"/>
      <c r="W13" s="7"/>
      <c r="X13" s="7"/>
      <c r="Y13" s="7"/>
      <c r="Z13" s="7"/>
      <c r="AA13" s="7"/>
      <c r="AB13" s="7"/>
    </row>
    <row r="14" spans="1:28">
      <c r="A14" s="7"/>
      <c r="B14" s="66">
        <v>3</v>
      </c>
      <c r="C14" s="30" t="str">
        <f>'RESUMEN P1'!C13</f>
        <v>CONSORCIO ILUMINACIÓN IBE24</v>
      </c>
      <c r="D14" s="76" t="str">
        <f>'3'!$M$60</f>
        <v>CUMPLE</v>
      </c>
      <c r="E14" s="326"/>
      <c r="F14" s="76">
        <f>'3'!$M$61</f>
        <v>1</v>
      </c>
      <c r="G14" s="326"/>
      <c r="H14" s="330"/>
      <c r="I14" s="331"/>
      <c r="J14" s="332"/>
      <c r="K14" s="7"/>
      <c r="L14" s="7"/>
      <c r="M14" s="7"/>
      <c r="N14" s="7"/>
      <c r="O14" s="7"/>
      <c r="P14" s="7"/>
      <c r="Q14" s="7"/>
      <c r="R14" s="7"/>
      <c r="S14" s="7"/>
      <c r="T14" s="7"/>
      <c r="U14" s="7"/>
      <c r="V14" s="7"/>
      <c r="W14" s="7"/>
      <c r="X14" s="7"/>
      <c r="Y14" s="7"/>
      <c r="Z14" s="7"/>
      <c r="AA14" s="7"/>
      <c r="AB14" s="7"/>
    </row>
    <row r="15" spans="1:28">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row>
    <row r="16" spans="1:28">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row>
    <row r="17" spans="1:28">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row>
    <row r="18" spans="1:28">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row>
    <row r="19" spans="1:28">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row>
    <row r="20" spans="1:28">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row>
    <row r="21" spans="1:28">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row>
    <row r="22" spans="1:28">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row>
    <row r="23" spans="1:28">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row>
    <row r="24" spans="1:28">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row>
    <row r="25" spans="1:28">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row>
    <row r="26" spans="1:28">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row>
    <row r="27" spans="1:28">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row>
    <row r="28" spans="1:28">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row>
    <row r="29" spans="1:28">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row>
    <row r="30" spans="1:28">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row>
    <row r="31" spans="1:28">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row>
    <row r="32" spans="1:28">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row>
    <row r="33" spans="1:28">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row>
    <row r="34" spans="1:28">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row>
    <row r="35" spans="1:28">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row>
    <row r="36" spans="1:28">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row>
    <row r="37" spans="1:28">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row>
    <row r="38" spans="1:28">
      <c r="A38" s="7"/>
      <c r="B38" s="7"/>
      <c r="C38" s="7"/>
      <c r="D38" s="7"/>
      <c r="F38" s="7"/>
      <c r="H38" s="7"/>
      <c r="I38" s="7"/>
      <c r="J38" s="7"/>
      <c r="K38" s="7"/>
      <c r="L38" s="7"/>
      <c r="M38" s="7"/>
      <c r="N38" s="7"/>
      <c r="O38" s="7"/>
      <c r="P38" s="7"/>
      <c r="Q38" s="7"/>
      <c r="R38" s="7"/>
      <c r="S38" s="7"/>
      <c r="T38" s="7"/>
      <c r="U38" s="7"/>
      <c r="V38" s="7"/>
      <c r="W38" s="7"/>
      <c r="X38" s="7"/>
      <c r="Y38" s="7"/>
      <c r="Z38" s="7"/>
      <c r="AA38" s="7"/>
      <c r="AB38" s="7"/>
    </row>
    <row r="39" spans="1:28">
      <c r="A39" s="7"/>
      <c r="B39" s="7"/>
      <c r="C39" s="7"/>
      <c r="D39" s="7"/>
      <c r="F39" s="7"/>
      <c r="H39" s="7"/>
      <c r="I39" s="7"/>
      <c r="J39" s="7"/>
      <c r="K39" s="7"/>
      <c r="L39" s="7"/>
      <c r="M39" s="7"/>
      <c r="N39" s="7"/>
      <c r="O39" s="7"/>
      <c r="P39" s="7"/>
      <c r="Q39" s="7"/>
      <c r="R39" s="7"/>
      <c r="S39" s="7"/>
      <c r="T39" s="7"/>
      <c r="U39" s="7"/>
      <c r="V39" s="7"/>
      <c r="W39" s="7"/>
      <c r="X39" s="7"/>
      <c r="Y39" s="7"/>
      <c r="Z39" s="7"/>
      <c r="AA39" s="7"/>
      <c r="AB39" s="7"/>
    </row>
    <row r="40" spans="1:28">
      <c r="A40" s="7"/>
      <c r="B40" s="7"/>
      <c r="C40" s="7"/>
      <c r="D40" s="7"/>
      <c r="F40" s="7"/>
      <c r="H40" s="7"/>
      <c r="I40" s="7"/>
      <c r="J40" s="7"/>
      <c r="K40" s="7"/>
      <c r="L40" s="7"/>
      <c r="M40" s="7"/>
      <c r="N40" s="7"/>
      <c r="O40" s="7"/>
      <c r="P40" s="7"/>
      <c r="Q40" s="7"/>
      <c r="R40" s="7"/>
      <c r="S40" s="7"/>
      <c r="T40" s="7"/>
      <c r="U40" s="7"/>
      <c r="V40" s="7"/>
      <c r="W40" s="7"/>
      <c r="X40" s="7"/>
      <c r="Y40" s="7"/>
      <c r="Z40" s="7"/>
      <c r="AA40" s="7"/>
      <c r="AB40" s="7"/>
    </row>
    <row r="41" spans="1:28">
      <c r="A41" s="7"/>
      <c r="B41" s="7"/>
      <c r="C41" s="7"/>
      <c r="D41" s="7"/>
      <c r="F41" s="7"/>
      <c r="H41" s="7"/>
      <c r="I41" s="7"/>
      <c r="J41" s="7"/>
      <c r="K41" s="7"/>
      <c r="L41" s="7"/>
      <c r="M41" s="7"/>
      <c r="N41" s="7"/>
      <c r="O41" s="7"/>
      <c r="P41" s="7"/>
      <c r="Q41" s="7"/>
      <c r="R41" s="7"/>
      <c r="S41" s="7"/>
      <c r="T41" s="7"/>
      <c r="U41" s="7"/>
      <c r="V41" s="7"/>
      <c r="W41" s="7"/>
      <c r="X41" s="7"/>
      <c r="Y41" s="7"/>
      <c r="Z41" s="7"/>
      <c r="AA41" s="7"/>
      <c r="AB41" s="7"/>
    </row>
    <row r="42" spans="1:28">
      <c r="A42" s="7"/>
      <c r="B42" s="7"/>
      <c r="C42" s="7"/>
      <c r="D42" s="7"/>
      <c r="F42" s="7"/>
      <c r="H42" s="7"/>
      <c r="I42" s="7"/>
      <c r="J42" s="7"/>
      <c r="K42" s="7"/>
      <c r="L42" s="7"/>
      <c r="M42" s="7"/>
      <c r="N42" s="7"/>
      <c r="O42" s="7"/>
      <c r="P42" s="7"/>
      <c r="Q42" s="7"/>
      <c r="R42" s="7"/>
      <c r="S42" s="7"/>
      <c r="T42" s="7"/>
      <c r="U42" s="7"/>
      <c r="V42" s="7"/>
      <c r="W42" s="7"/>
      <c r="X42" s="7"/>
      <c r="Y42" s="7"/>
      <c r="Z42" s="7"/>
      <c r="AA42" s="7"/>
      <c r="AB42" s="7"/>
    </row>
    <row r="43" spans="1:28">
      <c r="A43" s="7"/>
      <c r="B43" s="7"/>
      <c r="C43" s="7"/>
      <c r="D43" s="7"/>
      <c r="F43" s="7"/>
      <c r="H43" s="7"/>
      <c r="I43" s="7"/>
      <c r="J43" s="7"/>
      <c r="K43" s="7"/>
      <c r="L43" s="7"/>
      <c r="M43" s="7"/>
      <c r="N43" s="7"/>
      <c r="O43" s="7"/>
      <c r="P43" s="7"/>
      <c r="Q43" s="7"/>
      <c r="R43" s="7"/>
      <c r="S43" s="7"/>
      <c r="T43" s="7"/>
      <c r="U43" s="7"/>
      <c r="V43" s="7"/>
      <c r="W43" s="7"/>
      <c r="X43" s="7"/>
      <c r="Y43" s="7"/>
      <c r="Z43" s="7"/>
      <c r="AA43" s="7"/>
      <c r="AB43" s="7"/>
    </row>
  </sheetData>
  <mergeCells count="11">
    <mergeCell ref="H14:J14"/>
    <mergeCell ref="B2:J5"/>
    <mergeCell ref="B6:J6"/>
    <mergeCell ref="B7:J7"/>
    <mergeCell ref="B8:J8"/>
    <mergeCell ref="B10:J10"/>
    <mergeCell ref="E11:E14"/>
    <mergeCell ref="G11:G14"/>
    <mergeCell ref="H11:J11"/>
    <mergeCell ref="H12:J12"/>
    <mergeCell ref="H13:J13"/>
  </mergeCells>
  <conditionalFormatting sqref="H12:H14 D12:D14 F12:F14">
    <cfRule type="containsText" dxfId="3" priority="3" operator="containsText" text="NO CUMPLE">
      <formula>NOT(ISERROR(SEARCH("NO CUMPLE",D12)))</formula>
    </cfRule>
  </conditionalFormatting>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2D819-2F39-4A64-8E87-2EB29F7655FC}">
  <sheetPr>
    <tabColor rgb="FF990099"/>
  </sheetPr>
  <dimension ref="A1:AB43"/>
  <sheetViews>
    <sheetView zoomScale="115" zoomScaleNormal="115" workbookViewId="0">
      <selection activeCell="H12" sqref="H12:J12"/>
    </sheetView>
  </sheetViews>
  <sheetFormatPr baseColWidth="10" defaultColWidth="9.140625" defaultRowHeight="16.5"/>
  <cols>
    <col min="1" max="1" width="2.7109375" style="1" customWidth="1"/>
    <col min="2" max="2" width="4.140625" style="1" bestFit="1" customWidth="1"/>
    <col min="3" max="3" width="35.42578125" style="1" bestFit="1" customWidth="1"/>
    <col min="4" max="4" width="20" style="1" bestFit="1" customWidth="1"/>
    <col min="5" max="5" width="0.85546875" style="1" customWidth="1"/>
    <col min="6" max="6" width="12.7109375" style="1" customWidth="1"/>
    <col min="7" max="7" width="0.85546875" style="1" customWidth="1"/>
    <col min="8" max="8" width="12.85546875" style="1" customWidth="1"/>
    <col min="9" max="9" width="12" style="1" customWidth="1"/>
    <col min="10" max="10" width="13.7109375" style="1" customWidth="1"/>
    <col min="11" max="16384" width="9.140625" style="1"/>
  </cols>
  <sheetData>
    <row r="1" spans="1:28" ht="5.25" customHeight="1">
      <c r="A1" s="7"/>
      <c r="B1" s="7"/>
      <c r="C1" s="7"/>
      <c r="D1" s="7"/>
      <c r="E1" s="7"/>
      <c r="F1" s="7"/>
      <c r="G1" s="7"/>
      <c r="H1" s="7"/>
      <c r="I1" s="7"/>
      <c r="J1" s="7"/>
      <c r="K1" s="7"/>
      <c r="L1" s="7"/>
      <c r="M1" s="7"/>
      <c r="N1" s="7"/>
      <c r="O1" s="7"/>
      <c r="P1" s="7"/>
      <c r="Q1" s="7"/>
      <c r="R1" s="7"/>
      <c r="S1" s="7"/>
      <c r="T1" s="7"/>
      <c r="U1" s="7"/>
      <c r="V1" s="7"/>
      <c r="W1" s="7"/>
      <c r="X1" s="7"/>
      <c r="Y1" s="7"/>
      <c r="Z1" s="7"/>
      <c r="AA1" s="7"/>
      <c r="AB1" s="7"/>
    </row>
    <row r="2" spans="1:28">
      <c r="A2" s="7"/>
      <c r="B2" s="187" t="s">
        <v>104</v>
      </c>
      <c r="C2" s="188"/>
      <c r="D2" s="188"/>
      <c r="E2" s="188"/>
      <c r="F2" s="188"/>
      <c r="G2" s="188"/>
      <c r="H2" s="188"/>
      <c r="I2" s="188"/>
      <c r="J2" s="188"/>
      <c r="K2" s="7"/>
      <c r="L2" s="7"/>
      <c r="M2" s="7"/>
      <c r="N2" s="7"/>
      <c r="O2" s="7"/>
      <c r="P2" s="7"/>
      <c r="Q2" s="7"/>
      <c r="R2" s="7"/>
      <c r="S2" s="7"/>
      <c r="T2" s="7"/>
      <c r="U2" s="7"/>
      <c r="V2" s="7"/>
      <c r="W2" s="7"/>
      <c r="X2" s="7"/>
      <c r="Y2" s="7"/>
      <c r="Z2" s="7"/>
      <c r="AA2" s="7"/>
      <c r="AB2" s="7"/>
    </row>
    <row r="3" spans="1:28">
      <c r="A3" s="7"/>
      <c r="B3" s="188"/>
      <c r="C3" s="188"/>
      <c r="D3" s="188"/>
      <c r="E3" s="188"/>
      <c r="F3" s="188"/>
      <c r="G3" s="188"/>
      <c r="H3" s="188"/>
      <c r="I3" s="188"/>
      <c r="J3" s="188"/>
      <c r="K3" s="7"/>
      <c r="L3" s="7"/>
      <c r="M3" s="7"/>
      <c r="N3" s="7"/>
      <c r="O3" s="7"/>
      <c r="P3" s="7"/>
      <c r="Q3" s="7"/>
      <c r="R3" s="7"/>
      <c r="S3" s="7"/>
      <c r="T3" s="7"/>
      <c r="U3" s="7"/>
      <c r="V3" s="7"/>
      <c r="W3" s="7"/>
      <c r="X3" s="7"/>
      <c r="Y3" s="7"/>
      <c r="Z3" s="7"/>
      <c r="AA3" s="7"/>
      <c r="AB3" s="7"/>
    </row>
    <row r="4" spans="1:28">
      <c r="A4" s="7"/>
      <c r="B4" s="188"/>
      <c r="C4" s="188"/>
      <c r="D4" s="188"/>
      <c r="E4" s="188"/>
      <c r="F4" s="188"/>
      <c r="G4" s="188"/>
      <c r="H4" s="188"/>
      <c r="I4" s="188"/>
      <c r="J4" s="188"/>
      <c r="K4" s="7"/>
      <c r="L4" s="7"/>
      <c r="M4" s="7"/>
      <c r="N4" s="7"/>
      <c r="O4" s="7"/>
      <c r="P4" s="7"/>
      <c r="Q4" s="7"/>
      <c r="R4" s="7"/>
      <c r="S4" s="7"/>
      <c r="T4" s="7"/>
      <c r="U4" s="7"/>
      <c r="V4" s="7"/>
      <c r="W4" s="7"/>
      <c r="X4" s="7"/>
      <c r="Y4" s="7"/>
      <c r="Z4" s="7"/>
      <c r="AA4" s="7"/>
      <c r="AB4" s="7"/>
    </row>
    <row r="5" spans="1:28">
      <c r="A5" s="7"/>
      <c r="B5" s="188"/>
      <c r="C5" s="188"/>
      <c r="D5" s="188"/>
      <c r="E5" s="188"/>
      <c r="F5" s="188"/>
      <c r="G5" s="188"/>
      <c r="H5" s="188"/>
      <c r="I5" s="188"/>
      <c r="J5" s="188"/>
      <c r="K5" s="7"/>
      <c r="L5" s="7"/>
      <c r="M5" s="7"/>
      <c r="N5" s="7"/>
      <c r="O5" s="7"/>
      <c r="P5" s="7"/>
      <c r="Q5" s="7"/>
      <c r="R5" s="7"/>
      <c r="S5" s="7"/>
      <c r="T5" s="7"/>
      <c r="U5" s="7"/>
      <c r="V5" s="7"/>
      <c r="W5" s="7"/>
      <c r="X5" s="7"/>
      <c r="Y5" s="7"/>
      <c r="Z5" s="7"/>
      <c r="AA5" s="7"/>
      <c r="AB5" s="7"/>
    </row>
    <row r="6" spans="1:28" ht="37.5" customHeight="1">
      <c r="A6" s="7"/>
      <c r="B6" s="187" t="str">
        <f>'RESUMEN P1'!B6</f>
        <v>REALIZAR EL SUMINISTRO E INSTALACIÓN DE LOS SISTEMAS DE AYUDAS VISUALES Y SUS OBRAS
COMPLEMENTARIAS PARA EL AEROPUERTO PERALES DE IBAGUÉ, TOLIMA (VF)</v>
      </c>
      <c r="C6" s="188"/>
      <c r="D6" s="188"/>
      <c r="E6" s="188"/>
      <c r="F6" s="188"/>
      <c r="G6" s="188"/>
      <c r="H6" s="188"/>
      <c r="I6" s="188"/>
      <c r="J6" s="188"/>
      <c r="K6" s="7"/>
      <c r="L6" s="7"/>
      <c r="M6" s="7"/>
      <c r="N6" s="7"/>
      <c r="O6" s="7"/>
      <c r="P6" s="7"/>
      <c r="Q6" s="7"/>
      <c r="R6" s="7"/>
      <c r="S6" s="7"/>
      <c r="T6" s="7"/>
      <c r="U6" s="7"/>
      <c r="V6" s="7"/>
      <c r="W6" s="7"/>
      <c r="X6" s="7"/>
      <c r="Y6" s="7"/>
      <c r="Z6" s="7"/>
      <c r="AA6" s="7"/>
      <c r="AB6" s="7"/>
    </row>
    <row r="7" spans="1:28">
      <c r="A7" s="7"/>
      <c r="B7" s="187" t="str">
        <f>'RESUMEN P1'!B7</f>
        <v>PROCESO DE LICITACIÓN PÚBLICA 24001224 H1 2024</v>
      </c>
      <c r="C7" s="187"/>
      <c r="D7" s="187"/>
      <c r="E7" s="187"/>
      <c r="F7" s="187"/>
      <c r="G7" s="187"/>
      <c r="H7" s="187"/>
      <c r="I7" s="187"/>
      <c r="J7" s="187"/>
      <c r="K7" s="7"/>
      <c r="L7" s="7"/>
      <c r="M7" s="7"/>
      <c r="N7" s="7"/>
      <c r="O7" s="7"/>
      <c r="P7" s="7"/>
      <c r="Q7" s="7"/>
      <c r="R7" s="7"/>
      <c r="S7" s="7"/>
      <c r="T7" s="7"/>
      <c r="U7" s="7"/>
      <c r="V7" s="7"/>
      <c r="W7" s="7"/>
      <c r="X7" s="7"/>
      <c r="Y7" s="7"/>
      <c r="Z7" s="7"/>
      <c r="AA7" s="7"/>
      <c r="AB7" s="7"/>
    </row>
    <row r="8" spans="1:28" ht="37.5" customHeight="1">
      <c r="A8" s="7"/>
      <c r="B8" s="189" t="s">
        <v>273</v>
      </c>
      <c r="C8" s="189"/>
      <c r="D8" s="189"/>
      <c r="E8" s="189"/>
      <c r="F8" s="189"/>
      <c r="G8" s="189"/>
      <c r="H8" s="189"/>
      <c r="I8" s="189"/>
      <c r="J8" s="189"/>
      <c r="K8" s="7"/>
      <c r="L8" s="7"/>
      <c r="M8" s="7"/>
      <c r="N8" s="7"/>
      <c r="O8" s="7"/>
      <c r="P8" s="7"/>
      <c r="Q8" s="7"/>
      <c r="R8" s="7"/>
      <c r="S8" s="7"/>
      <c r="T8" s="7"/>
      <c r="U8" s="7"/>
      <c r="V8" s="7"/>
      <c r="W8" s="7"/>
      <c r="X8" s="7"/>
      <c r="Y8" s="7"/>
      <c r="Z8" s="7"/>
      <c r="AA8" s="7"/>
      <c r="AB8" s="7"/>
    </row>
    <row r="9" spans="1:28">
      <c r="A9" s="7"/>
      <c r="B9" s="7"/>
      <c r="C9" s="7"/>
      <c r="D9" s="7"/>
      <c r="E9" s="7"/>
      <c r="F9" s="7"/>
      <c r="G9" s="7"/>
      <c r="H9" s="7"/>
      <c r="I9" s="7"/>
      <c r="J9" s="7"/>
      <c r="K9" s="7"/>
      <c r="L9" s="7"/>
      <c r="M9" s="7"/>
      <c r="N9" s="7"/>
      <c r="O9" s="7"/>
      <c r="P9" s="7"/>
      <c r="Q9" s="7"/>
      <c r="R9" s="7"/>
      <c r="S9" s="7"/>
      <c r="T9" s="7"/>
      <c r="U9" s="7"/>
      <c r="V9" s="7"/>
      <c r="W9" s="7"/>
      <c r="X9" s="7"/>
      <c r="Y9" s="7"/>
      <c r="Z9" s="7"/>
      <c r="AA9" s="7"/>
      <c r="AB9" s="7"/>
    </row>
    <row r="10" spans="1:28">
      <c r="A10" s="7"/>
      <c r="B10" s="324" t="s">
        <v>110</v>
      </c>
      <c r="C10" s="324"/>
      <c r="D10" s="324"/>
      <c r="E10" s="324"/>
      <c r="F10" s="324"/>
      <c r="G10" s="324"/>
      <c r="H10" s="324"/>
      <c r="I10" s="324"/>
      <c r="J10" s="324"/>
      <c r="K10" s="7"/>
      <c r="L10" s="7"/>
      <c r="M10" s="7"/>
      <c r="N10" s="7"/>
      <c r="O10" s="7"/>
      <c r="P10" s="7"/>
      <c r="Q10" s="7"/>
      <c r="R10" s="7"/>
      <c r="S10" s="7"/>
      <c r="T10" s="7"/>
      <c r="U10" s="7"/>
      <c r="V10" s="7"/>
      <c r="W10" s="7"/>
      <c r="X10" s="7"/>
      <c r="Y10" s="7"/>
      <c r="Z10" s="7"/>
      <c r="AA10" s="7"/>
      <c r="AB10" s="7"/>
    </row>
    <row r="11" spans="1:28" ht="27">
      <c r="A11" s="7"/>
      <c r="B11" s="70" t="s">
        <v>1</v>
      </c>
      <c r="C11" s="70" t="s">
        <v>2</v>
      </c>
      <c r="D11" s="75" t="s">
        <v>113</v>
      </c>
      <c r="E11" s="325"/>
      <c r="F11" s="75" t="s">
        <v>32</v>
      </c>
      <c r="G11" s="325"/>
      <c r="H11" s="327" t="s">
        <v>0</v>
      </c>
      <c r="I11" s="328"/>
      <c r="J11" s="329"/>
      <c r="K11" s="7"/>
      <c r="L11" s="7"/>
      <c r="M11" s="7"/>
      <c r="N11" s="7"/>
      <c r="O11" s="7"/>
      <c r="P11" s="7"/>
      <c r="Q11" s="7"/>
      <c r="R11" s="7"/>
      <c r="S11" s="7"/>
      <c r="T11" s="7"/>
      <c r="U11" s="7"/>
      <c r="V11" s="7"/>
      <c r="W11" s="7"/>
      <c r="X11" s="7"/>
      <c r="Y11" s="7"/>
      <c r="Z11" s="7"/>
      <c r="AA11" s="7"/>
      <c r="AB11" s="7"/>
    </row>
    <row r="12" spans="1:28">
      <c r="A12" s="7"/>
      <c r="B12" s="66">
        <v>1</v>
      </c>
      <c r="C12" s="30" t="str">
        <f>'RESUMEN P1'!C11</f>
        <v>SKYTECH</v>
      </c>
      <c r="D12" s="76" t="str">
        <f>'1'!$M$64</f>
        <v>CUMPLE</v>
      </c>
      <c r="E12" s="326"/>
      <c r="F12" s="76">
        <f>'1'!$O$64</f>
        <v>0.25</v>
      </c>
      <c r="G12" s="326"/>
      <c r="H12" s="333"/>
      <c r="I12" s="334"/>
      <c r="J12" s="335"/>
      <c r="K12" s="7"/>
      <c r="L12" s="7"/>
      <c r="M12" s="7"/>
      <c r="N12" s="7"/>
      <c r="O12" s="7"/>
      <c r="P12" s="7"/>
      <c r="Q12" s="7"/>
      <c r="R12" s="7"/>
      <c r="S12" s="7"/>
      <c r="T12" s="7"/>
      <c r="U12" s="7"/>
      <c r="V12" s="7"/>
      <c r="W12" s="7"/>
      <c r="X12" s="7"/>
      <c r="Y12" s="7"/>
      <c r="Z12" s="7"/>
      <c r="AA12" s="7"/>
      <c r="AB12" s="7"/>
    </row>
    <row r="13" spans="1:28">
      <c r="A13" s="7"/>
      <c r="B13" s="73">
        <v>2</v>
      </c>
      <c r="C13" s="30" t="str">
        <f>'RESUMEN P1'!C12</f>
        <v>RAPIDEXXUS</v>
      </c>
      <c r="D13" s="76" t="str">
        <f>'2'!$M$64</f>
        <v>CUMPLE</v>
      </c>
      <c r="E13" s="326"/>
      <c r="F13" s="76">
        <f>'2'!$O$64</f>
        <v>0.25</v>
      </c>
      <c r="G13" s="326"/>
      <c r="H13" s="330"/>
      <c r="I13" s="331"/>
      <c r="J13" s="332"/>
      <c r="K13" s="7"/>
      <c r="L13" s="7"/>
      <c r="M13" s="7"/>
      <c r="N13" s="7"/>
      <c r="O13" s="7"/>
      <c r="P13" s="7"/>
      <c r="Q13" s="7"/>
      <c r="R13" s="7"/>
      <c r="S13" s="7"/>
      <c r="T13" s="7"/>
      <c r="U13" s="7"/>
      <c r="V13" s="7"/>
      <c r="W13" s="7"/>
      <c r="X13" s="7"/>
      <c r="Y13" s="7"/>
      <c r="Z13" s="7"/>
      <c r="AA13" s="7"/>
      <c r="AB13" s="7"/>
    </row>
    <row r="14" spans="1:28">
      <c r="A14" s="7"/>
      <c r="B14" s="66">
        <v>3</v>
      </c>
      <c r="C14" s="30" t="str">
        <f>'RESUMEN P1'!C13</f>
        <v>CONSORCIO ILUMINACIÓN IBE24</v>
      </c>
      <c r="D14" s="76" t="str">
        <f>'3'!$M$64</f>
        <v>CUMPLE</v>
      </c>
      <c r="E14" s="326"/>
      <c r="F14" s="76">
        <f>'3'!$O$64</f>
        <v>0.25</v>
      </c>
      <c r="G14" s="326"/>
      <c r="H14" s="330"/>
      <c r="I14" s="331"/>
      <c r="J14" s="332"/>
      <c r="K14" s="7"/>
      <c r="L14" s="7"/>
      <c r="M14" s="7"/>
      <c r="N14" s="7"/>
      <c r="O14" s="7"/>
      <c r="P14" s="7"/>
      <c r="Q14" s="7"/>
      <c r="R14" s="7"/>
      <c r="S14" s="7"/>
      <c r="T14" s="7"/>
      <c r="U14" s="7"/>
      <c r="V14" s="7"/>
      <c r="W14" s="7"/>
      <c r="X14" s="7"/>
      <c r="Y14" s="7"/>
      <c r="Z14" s="7"/>
      <c r="AA14" s="7"/>
      <c r="AB14" s="7"/>
    </row>
    <row r="15" spans="1:28">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row>
    <row r="16" spans="1:28">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row>
    <row r="17" spans="1:28">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row>
    <row r="18" spans="1:28">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row>
    <row r="19" spans="1:28">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row>
    <row r="20" spans="1:28">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row>
    <row r="21" spans="1:28">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row>
    <row r="22" spans="1:28">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row>
    <row r="23" spans="1:28">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row>
    <row r="24" spans="1:28">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row>
    <row r="25" spans="1:28">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row>
    <row r="26" spans="1:28">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row>
    <row r="27" spans="1:28">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row>
    <row r="28" spans="1:28">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row>
    <row r="29" spans="1:28">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row>
    <row r="30" spans="1:28">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row>
    <row r="31" spans="1:28">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row>
    <row r="32" spans="1:28">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row>
    <row r="33" spans="1:28">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row>
    <row r="34" spans="1:28">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row>
    <row r="35" spans="1:28">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row>
    <row r="36" spans="1:28">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row>
    <row r="37" spans="1:28">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row>
    <row r="38" spans="1:28">
      <c r="A38" s="7"/>
      <c r="B38" s="7"/>
      <c r="C38" s="7"/>
      <c r="D38" s="7"/>
      <c r="F38" s="7"/>
      <c r="H38" s="7"/>
      <c r="I38" s="7"/>
      <c r="J38" s="7"/>
      <c r="K38" s="7"/>
      <c r="L38" s="7"/>
      <c r="M38" s="7"/>
      <c r="N38" s="7"/>
      <c r="O38" s="7"/>
      <c r="P38" s="7"/>
      <c r="Q38" s="7"/>
      <c r="R38" s="7"/>
      <c r="S38" s="7"/>
      <c r="T38" s="7"/>
      <c r="U38" s="7"/>
      <c r="V38" s="7"/>
      <c r="W38" s="7"/>
      <c r="X38" s="7"/>
      <c r="Y38" s="7"/>
      <c r="Z38" s="7"/>
      <c r="AA38" s="7"/>
      <c r="AB38" s="7"/>
    </row>
    <row r="39" spans="1:28">
      <c r="A39" s="7"/>
      <c r="B39" s="7"/>
      <c r="C39" s="7"/>
      <c r="D39" s="7"/>
      <c r="F39" s="7"/>
      <c r="H39" s="7"/>
      <c r="I39" s="7"/>
      <c r="J39" s="7"/>
      <c r="K39" s="7"/>
      <c r="L39" s="7"/>
      <c r="M39" s="7"/>
      <c r="N39" s="7"/>
      <c r="O39" s="7"/>
      <c r="P39" s="7"/>
      <c r="Q39" s="7"/>
      <c r="R39" s="7"/>
      <c r="S39" s="7"/>
      <c r="T39" s="7"/>
      <c r="U39" s="7"/>
      <c r="V39" s="7"/>
      <c r="W39" s="7"/>
      <c r="X39" s="7"/>
      <c r="Y39" s="7"/>
      <c r="Z39" s="7"/>
      <c r="AA39" s="7"/>
      <c r="AB39" s="7"/>
    </row>
    <row r="40" spans="1:28">
      <c r="A40" s="7"/>
      <c r="B40" s="7"/>
      <c r="C40" s="7"/>
      <c r="D40" s="7"/>
      <c r="F40" s="7"/>
      <c r="H40" s="7"/>
      <c r="I40" s="7"/>
      <c r="J40" s="7"/>
      <c r="K40" s="7"/>
      <c r="L40" s="7"/>
      <c r="M40" s="7"/>
      <c r="N40" s="7"/>
      <c r="O40" s="7"/>
      <c r="P40" s="7"/>
      <c r="Q40" s="7"/>
      <c r="R40" s="7"/>
      <c r="S40" s="7"/>
      <c r="T40" s="7"/>
      <c r="U40" s="7"/>
      <c r="V40" s="7"/>
      <c r="W40" s="7"/>
      <c r="X40" s="7"/>
      <c r="Y40" s="7"/>
      <c r="Z40" s="7"/>
      <c r="AA40" s="7"/>
      <c r="AB40" s="7"/>
    </row>
    <row r="41" spans="1:28">
      <c r="A41" s="7"/>
      <c r="B41" s="7"/>
      <c r="C41" s="7"/>
      <c r="D41" s="7"/>
      <c r="F41" s="7"/>
      <c r="H41" s="7"/>
      <c r="I41" s="7"/>
      <c r="J41" s="7"/>
      <c r="K41" s="7"/>
      <c r="L41" s="7"/>
      <c r="M41" s="7"/>
      <c r="N41" s="7"/>
      <c r="O41" s="7"/>
      <c r="P41" s="7"/>
      <c r="Q41" s="7"/>
      <c r="R41" s="7"/>
      <c r="S41" s="7"/>
      <c r="T41" s="7"/>
      <c r="U41" s="7"/>
      <c r="V41" s="7"/>
      <c r="W41" s="7"/>
      <c r="X41" s="7"/>
      <c r="Y41" s="7"/>
      <c r="Z41" s="7"/>
      <c r="AA41" s="7"/>
      <c r="AB41" s="7"/>
    </row>
    <row r="42" spans="1:28">
      <c r="A42" s="7"/>
      <c r="B42" s="7"/>
      <c r="C42" s="7"/>
      <c r="D42" s="7"/>
      <c r="F42" s="7"/>
      <c r="H42" s="7"/>
      <c r="I42" s="7"/>
      <c r="J42" s="7"/>
      <c r="K42" s="7"/>
      <c r="L42" s="7"/>
      <c r="M42" s="7"/>
      <c r="N42" s="7"/>
      <c r="O42" s="7"/>
      <c r="P42" s="7"/>
      <c r="Q42" s="7"/>
      <c r="R42" s="7"/>
      <c r="S42" s="7"/>
      <c r="T42" s="7"/>
      <c r="U42" s="7"/>
      <c r="V42" s="7"/>
      <c r="W42" s="7"/>
      <c r="X42" s="7"/>
      <c r="Y42" s="7"/>
      <c r="Z42" s="7"/>
      <c r="AA42" s="7"/>
      <c r="AB42" s="7"/>
    </row>
    <row r="43" spans="1:28">
      <c r="A43" s="7"/>
      <c r="B43" s="7"/>
      <c r="C43" s="7"/>
      <c r="D43" s="7"/>
      <c r="F43" s="7"/>
      <c r="H43" s="7"/>
      <c r="I43" s="7"/>
      <c r="J43" s="7"/>
      <c r="K43" s="7"/>
      <c r="L43" s="7"/>
      <c r="M43" s="7"/>
      <c r="N43" s="7"/>
      <c r="O43" s="7"/>
      <c r="P43" s="7"/>
      <c r="Q43" s="7"/>
      <c r="R43" s="7"/>
      <c r="S43" s="7"/>
      <c r="T43" s="7"/>
      <c r="U43" s="7"/>
      <c r="V43" s="7"/>
      <c r="W43" s="7"/>
      <c r="X43" s="7"/>
      <c r="Y43" s="7"/>
      <c r="Z43" s="7"/>
      <c r="AA43" s="7"/>
      <c r="AB43" s="7"/>
    </row>
  </sheetData>
  <mergeCells count="11">
    <mergeCell ref="H14:J14"/>
    <mergeCell ref="B2:J5"/>
    <mergeCell ref="B6:J6"/>
    <mergeCell ref="B7:J7"/>
    <mergeCell ref="B8:J8"/>
    <mergeCell ref="B10:J10"/>
    <mergeCell ref="E11:E14"/>
    <mergeCell ref="G11:G14"/>
    <mergeCell ref="H11:J11"/>
    <mergeCell ref="H12:J12"/>
    <mergeCell ref="H13:J13"/>
  </mergeCells>
  <conditionalFormatting sqref="H12:H14 D12:D14 F12:F14">
    <cfRule type="containsText" dxfId="2" priority="1" operator="containsText" text="NO CUMPLE">
      <formula>NOT(ISERROR(SEARCH("NO CUMPLE",D12)))</formula>
    </cfRule>
  </conditionalFormatting>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B17AC-D8CF-414B-842E-8807BC1E26AB}">
  <sheetPr>
    <tabColor rgb="FF993366"/>
  </sheetPr>
  <dimension ref="A1:AB43"/>
  <sheetViews>
    <sheetView zoomScale="115" zoomScaleNormal="115" workbookViewId="0">
      <selection activeCell="B10" sqref="B10:J10"/>
    </sheetView>
  </sheetViews>
  <sheetFormatPr baseColWidth="10" defaultColWidth="9.140625" defaultRowHeight="16.5"/>
  <cols>
    <col min="1" max="1" width="2.7109375" style="1" customWidth="1"/>
    <col min="2" max="2" width="4.140625" style="1" bestFit="1" customWidth="1"/>
    <col min="3" max="3" width="35.42578125" style="1" bestFit="1" customWidth="1"/>
    <col min="4" max="4" width="20" style="1" bestFit="1" customWidth="1"/>
    <col min="5" max="5" width="0.85546875" style="1" customWidth="1"/>
    <col min="6" max="6" width="12.7109375" style="1" customWidth="1"/>
    <col min="7" max="7" width="0.85546875" style="1" customWidth="1"/>
    <col min="8" max="8" width="12.85546875" style="1" customWidth="1"/>
    <col min="9" max="9" width="12" style="1" customWidth="1"/>
    <col min="10" max="10" width="13.7109375" style="1" customWidth="1"/>
    <col min="11" max="16384" width="9.140625" style="1"/>
  </cols>
  <sheetData>
    <row r="1" spans="1:28" ht="5.25" customHeight="1">
      <c r="A1" s="7"/>
      <c r="B1" s="7"/>
      <c r="C1" s="7"/>
      <c r="D1" s="7"/>
      <c r="E1" s="7"/>
      <c r="F1" s="7"/>
      <c r="G1" s="7"/>
      <c r="H1" s="7"/>
      <c r="I1" s="7"/>
      <c r="J1" s="7"/>
      <c r="K1" s="7"/>
      <c r="L1" s="7"/>
      <c r="M1" s="7"/>
      <c r="N1" s="7"/>
      <c r="O1" s="7"/>
      <c r="P1" s="7"/>
      <c r="Q1" s="7"/>
      <c r="R1" s="7"/>
      <c r="S1" s="7"/>
      <c r="T1" s="7"/>
      <c r="U1" s="7"/>
      <c r="V1" s="7"/>
      <c r="W1" s="7"/>
      <c r="X1" s="7"/>
      <c r="Y1" s="7"/>
      <c r="Z1" s="7"/>
      <c r="AA1" s="7"/>
      <c r="AB1" s="7"/>
    </row>
    <row r="2" spans="1:28">
      <c r="A2" s="7"/>
      <c r="B2" s="187" t="s">
        <v>104</v>
      </c>
      <c r="C2" s="188"/>
      <c r="D2" s="188"/>
      <c r="E2" s="188"/>
      <c r="F2" s="188"/>
      <c r="G2" s="188"/>
      <c r="H2" s="188"/>
      <c r="I2" s="188"/>
      <c r="J2" s="188"/>
      <c r="K2" s="7"/>
      <c r="L2" s="7"/>
      <c r="M2" s="7"/>
      <c r="N2" s="7"/>
      <c r="O2" s="7"/>
      <c r="P2" s="7"/>
      <c r="Q2" s="7"/>
      <c r="R2" s="7"/>
      <c r="S2" s="7"/>
      <c r="T2" s="7"/>
      <c r="U2" s="7"/>
      <c r="V2" s="7"/>
      <c r="W2" s="7"/>
      <c r="X2" s="7"/>
      <c r="Y2" s="7"/>
      <c r="Z2" s="7"/>
      <c r="AA2" s="7"/>
      <c r="AB2" s="7"/>
    </row>
    <row r="3" spans="1:28">
      <c r="A3" s="7"/>
      <c r="B3" s="188"/>
      <c r="C3" s="188"/>
      <c r="D3" s="188"/>
      <c r="E3" s="188"/>
      <c r="F3" s="188"/>
      <c r="G3" s="188"/>
      <c r="H3" s="188"/>
      <c r="I3" s="188"/>
      <c r="J3" s="188"/>
      <c r="K3" s="7"/>
      <c r="L3" s="7"/>
      <c r="M3" s="7"/>
      <c r="N3" s="7"/>
      <c r="O3" s="7"/>
      <c r="P3" s="7"/>
      <c r="Q3" s="7"/>
      <c r="R3" s="7"/>
      <c r="S3" s="7"/>
      <c r="T3" s="7"/>
      <c r="U3" s="7"/>
      <c r="V3" s="7"/>
      <c r="W3" s="7"/>
      <c r="X3" s="7"/>
      <c r="Y3" s="7"/>
      <c r="Z3" s="7"/>
      <c r="AA3" s="7"/>
      <c r="AB3" s="7"/>
    </row>
    <row r="4" spans="1:28">
      <c r="A4" s="7"/>
      <c r="B4" s="188"/>
      <c r="C4" s="188"/>
      <c r="D4" s="188"/>
      <c r="E4" s="188"/>
      <c r="F4" s="188"/>
      <c r="G4" s="188"/>
      <c r="H4" s="188"/>
      <c r="I4" s="188"/>
      <c r="J4" s="188"/>
      <c r="K4" s="7"/>
      <c r="L4" s="7"/>
      <c r="M4" s="7"/>
      <c r="N4" s="7"/>
      <c r="O4" s="7"/>
      <c r="P4" s="7"/>
      <c r="Q4" s="7"/>
      <c r="R4" s="7"/>
      <c r="S4" s="7"/>
      <c r="T4" s="7"/>
      <c r="U4" s="7"/>
      <c r="V4" s="7"/>
      <c r="W4" s="7"/>
      <c r="X4" s="7"/>
      <c r="Y4" s="7"/>
      <c r="Z4" s="7"/>
      <c r="AA4" s="7"/>
      <c r="AB4" s="7"/>
    </row>
    <row r="5" spans="1:28">
      <c r="A5" s="7"/>
      <c r="B5" s="188"/>
      <c r="C5" s="188"/>
      <c r="D5" s="188"/>
      <c r="E5" s="188"/>
      <c r="F5" s="188"/>
      <c r="G5" s="188"/>
      <c r="H5" s="188"/>
      <c r="I5" s="188"/>
      <c r="J5" s="188"/>
      <c r="K5" s="7"/>
      <c r="L5" s="7"/>
      <c r="M5" s="7"/>
      <c r="N5" s="7"/>
      <c r="O5" s="7"/>
      <c r="P5" s="7"/>
      <c r="Q5" s="7"/>
      <c r="R5" s="7"/>
      <c r="S5" s="7"/>
      <c r="T5" s="7"/>
      <c r="U5" s="7"/>
      <c r="V5" s="7"/>
      <c r="W5" s="7"/>
      <c r="X5" s="7"/>
      <c r="Y5" s="7"/>
      <c r="Z5" s="7"/>
      <c r="AA5" s="7"/>
      <c r="AB5" s="7"/>
    </row>
    <row r="6" spans="1:28" ht="37.5" customHeight="1">
      <c r="A6" s="7"/>
      <c r="B6" s="187" t="str">
        <f>'RESUMEN P1'!B6</f>
        <v>REALIZAR EL SUMINISTRO E INSTALACIÓN DE LOS SISTEMAS DE AYUDAS VISUALES Y SUS OBRAS
COMPLEMENTARIAS PARA EL AEROPUERTO PERALES DE IBAGUÉ, TOLIMA (VF)</v>
      </c>
      <c r="C6" s="188"/>
      <c r="D6" s="188"/>
      <c r="E6" s="188"/>
      <c r="F6" s="188"/>
      <c r="G6" s="188"/>
      <c r="H6" s="188"/>
      <c r="I6" s="188"/>
      <c r="J6" s="188"/>
      <c r="K6" s="7"/>
      <c r="L6" s="7"/>
      <c r="M6" s="7"/>
      <c r="N6" s="7"/>
      <c r="O6" s="7"/>
      <c r="P6" s="7"/>
      <c r="Q6" s="7"/>
      <c r="R6" s="7"/>
      <c r="S6" s="7"/>
      <c r="T6" s="7"/>
      <c r="U6" s="7"/>
      <c r="V6" s="7"/>
      <c r="W6" s="7"/>
      <c r="X6" s="7"/>
      <c r="Y6" s="7"/>
      <c r="Z6" s="7"/>
      <c r="AA6" s="7"/>
      <c r="AB6" s="7"/>
    </row>
    <row r="7" spans="1:28">
      <c r="A7" s="7"/>
      <c r="B7" s="187" t="str">
        <f>'RESUMEN P1'!B7</f>
        <v>PROCESO DE LICITACIÓN PÚBLICA 24001224 H1 2024</v>
      </c>
      <c r="C7" s="187"/>
      <c r="D7" s="187"/>
      <c r="E7" s="187"/>
      <c r="F7" s="187"/>
      <c r="G7" s="187"/>
      <c r="H7" s="187"/>
      <c r="I7" s="187"/>
      <c r="J7" s="187"/>
      <c r="K7" s="7"/>
      <c r="L7" s="7"/>
      <c r="M7" s="7"/>
      <c r="N7" s="7"/>
      <c r="O7" s="7"/>
      <c r="P7" s="7"/>
      <c r="Q7" s="7"/>
      <c r="R7" s="7"/>
      <c r="S7" s="7"/>
      <c r="T7" s="7"/>
      <c r="U7" s="7"/>
      <c r="V7" s="7"/>
      <c r="W7" s="7"/>
      <c r="X7" s="7"/>
      <c r="Y7" s="7"/>
      <c r="Z7" s="7"/>
      <c r="AA7" s="7"/>
      <c r="AB7" s="7"/>
    </row>
    <row r="8" spans="1:28" ht="37.5" customHeight="1">
      <c r="A8" s="7"/>
      <c r="B8" s="189" t="s">
        <v>273</v>
      </c>
      <c r="C8" s="189"/>
      <c r="D8" s="189"/>
      <c r="E8" s="189"/>
      <c r="F8" s="189"/>
      <c r="G8" s="189"/>
      <c r="H8" s="189"/>
      <c r="I8" s="189"/>
      <c r="J8" s="189"/>
      <c r="K8" s="7"/>
      <c r="L8" s="7"/>
      <c r="M8" s="7"/>
      <c r="N8" s="7"/>
      <c r="O8" s="7"/>
      <c r="P8" s="7"/>
      <c r="Q8" s="7"/>
      <c r="R8" s="7"/>
      <c r="S8" s="7"/>
      <c r="T8" s="7"/>
      <c r="U8" s="7"/>
      <c r="V8" s="7"/>
      <c r="W8" s="7"/>
      <c r="X8" s="7"/>
      <c r="Y8" s="7"/>
      <c r="Z8" s="7"/>
      <c r="AA8" s="7"/>
      <c r="AB8" s="7"/>
    </row>
    <row r="9" spans="1:28">
      <c r="A9" s="7"/>
      <c r="B9" s="7"/>
      <c r="C9" s="7"/>
      <c r="D9" s="7"/>
      <c r="E9" s="7"/>
      <c r="F9" s="7"/>
      <c r="G9" s="7"/>
      <c r="H9" s="7"/>
      <c r="I9" s="7"/>
      <c r="J9" s="7"/>
      <c r="K9" s="7"/>
      <c r="L9" s="7"/>
      <c r="M9" s="7"/>
      <c r="N9" s="7"/>
      <c r="O9" s="7"/>
      <c r="P9" s="7"/>
      <c r="Q9" s="7"/>
      <c r="R9" s="7"/>
      <c r="S9" s="7"/>
      <c r="T9" s="7"/>
      <c r="U9" s="7"/>
      <c r="V9" s="7"/>
      <c r="W9" s="7"/>
      <c r="X9" s="7"/>
      <c r="Y9" s="7"/>
      <c r="Z9" s="7"/>
      <c r="AA9" s="7"/>
      <c r="AB9" s="7"/>
    </row>
    <row r="10" spans="1:28">
      <c r="A10" s="7"/>
      <c r="B10" s="324" t="s">
        <v>111</v>
      </c>
      <c r="C10" s="324"/>
      <c r="D10" s="324"/>
      <c r="E10" s="324"/>
      <c r="F10" s="324"/>
      <c r="G10" s="324"/>
      <c r="H10" s="324"/>
      <c r="I10" s="324"/>
      <c r="J10" s="324"/>
      <c r="K10" s="7"/>
      <c r="L10" s="7"/>
      <c r="M10" s="7"/>
      <c r="N10" s="7"/>
      <c r="O10" s="7"/>
      <c r="P10" s="7"/>
      <c r="Q10" s="7"/>
      <c r="R10" s="7"/>
      <c r="S10" s="7"/>
      <c r="T10" s="7"/>
      <c r="U10" s="7"/>
      <c r="V10" s="7"/>
      <c r="W10" s="7"/>
      <c r="X10" s="7"/>
      <c r="Y10" s="7"/>
      <c r="Z10" s="7"/>
      <c r="AA10" s="7"/>
      <c r="AB10" s="7"/>
    </row>
    <row r="11" spans="1:28" ht="27">
      <c r="A11" s="7"/>
      <c r="B11" s="70" t="s">
        <v>1</v>
      </c>
      <c r="C11" s="70" t="s">
        <v>2</v>
      </c>
      <c r="D11" s="75" t="s">
        <v>113</v>
      </c>
      <c r="E11" s="325"/>
      <c r="F11" s="75" t="s">
        <v>32</v>
      </c>
      <c r="G11" s="325"/>
      <c r="H11" s="327" t="s">
        <v>0</v>
      </c>
      <c r="I11" s="328"/>
      <c r="J11" s="329"/>
      <c r="K11" s="7"/>
      <c r="L11" s="7"/>
      <c r="M11" s="7"/>
      <c r="N11" s="7"/>
      <c r="O11" s="7"/>
      <c r="P11" s="7"/>
      <c r="Q11" s="7"/>
      <c r="R11" s="7"/>
      <c r="S11" s="7"/>
      <c r="T11" s="7"/>
      <c r="U11" s="7"/>
      <c r="V11" s="7"/>
      <c r="W11" s="7"/>
      <c r="X11" s="7"/>
      <c r="Y11" s="7"/>
      <c r="Z11" s="7"/>
      <c r="AA11" s="7"/>
      <c r="AB11" s="7"/>
    </row>
    <row r="12" spans="1:28">
      <c r="A12" s="7"/>
      <c r="B12" s="66">
        <v>1</v>
      </c>
      <c r="C12" s="30" t="str">
        <f>'RESUMEN P1'!C11</f>
        <v>SKYTECH</v>
      </c>
      <c r="D12" s="76" t="str">
        <f>'1'!$M$67</f>
        <v>CUMPLE</v>
      </c>
      <c r="E12" s="326"/>
      <c r="F12" s="76">
        <f>'1'!$O$67</f>
        <v>0.25</v>
      </c>
      <c r="G12" s="326"/>
      <c r="H12" s="333"/>
      <c r="I12" s="334"/>
      <c r="J12" s="335"/>
      <c r="K12" s="7"/>
      <c r="L12" s="7"/>
      <c r="M12" s="7"/>
      <c r="N12" s="7"/>
      <c r="O12" s="7"/>
      <c r="P12" s="7"/>
      <c r="Q12" s="7"/>
      <c r="R12" s="7"/>
      <c r="S12" s="7"/>
      <c r="T12" s="7"/>
      <c r="U12" s="7"/>
      <c r="V12" s="7"/>
      <c r="W12" s="7"/>
      <c r="X12" s="7"/>
      <c r="Y12" s="7"/>
      <c r="Z12" s="7"/>
      <c r="AA12" s="7"/>
      <c r="AB12" s="7"/>
    </row>
    <row r="13" spans="1:28">
      <c r="A13" s="7"/>
      <c r="B13" s="73">
        <v>2</v>
      </c>
      <c r="C13" s="30" t="str">
        <f>'RESUMEN P1'!C12</f>
        <v>RAPIDEXXUS</v>
      </c>
      <c r="D13" s="76" t="str">
        <f>'2'!$M$67</f>
        <v>CUMPLE</v>
      </c>
      <c r="E13" s="326"/>
      <c r="F13" s="76">
        <f>'2'!$O$67</f>
        <v>0.25</v>
      </c>
      <c r="G13" s="326"/>
      <c r="H13" s="330"/>
      <c r="I13" s="331"/>
      <c r="J13" s="332"/>
      <c r="K13" s="7"/>
      <c r="L13" s="7"/>
      <c r="M13" s="7"/>
      <c r="N13" s="7"/>
      <c r="O13" s="7"/>
      <c r="P13" s="7"/>
      <c r="Q13" s="7"/>
      <c r="R13" s="7"/>
      <c r="S13" s="7"/>
      <c r="T13" s="7"/>
      <c r="U13" s="7"/>
      <c r="V13" s="7"/>
      <c r="W13" s="7"/>
      <c r="X13" s="7"/>
      <c r="Y13" s="7"/>
      <c r="Z13" s="7"/>
      <c r="AA13" s="7"/>
      <c r="AB13" s="7"/>
    </row>
    <row r="14" spans="1:28">
      <c r="A14" s="7"/>
      <c r="B14" s="66">
        <v>3</v>
      </c>
      <c r="C14" s="30" t="str">
        <f>'RESUMEN P1'!C13</f>
        <v>CONSORCIO ILUMINACIÓN IBE24</v>
      </c>
      <c r="D14" s="76" t="str">
        <f>'3'!$M$67</f>
        <v>CUMPLE</v>
      </c>
      <c r="E14" s="326"/>
      <c r="F14" s="76">
        <f>'3'!$O$67</f>
        <v>0.25</v>
      </c>
      <c r="G14" s="326"/>
      <c r="H14" s="330"/>
      <c r="I14" s="331"/>
      <c r="J14" s="332"/>
      <c r="K14" s="7"/>
      <c r="L14" s="7"/>
      <c r="M14" s="7"/>
      <c r="N14" s="7"/>
      <c r="O14" s="7"/>
      <c r="P14" s="7"/>
      <c r="Q14" s="7"/>
      <c r="R14" s="7"/>
      <c r="S14" s="7"/>
      <c r="T14" s="7"/>
      <c r="U14" s="7"/>
      <c r="V14" s="7"/>
      <c r="W14" s="7"/>
      <c r="X14" s="7"/>
      <c r="Y14" s="7"/>
      <c r="Z14" s="7"/>
      <c r="AA14" s="7"/>
      <c r="AB14" s="7"/>
    </row>
    <row r="15" spans="1:28">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row>
    <row r="16" spans="1:28">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row>
    <row r="17" spans="1:28">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row>
    <row r="18" spans="1:28">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row>
    <row r="19" spans="1:28">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row>
    <row r="20" spans="1:28">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row>
    <row r="21" spans="1:28">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row>
    <row r="22" spans="1:28">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row>
    <row r="23" spans="1:28">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row>
    <row r="24" spans="1:28">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row>
    <row r="25" spans="1:28">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row>
    <row r="26" spans="1:28">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row>
    <row r="27" spans="1:28">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row>
    <row r="28" spans="1:28">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row>
    <row r="29" spans="1:28">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row>
    <row r="30" spans="1:28">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row>
    <row r="31" spans="1:28">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row>
    <row r="32" spans="1:28">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row>
    <row r="33" spans="1:28">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row>
    <row r="34" spans="1:28">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row>
    <row r="35" spans="1:28">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row>
    <row r="36" spans="1:28">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row>
    <row r="37" spans="1:28">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row>
    <row r="38" spans="1:28">
      <c r="A38" s="7"/>
      <c r="B38" s="7"/>
      <c r="C38" s="7"/>
      <c r="D38" s="7"/>
      <c r="F38" s="7"/>
      <c r="H38" s="7"/>
      <c r="I38" s="7"/>
      <c r="J38" s="7"/>
      <c r="K38" s="7"/>
      <c r="L38" s="7"/>
      <c r="M38" s="7"/>
      <c r="N38" s="7"/>
      <c r="O38" s="7"/>
      <c r="P38" s="7"/>
      <c r="Q38" s="7"/>
      <c r="R38" s="7"/>
      <c r="S38" s="7"/>
      <c r="T38" s="7"/>
      <c r="U38" s="7"/>
      <c r="V38" s="7"/>
      <c r="W38" s="7"/>
      <c r="X38" s="7"/>
      <c r="Y38" s="7"/>
      <c r="Z38" s="7"/>
      <c r="AA38" s="7"/>
      <c r="AB38" s="7"/>
    </row>
    <row r="39" spans="1:28">
      <c r="A39" s="7"/>
      <c r="B39" s="7"/>
      <c r="C39" s="7"/>
      <c r="D39" s="7"/>
      <c r="F39" s="7"/>
      <c r="H39" s="7"/>
      <c r="I39" s="7"/>
      <c r="J39" s="7"/>
      <c r="K39" s="7"/>
      <c r="L39" s="7"/>
      <c r="M39" s="7"/>
      <c r="N39" s="7"/>
      <c r="O39" s="7"/>
      <c r="P39" s="7"/>
      <c r="Q39" s="7"/>
      <c r="R39" s="7"/>
      <c r="S39" s="7"/>
      <c r="T39" s="7"/>
      <c r="U39" s="7"/>
      <c r="V39" s="7"/>
      <c r="W39" s="7"/>
      <c r="X39" s="7"/>
      <c r="Y39" s="7"/>
      <c r="Z39" s="7"/>
      <c r="AA39" s="7"/>
      <c r="AB39" s="7"/>
    </row>
    <row r="40" spans="1:28">
      <c r="A40" s="7"/>
      <c r="B40" s="7"/>
      <c r="C40" s="7"/>
      <c r="D40" s="7"/>
      <c r="F40" s="7"/>
      <c r="H40" s="7"/>
      <c r="I40" s="7"/>
      <c r="J40" s="7"/>
      <c r="K40" s="7"/>
      <c r="L40" s="7"/>
      <c r="M40" s="7"/>
      <c r="N40" s="7"/>
      <c r="O40" s="7"/>
      <c r="P40" s="7"/>
      <c r="Q40" s="7"/>
      <c r="R40" s="7"/>
      <c r="S40" s="7"/>
      <c r="T40" s="7"/>
      <c r="U40" s="7"/>
      <c r="V40" s="7"/>
      <c r="W40" s="7"/>
      <c r="X40" s="7"/>
      <c r="Y40" s="7"/>
      <c r="Z40" s="7"/>
      <c r="AA40" s="7"/>
      <c r="AB40" s="7"/>
    </row>
    <row r="41" spans="1:28">
      <c r="A41" s="7"/>
      <c r="B41" s="7"/>
      <c r="C41" s="7"/>
      <c r="D41" s="7"/>
      <c r="F41" s="7"/>
      <c r="H41" s="7"/>
      <c r="I41" s="7"/>
      <c r="J41" s="7"/>
      <c r="K41" s="7"/>
      <c r="L41" s="7"/>
      <c r="M41" s="7"/>
      <c r="N41" s="7"/>
      <c r="O41" s="7"/>
      <c r="P41" s="7"/>
      <c r="Q41" s="7"/>
      <c r="R41" s="7"/>
      <c r="S41" s="7"/>
      <c r="T41" s="7"/>
      <c r="U41" s="7"/>
      <c r="V41" s="7"/>
      <c r="W41" s="7"/>
      <c r="X41" s="7"/>
      <c r="Y41" s="7"/>
      <c r="Z41" s="7"/>
      <c r="AA41" s="7"/>
      <c r="AB41" s="7"/>
    </row>
    <row r="42" spans="1:28">
      <c r="A42" s="7"/>
      <c r="B42" s="7"/>
      <c r="C42" s="7"/>
      <c r="D42" s="7"/>
      <c r="F42" s="7"/>
      <c r="H42" s="7"/>
      <c r="I42" s="7"/>
      <c r="J42" s="7"/>
      <c r="K42" s="7"/>
      <c r="L42" s="7"/>
      <c r="M42" s="7"/>
      <c r="N42" s="7"/>
      <c r="O42" s="7"/>
      <c r="P42" s="7"/>
      <c r="Q42" s="7"/>
      <c r="R42" s="7"/>
      <c r="S42" s="7"/>
      <c r="T42" s="7"/>
      <c r="U42" s="7"/>
      <c r="V42" s="7"/>
      <c r="W42" s="7"/>
      <c r="X42" s="7"/>
      <c r="Y42" s="7"/>
      <c r="Z42" s="7"/>
      <c r="AA42" s="7"/>
      <c r="AB42" s="7"/>
    </row>
    <row r="43" spans="1:28">
      <c r="A43" s="7"/>
      <c r="B43" s="7"/>
      <c r="C43" s="7"/>
      <c r="D43" s="7"/>
      <c r="F43" s="7"/>
      <c r="H43" s="7"/>
      <c r="I43" s="7"/>
      <c r="J43" s="7"/>
      <c r="K43" s="7"/>
      <c r="L43" s="7"/>
      <c r="M43" s="7"/>
      <c r="N43" s="7"/>
      <c r="O43" s="7"/>
      <c r="P43" s="7"/>
      <c r="Q43" s="7"/>
      <c r="R43" s="7"/>
      <c r="S43" s="7"/>
      <c r="T43" s="7"/>
      <c r="U43" s="7"/>
      <c r="V43" s="7"/>
      <c r="W43" s="7"/>
      <c r="X43" s="7"/>
      <c r="Y43" s="7"/>
      <c r="Z43" s="7"/>
      <c r="AA43" s="7"/>
      <c r="AB43" s="7"/>
    </row>
  </sheetData>
  <mergeCells count="11">
    <mergeCell ref="H14:J14"/>
    <mergeCell ref="B2:J5"/>
    <mergeCell ref="B6:J6"/>
    <mergeCell ref="B7:J7"/>
    <mergeCell ref="B8:J8"/>
    <mergeCell ref="B10:J10"/>
    <mergeCell ref="E11:E14"/>
    <mergeCell ref="G11:G14"/>
    <mergeCell ref="H11:J11"/>
    <mergeCell ref="H12:J12"/>
    <mergeCell ref="H13:J13"/>
  </mergeCells>
  <conditionalFormatting sqref="H12:H14 D12:D14 F12:F14">
    <cfRule type="containsText" dxfId="1" priority="1" operator="containsText" text="NO CUMPLE">
      <formula>NOT(ISERROR(SEARCH("NO CUMPLE",D12)))</formula>
    </cfRule>
  </conditionalFormatting>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1A731-F1AB-44DA-8C98-82F588AD218A}">
  <sheetPr>
    <tabColor rgb="FF993366"/>
  </sheetPr>
  <dimension ref="A1:AB43"/>
  <sheetViews>
    <sheetView zoomScale="115" zoomScaleNormal="115" workbookViewId="0">
      <selection activeCell="B8" sqref="B8:J8"/>
    </sheetView>
  </sheetViews>
  <sheetFormatPr baseColWidth="10" defaultColWidth="9.140625" defaultRowHeight="16.5"/>
  <cols>
    <col min="1" max="1" width="2.7109375" style="1" customWidth="1"/>
    <col min="2" max="2" width="4.140625" style="1" bestFit="1" customWidth="1"/>
    <col min="3" max="3" width="35.42578125" style="1" bestFit="1" customWidth="1"/>
    <col min="4" max="4" width="12.7109375" style="1" customWidth="1"/>
    <col min="5" max="5" width="0.85546875" style="1" customWidth="1"/>
    <col min="6" max="6" width="12.7109375" style="1" customWidth="1"/>
    <col min="7" max="7" width="0.85546875" style="1" customWidth="1"/>
    <col min="8" max="8" width="12.85546875" style="1" customWidth="1"/>
    <col min="9" max="9" width="12" style="1" customWidth="1"/>
    <col min="10" max="10" width="13.7109375" style="1" customWidth="1"/>
    <col min="11" max="12" width="9.140625" style="1"/>
    <col min="13" max="13" width="12" style="1" bestFit="1" customWidth="1"/>
    <col min="14" max="14" width="18.7109375" style="1" bestFit="1" customWidth="1"/>
    <col min="15" max="15" width="9.140625" style="1"/>
    <col min="16" max="16" width="17.5703125" style="1" bestFit="1" customWidth="1"/>
    <col min="17" max="16384" width="9.140625" style="1"/>
  </cols>
  <sheetData>
    <row r="1" spans="1:28" ht="5.25" customHeight="1">
      <c r="A1" s="7"/>
      <c r="B1" s="7"/>
      <c r="C1" s="7"/>
      <c r="D1" s="7"/>
      <c r="E1" s="7"/>
      <c r="F1" s="7"/>
      <c r="G1" s="7"/>
      <c r="H1" s="7"/>
      <c r="I1" s="7"/>
      <c r="J1" s="7"/>
      <c r="K1" s="7"/>
      <c r="L1" s="7"/>
      <c r="M1" s="7"/>
      <c r="N1" s="7"/>
      <c r="O1" s="7"/>
      <c r="P1" s="7"/>
      <c r="Q1" s="7"/>
      <c r="R1" s="7"/>
      <c r="S1" s="7"/>
      <c r="T1" s="7"/>
      <c r="U1" s="7"/>
      <c r="V1" s="7"/>
      <c r="W1" s="7"/>
      <c r="X1" s="7"/>
      <c r="Y1" s="7"/>
      <c r="Z1" s="7"/>
      <c r="AA1" s="7"/>
      <c r="AB1" s="7"/>
    </row>
    <row r="2" spans="1:28">
      <c r="A2" s="7"/>
      <c r="B2" s="187" t="s">
        <v>104</v>
      </c>
      <c r="C2" s="188"/>
      <c r="D2" s="188"/>
      <c r="E2" s="188"/>
      <c r="F2" s="188"/>
      <c r="G2" s="188"/>
      <c r="H2" s="188"/>
      <c r="I2" s="188"/>
      <c r="J2" s="188"/>
      <c r="K2" s="7"/>
      <c r="L2" s="7"/>
      <c r="M2" s="7"/>
      <c r="N2" s="7"/>
      <c r="O2" s="7"/>
      <c r="P2" s="7"/>
      <c r="Q2" s="7"/>
      <c r="R2" s="7"/>
      <c r="S2" s="7"/>
      <c r="T2" s="7"/>
      <c r="U2" s="7"/>
      <c r="V2" s="7"/>
      <c r="W2" s="7"/>
      <c r="X2" s="7"/>
      <c r="Y2" s="7"/>
      <c r="Z2" s="7"/>
      <c r="AA2" s="7"/>
      <c r="AB2" s="7"/>
    </row>
    <row r="3" spans="1:28">
      <c r="A3" s="7"/>
      <c r="B3" s="188"/>
      <c r="C3" s="188"/>
      <c r="D3" s="188"/>
      <c r="E3" s="188"/>
      <c r="F3" s="188"/>
      <c r="G3" s="188"/>
      <c r="H3" s="188"/>
      <c r="I3" s="188"/>
      <c r="J3" s="188"/>
      <c r="K3" s="7"/>
      <c r="L3" s="7"/>
      <c r="M3" s="7"/>
      <c r="N3" s="7"/>
      <c r="O3" s="7"/>
      <c r="P3" s="7"/>
      <c r="Q3" s="7"/>
      <c r="R3" s="7"/>
      <c r="S3" s="7"/>
      <c r="T3" s="7"/>
      <c r="U3" s="7"/>
      <c r="V3" s="7"/>
      <c r="W3" s="7"/>
      <c r="X3" s="7"/>
      <c r="Y3" s="7"/>
      <c r="Z3" s="7"/>
      <c r="AA3" s="7"/>
      <c r="AB3" s="7"/>
    </row>
    <row r="4" spans="1:28">
      <c r="A4" s="7"/>
      <c r="B4" s="188"/>
      <c r="C4" s="188"/>
      <c r="D4" s="188"/>
      <c r="E4" s="188"/>
      <c r="F4" s="188"/>
      <c r="G4" s="188"/>
      <c r="H4" s="188"/>
      <c r="I4" s="188"/>
      <c r="J4" s="188"/>
      <c r="K4" s="7"/>
      <c r="L4" s="7"/>
      <c r="M4" s="7"/>
      <c r="N4" s="7"/>
      <c r="O4" s="7"/>
      <c r="P4" s="7"/>
      <c r="Q4" s="7"/>
      <c r="R4" s="7"/>
      <c r="S4" s="7"/>
      <c r="T4" s="7"/>
      <c r="U4" s="7"/>
      <c r="V4" s="7"/>
      <c r="W4" s="7"/>
      <c r="X4" s="7"/>
      <c r="Y4" s="7"/>
      <c r="Z4" s="7"/>
      <c r="AA4" s="7"/>
      <c r="AB4" s="7"/>
    </row>
    <row r="5" spans="1:28">
      <c r="A5" s="7"/>
      <c r="B5" s="188"/>
      <c r="C5" s="188"/>
      <c r="D5" s="188"/>
      <c r="E5" s="188"/>
      <c r="F5" s="188"/>
      <c r="G5" s="188"/>
      <c r="H5" s="188"/>
      <c r="I5" s="188"/>
      <c r="J5" s="188"/>
      <c r="K5" s="7"/>
      <c r="L5" s="7"/>
      <c r="M5" s="7"/>
      <c r="N5" s="7"/>
      <c r="O5" s="7"/>
      <c r="P5" s="7"/>
      <c r="Q5" s="7"/>
      <c r="R5" s="7"/>
      <c r="S5" s="7"/>
      <c r="T5" s="7"/>
      <c r="U5" s="7"/>
      <c r="V5" s="7"/>
      <c r="W5" s="7"/>
      <c r="X5" s="7"/>
      <c r="Y5" s="7"/>
      <c r="Z5" s="7"/>
      <c r="AA5" s="7"/>
      <c r="AB5" s="7"/>
    </row>
    <row r="6" spans="1:28" ht="37.5" customHeight="1">
      <c r="A6" s="7"/>
      <c r="B6" s="187" t="str">
        <f>'RESUMEN P1'!B6</f>
        <v>REALIZAR EL SUMINISTRO E INSTALACIÓN DE LOS SISTEMAS DE AYUDAS VISUALES Y SUS OBRAS
COMPLEMENTARIAS PARA EL AEROPUERTO PERALES DE IBAGUÉ, TOLIMA (VF)</v>
      </c>
      <c r="C6" s="188"/>
      <c r="D6" s="188"/>
      <c r="E6" s="188"/>
      <c r="F6" s="188"/>
      <c r="G6" s="188"/>
      <c r="H6" s="188"/>
      <c r="I6" s="188"/>
      <c r="J6" s="188"/>
      <c r="K6" s="7"/>
      <c r="L6" s="7"/>
      <c r="M6" s="7"/>
      <c r="N6" s="7"/>
      <c r="O6" s="7"/>
      <c r="P6" s="7"/>
      <c r="Q6" s="7"/>
      <c r="R6" s="7"/>
      <c r="S6" s="7"/>
      <c r="T6" s="7"/>
      <c r="U6" s="7"/>
      <c r="V6" s="7"/>
      <c r="W6" s="7"/>
      <c r="X6" s="7"/>
      <c r="Y6" s="7"/>
      <c r="Z6" s="7"/>
      <c r="AA6" s="7"/>
      <c r="AB6" s="7"/>
    </row>
    <row r="7" spans="1:28">
      <c r="A7" s="7"/>
      <c r="B7" s="187" t="str">
        <f>'RESUMEN P1'!B7</f>
        <v>PROCESO DE LICITACIÓN PÚBLICA 24001224 H1 2024</v>
      </c>
      <c r="C7" s="187"/>
      <c r="D7" s="187"/>
      <c r="E7" s="187"/>
      <c r="F7" s="187"/>
      <c r="G7" s="187"/>
      <c r="H7" s="187"/>
      <c r="I7" s="187"/>
      <c r="J7" s="187"/>
      <c r="K7" s="7"/>
      <c r="L7" s="7"/>
      <c r="M7" s="7"/>
      <c r="N7" s="7"/>
      <c r="O7" s="7"/>
      <c r="P7" s="7"/>
      <c r="Q7" s="7"/>
      <c r="R7" s="7"/>
      <c r="S7" s="7"/>
      <c r="T7" s="7"/>
      <c r="U7" s="7"/>
      <c r="V7" s="7"/>
      <c r="W7" s="7"/>
      <c r="X7" s="7"/>
      <c r="Y7" s="7"/>
      <c r="Z7" s="7"/>
      <c r="AA7" s="7"/>
      <c r="AB7" s="7"/>
    </row>
    <row r="8" spans="1:28" ht="37.5" customHeight="1">
      <c r="A8" s="7"/>
      <c r="B8" s="189" t="s">
        <v>273</v>
      </c>
      <c r="C8" s="189"/>
      <c r="D8" s="189"/>
      <c r="E8" s="189"/>
      <c r="F8" s="189"/>
      <c r="G8" s="189"/>
      <c r="H8" s="189"/>
      <c r="I8" s="189"/>
      <c r="J8" s="189"/>
      <c r="K8" s="7"/>
      <c r="L8" s="7"/>
      <c r="M8" s="7"/>
      <c r="N8" s="7"/>
      <c r="O8" s="7"/>
      <c r="P8" s="7"/>
      <c r="Q8" s="7"/>
      <c r="R8" s="7"/>
      <c r="S8" s="7"/>
      <c r="T8" s="7"/>
      <c r="U8" s="7"/>
      <c r="V8" s="7"/>
      <c r="W8" s="7"/>
      <c r="X8" s="7"/>
      <c r="Y8" s="7"/>
      <c r="Z8" s="7"/>
      <c r="AA8" s="7"/>
      <c r="AB8" s="7"/>
    </row>
    <row r="9" spans="1:28">
      <c r="A9" s="7"/>
      <c r="B9" s="7"/>
      <c r="C9" s="7"/>
      <c r="D9" s="7"/>
      <c r="E9" s="7"/>
      <c r="F9" s="7"/>
      <c r="G9" s="7"/>
      <c r="H9" s="7"/>
      <c r="I9" s="7"/>
      <c r="J9" s="7"/>
      <c r="K9" s="7"/>
      <c r="L9" s="7"/>
      <c r="M9" s="7"/>
      <c r="N9" s="7"/>
      <c r="O9" s="7"/>
      <c r="P9" s="7"/>
      <c r="Q9" s="7"/>
      <c r="R9" s="7"/>
      <c r="S9" s="7"/>
      <c r="T9" s="7"/>
      <c r="U9" s="7"/>
      <c r="V9" s="7"/>
      <c r="W9" s="7"/>
      <c r="X9" s="7"/>
      <c r="Y9" s="7"/>
      <c r="Z9" s="7"/>
      <c r="AA9" s="7"/>
      <c r="AB9" s="7"/>
    </row>
    <row r="10" spans="1:28">
      <c r="A10" s="7"/>
      <c r="B10" s="324" t="s">
        <v>112</v>
      </c>
      <c r="C10" s="324"/>
      <c r="D10" s="324"/>
      <c r="E10" s="324"/>
      <c r="F10" s="324"/>
      <c r="G10" s="324"/>
      <c r="H10" s="324"/>
      <c r="I10" s="324"/>
      <c r="J10" s="324"/>
      <c r="K10" s="7"/>
      <c r="L10" s="7"/>
      <c r="M10" s="7"/>
      <c r="N10" s="162"/>
      <c r="O10" s="7"/>
      <c r="P10" s="7"/>
      <c r="Q10" s="7"/>
      <c r="R10" s="7"/>
      <c r="S10" s="7"/>
      <c r="T10" s="7"/>
      <c r="U10" s="7"/>
      <c r="V10" s="7"/>
      <c r="W10" s="7"/>
      <c r="X10" s="7"/>
      <c r="Y10" s="7"/>
      <c r="Z10" s="7"/>
      <c r="AA10" s="7"/>
      <c r="AB10" s="7"/>
    </row>
    <row r="11" spans="1:28">
      <c r="A11" s="7"/>
      <c r="B11" s="70" t="s">
        <v>1</v>
      </c>
      <c r="C11" s="70" t="s">
        <v>2</v>
      </c>
      <c r="D11" s="70" t="s">
        <v>114</v>
      </c>
      <c r="E11" s="325"/>
      <c r="F11" s="70" t="s">
        <v>115</v>
      </c>
      <c r="G11" s="325"/>
      <c r="H11" s="327" t="s">
        <v>0</v>
      </c>
      <c r="I11" s="328"/>
      <c r="J11" s="329"/>
      <c r="K11" s="7"/>
      <c r="L11" s="7"/>
      <c r="M11" s="7"/>
      <c r="N11" s="7"/>
      <c r="O11" s="7"/>
      <c r="P11" s="7"/>
      <c r="Q11" s="7"/>
      <c r="R11" s="7"/>
      <c r="S11" s="7"/>
      <c r="T11" s="7"/>
      <c r="U11" s="7"/>
      <c r="V11" s="7"/>
      <c r="W11" s="7"/>
      <c r="X11" s="7"/>
      <c r="Y11" s="7"/>
      <c r="Z11" s="7"/>
      <c r="AA11" s="7"/>
      <c r="AB11" s="7"/>
    </row>
    <row r="12" spans="1:28">
      <c r="A12" s="7"/>
      <c r="B12" s="66">
        <v>1</v>
      </c>
      <c r="C12" s="30" t="str">
        <f>'RESUMEN P1'!C11</f>
        <v>SKYTECH</v>
      </c>
      <c r="D12" s="76" t="str">
        <f>'1'!$O$47</f>
        <v>CUMPLE</v>
      </c>
      <c r="E12" s="326"/>
      <c r="F12" s="151"/>
      <c r="G12" s="326"/>
      <c r="H12" s="333"/>
      <c r="I12" s="334"/>
      <c r="J12" s="335"/>
      <c r="K12" s="7"/>
      <c r="L12" s="7"/>
      <c r="M12" s="7"/>
      <c r="N12" s="7"/>
      <c r="O12" s="7"/>
      <c r="P12" s="7"/>
      <c r="Q12" s="7"/>
      <c r="R12" s="7"/>
      <c r="S12" s="7"/>
      <c r="T12" s="7"/>
      <c r="U12" s="7"/>
      <c r="V12" s="7"/>
      <c r="W12" s="7"/>
      <c r="X12" s="7"/>
      <c r="Y12" s="7"/>
      <c r="Z12" s="7"/>
      <c r="AA12" s="7"/>
      <c r="AB12" s="7"/>
    </row>
    <row r="13" spans="1:28">
      <c r="A13" s="7"/>
      <c r="B13" s="73">
        <v>2</v>
      </c>
      <c r="C13" s="30" t="str">
        <f>'RESUMEN P1'!C12</f>
        <v>RAPIDEXXUS</v>
      </c>
      <c r="D13" s="76" t="str">
        <f>'2'!$O$47</f>
        <v>CUMPLE</v>
      </c>
      <c r="E13" s="326"/>
      <c r="F13" s="151"/>
      <c r="G13" s="326"/>
      <c r="H13" s="333"/>
      <c r="I13" s="334"/>
      <c r="J13" s="335"/>
      <c r="K13" s="7"/>
      <c r="L13" s="7"/>
      <c r="M13" s="7"/>
      <c r="N13" s="7"/>
      <c r="O13" s="7"/>
      <c r="P13" s="7"/>
      <c r="Q13" s="7"/>
      <c r="R13" s="7"/>
      <c r="S13" s="7"/>
      <c r="T13" s="7"/>
      <c r="U13" s="7"/>
      <c r="V13" s="7"/>
      <c r="W13" s="7"/>
      <c r="X13" s="7"/>
      <c r="Y13" s="7"/>
      <c r="Z13" s="7"/>
      <c r="AA13" s="7"/>
      <c r="AB13" s="7"/>
    </row>
    <row r="14" spans="1:28">
      <c r="A14" s="7"/>
      <c r="B14" s="66">
        <v>3</v>
      </c>
      <c r="C14" s="30" t="str">
        <f>'RESUMEN P1'!C13</f>
        <v>CONSORCIO ILUMINACIÓN IBE24</v>
      </c>
      <c r="D14" s="76" t="str">
        <f>'3'!$O$47</f>
        <v>CUMPLE</v>
      </c>
      <c r="E14" s="326"/>
      <c r="F14" s="65"/>
      <c r="G14" s="326"/>
      <c r="H14" s="330"/>
      <c r="I14" s="331"/>
      <c r="J14" s="332"/>
      <c r="K14" s="7"/>
      <c r="L14" s="7"/>
      <c r="M14" s="7"/>
      <c r="N14" s="7"/>
      <c r="O14" s="7"/>
      <c r="P14" s="7"/>
      <c r="Q14" s="7"/>
      <c r="R14" s="7"/>
      <c r="S14" s="7"/>
      <c r="T14" s="7"/>
      <c r="U14" s="7"/>
      <c r="V14" s="7"/>
      <c r="W14" s="7"/>
      <c r="X14" s="7"/>
      <c r="Y14" s="7"/>
      <c r="Z14" s="7"/>
      <c r="AA14" s="7"/>
      <c r="AB14" s="7"/>
    </row>
    <row r="15" spans="1:28">
      <c r="A15" s="7"/>
      <c r="B15" s="7"/>
      <c r="C15" s="7"/>
      <c r="D15" s="7"/>
      <c r="E15" s="7"/>
      <c r="F15" s="7"/>
      <c r="G15" s="7"/>
      <c r="H15" s="7"/>
      <c r="I15" s="7"/>
      <c r="J15" s="7"/>
      <c r="K15" s="7"/>
      <c r="L15" s="7"/>
      <c r="M15" s="7"/>
      <c r="N15" s="7"/>
      <c r="O15" s="7"/>
      <c r="P15" s="7"/>
      <c r="Q15" s="7"/>
      <c r="R15" s="7"/>
      <c r="S15" s="7"/>
      <c r="T15" s="7"/>
      <c r="U15" s="7"/>
      <c r="V15" s="7"/>
      <c r="W15" s="7"/>
      <c r="X15" s="7"/>
      <c r="Y15" s="7"/>
      <c r="Z15" s="7"/>
      <c r="AA15" s="7"/>
      <c r="AB15" s="7"/>
    </row>
    <row r="16" spans="1:28">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row>
    <row r="17" spans="1:28">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row>
    <row r="18" spans="1:28">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row>
    <row r="19" spans="1:28">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row>
    <row r="20" spans="1:28">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row>
    <row r="21" spans="1:28">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row>
    <row r="22" spans="1:28">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row>
    <row r="23" spans="1:28">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row>
    <row r="24" spans="1:28">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row>
    <row r="25" spans="1:28">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row>
    <row r="26" spans="1:28">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row>
    <row r="27" spans="1:28">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row>
    <row r="28" spans="1:28">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row>
    <row r="29" spans="1:28">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row>
    <row r="30" spans="1:28">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row>
    <row r="31" spans="1:28">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row>
    <row r="32" spans="1:28">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row>
    <row r="33" spans="1:28">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row>
    <row r="34" spans="1:28">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row>
    <row r="35" spans="1:28">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row>
    <row r="36" spans="1:28">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row>
    <row r="37" spans="1:28">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row>
    <row r="38" spans="1:28">
      <c r="A38" s="7"/>
      <c r="B38" s="7"/>
      <c r="C38" s="7"/>
      <c r="D38" s="7"/>
      <c r="F38" s="7"/>
      <c r="H38" s="7"/>
      <c r="I38" s="7"/>
      <c r="J38" s="7"/>
      <c r="K38" s="7"/>
      <c r="L38" s="7"/>
      <c r="M38" s="7"/>
      <c r="N38" s="7"/>
      <c r="O38" s="7"/>
      <c r="P38" s="7"/>
      <c r="Q38" s="7"/>
      <c r="R38" s="7"/>
      <c r="S38" s="7"/>
      <c r="T38" s="7"/>
      <c r="U38" s="7"/>
      <c r="V38" s="7"/>
      <c r="W38" s="7"/>
      <c r="X38" s="7"/>
      <c r="Y38" s="7"/>
      <c r="Z38" s="7"/>
      <c r="AA38" s="7"/>
      <c r="AB38" s="7"/>
    </row>
    <row r="39" spans="1:28">
      <c r="A39" s="7"/>
      <c r="B39" s="7"/>
      <c r="C39" s="7"/>
      <c r="D39" s="7"/>
      <c r="F39" s="7"/>
      <c r="H39" s="7"/>
      <c r="I39" s="7"/>
      <c r="J39" s="7"/>
      <c r="K39" s="7"/>
      <c r="L39" s="7"/>
      <c r="M39" s="7"/>
      <c r="N39" s="7"/>
      <c r="O39" s="7"/>
      <c r="P39" s="7"/>
      <c r="Q39" s="7"/>
      <c r="R39" s="7"/>
      <c r="S39" s="7"/>
      <c r="T39" s="7"/>
      <c r="U39" s="7"/>
      <c r="V39" s="7"/>
      <c r="W39" s="7"/>
      <c r="X39" s="7"/>
      <c r="Y39" s="7"/>
      <c r="Z39" s="7"/>
      <c r="AA39" s="7"/>
      <c r="AB39" s="7"/>
    </row>
    <row r="40" spans="1:28">
      <c r="A40" s="7"/>
      <c r="B40" s="7"/>
      <c r="C40" s="7"/>
      <c r="D40" s="7"/>
      <c r="F40" s="7"/>
      <c r="H40" s="7"/>
      <c r="I40" s="7"/>
      <c r="J40" s="7"/>
      <c r="K40" s="7"/>
      <c r="L40" s="7"/>
      <c r="M40" s="7"/>
      <c r="N40" s="7"/>
      <c r="O40" s="7"/>
      <c r="P40" s="7"/>
      <c r="Q40" s="7"/>
      <c r="R40" s="7"/>
      <c r="S40" s="7"/>
      <c r="T40" s="7"/>
      <c r="U40" s="7"/>
      <c r="V40" s="7"/>
      <c r="W40" s="7"/>
      <c r="X40" s="7"/>
      <c r="Y40" s="7"/>
      <c r="Z40" s="7"/>
      <c r="AA40" s="7"/>
      <c r="AB40" s="7"/>
    </row>
    <row r="41" spans="1:28">
      <c r="A41" s="7"/>
      <c r="B41" s="7"/>
      <c r="C41" s="7"/>
      <c r="D41" s="7"/>
      <c r="F41" s="7"/>
      <c r="H41" s="7"/>
      <c r="I41" s="7"/>
      <c r="J41" s="7"/>
      <c r="K41" s="7"/>
      <c r="L41" s="7"/>
      <c r="M41" s="7"/>
      <c r="N41" s="7"/>
      <c r="O41" s="7"/>
      <c r="P41" s="7"/>
      <c r="Q41" s="7"/>
      <c r="R41" s="7"/>
      <c r="S41" s="7"/>
      <c r="T41" s="7"/>
      <c r="U41" s="7"/>
      <c r="V41" s="7"/>
      <c r="W41" s="7"/>
      <c r="X41" s="7"/>
      <c r="Y41" s="7"/>
      <c r="Z41" s="7"/>
      <c r="AA41" s="7"/>
      <c r="AB41" s="7"/>
    </row>
    <row r="42" spans="1:28">
      <c r="A42" s="7"/>
      <c r="B42" s="7"/>
      <c r="C42" s="7"/>
      <c r="D42" s="7"/>
      <c r="F42" s="7"/>
      <c r="H42" s="7"/>
      <c r="I42" s="7"/>
      <c r="J42" s="7"/>
      <c r="K42" s="7"/>
      <c r="L42" s="7"/>
      <c r="M42" s="7"/>
      <c r="N42" s="7"/>
      <c r="O42" s="7"/>
      <c r="P42" s="7"/>
      <c r="Q42" s="7"/>
      <c r="R42" s="7"/>
      <c r="S42" s="7"/>
      <c r="T42" s="7"/>
      <c r="U42" s="7"/>
      <c r="V42" s="7"/>
      <c r="W42" s="7"/>
      <c r="X42" s="7"/>
      <c r="Y42" s="7"/>
      <c r="Z42" s="7"/>
      <c r="AA42" s="7"/>
      <c r="AB42" s="7"/>
    </row>
    <row r="43" spans="1:28">
      <c r="A43" s="7"/>
      <c r="B43" s="7"/>
      <c r="C43" s="7"/>
      <c r="D43" s="7"/>
      <c r="F43" s="7"/>
      <c r="H43" s="7"/>
      <c r="I43" s="7"/>
      <c r="J43" s="7"/>
      <c r="K43" s="7"/>
      <c r="L43" s="7"/>
      <c r="M43" s="7"/>
      <c r="N43" s="7"/>
      <c r="O43" s="7"/>
      <c r="P43" s="7"/>
      <c r="Q43" s="7"/>
      <c r="R43" s="7"/>
      <c r="S43" s="7"/>
      <c r="T43" s="7"/>
      <c r="U43" s="7"/>
      <c r="V43" s="7"/>
      <c r="W43" s="7"/>
      <c r="X43" s="7"/>
      <c r="Y43" s="7"/>
      <c r="Z43" s="7"/>
      <c r="AA43" s="7"/>
      <c r="AB43" s="7"/>
    </row>
  </sheetData>
  <mergeCells count="11">
    <mergeCell ref="H14:J14"/>
    <mergeCell ref="B2:J5"/>
    <mergeCell ref="B6:J6"/>
    <mergeCell ref="B7:J7"/>
    <mergeCell ref="B8:J8"/>
    <mergeCell ref="B10:J10"/>
    <mergeCell ref="E11:E14"/>
    <mergeCell ref="G11:G14"/>
    <mergeCell ref="H11:J11"/>
    <mergeCell ref="H12:J12"/>
    <mergeCell ref="H13:J13"/>
  </mergeCells>
  <conditionalFormatting sqref="H12:H14 F12:F14 D12:D14">
    <cfRule type="containsText" dxfId="0" priority="1" operator="containsText" text="NO CUMPLE">
      <formula>NOT(ISERROR(SEARCH("NO CUMPLE",D12)))</formula>
    </cfRule>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8153BF9-E201-418D-AE38-11CFDF27D6E0}">
  <ds:schemaRefs>
    <ds:schemaRef ds:uri="http://schemas.microsoft.com/DataMashup"/>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4</vt:i4>
      </vt:variant>
    </vt:vector>
  </HeadingPairs>
  <TitlesOfParts>
    <vt:vector size="19" baseType="lpstr">
      <vt:lpstr>RESUMEN P1</vt:lpstr>
      <vt:lpstr>RESUMEN PT</vt:lpstr>
      <vt:lpstr>RESUMEN 3</vt:lpstr>
      <vt:lpstr>PPTO IBAGUE OFICIAL 2024</vt:lpstr>
      <vt:lpstr>1</vt:lpstr>
      <vt:lpstr>2</vt:lpstr>
      <vt:lpstr>3</vt:lpstr>
      <vt:lpstr>EXP. GENERAL</vt:lpstr>
      <vt:lpstr>EXP. ESPECIFICA</vt:lpstr>
      <vt:lpstr>FACT. CALIDAD</vt:lpstr>
      <vt:lpstr>APOYO IND. NAL</vt:lpstr>
      <vt:lpstr>PERS. DISCAP.</vt:lpstr>
      <vt:lpstr>EMP. MUJERES</vt:lpstr>
      <vt:lpstr>MiPYME</vt:lpstr>
      <vt:lpstr>PROP. ECONO</vt:lpstr>
      <vt:lpstr>'1'!Área_de_impresión</vt:lpstr>
      <vt:lpstr>'2'!Área_de_impresión</vt:lpstr>
      <vt:lpstr>'3'!Área_de_impresión</vt:lpstr>
      <vt:lpstr>'PPTO IBAGUE OFICIAL 2024'!Área_de_impresión</vt:lpstr>
    </vt:vector>
  </TitlesOfParts>
  <Manager/>
  <Company>U. A. E. de aeronáutica Civil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hr</dc:creator>
  <cp:keywords/>
  <dc:description/>
  <cp:lastModifiedBy>Jose Daniel Quinche Guerra</cp:lastModifiedBy>
  <cp:revision/>
  <dcterms:created xsi:type="dcterms:W3CDTF">2014-07-14T21:38:45Z</dcterms:created>
  <dcterms:modified xsi:type="dcterms:W3CDTF">2024-12-30T17:00:32Z</dcterms:modified>
  <cp:category/>
  <cp:contentStatus/>
</cp:coreProperties>
</file>