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jtarazonac\Downloads\EVALUACION FINAL LOCATIVOS VFO\"/>
    </mc:Choice>
  </mc:AlternateContent>
  <xr:revisionPtr revIDLastSave="0" documentId="13_ncr:1_{0559F711-8908-4E4B-ABF9-85A01F7851C7}" xr6:coauthVersionLast="47" xr6:coauthVersionMax="47" xr10:uidLastSave="{00000000-0000-0000-0000-000000000000}"/>
  <bookViews>
    <workbookView xWindow="-120" yWindow="-120" windowWidth="20730" windowHeight="11160" xr2:uid="{2A117F24-062E-4A0C-A90B-D8D1F3D95AAB}"/>
  </bookViews>
  <sheets>
    <sheet name="CONSOLIDADO FINANCIERO" sheetId="6" r:id="rId1"/>
    <sheet name="1 LIMACOR" sheetId="3" r:id="rId2"/>
    <sheet name="OFERTA LIMACOR" sheetId="11" r:id="rId3"/>
    <sheet name="2 UT AMF-ELATIN" sheetId="7" r:id="rId4"/>
    <sheet name="OFERTA AMF-ELATIN" sheetId="12" r:id="rId5"/>
    <sheet name="3 DIARQCO" sheetId="8" r:id="rId6"/>
    <sheet name="OFERTA DIARQCO" sheetId="13" r:id="rId7"/>
    <sheet name="4 INSOL " sheetId="9" r:id="rId8"/>
    <sheet name="OFERTA INSOL" sheetId="14" r:id="rId9"/>
    <sheet name="5 CASTILLA Y LEON" sheetId="16" r:id="rId10"/>
    <sheet name="OFERTA CASTILLA Y LEON" sheetId="17" r:id="rId11"/>
    <sheet name="6 UNINGECOL" sheetId="18" r:id="rId12"/>
    <sheet name="6 OFERTA UNINGECOL" sheetId="19" r:id="rId13"/>
    <sheet name="7 CONSORCIO FONDO NACIONAL" sheetId="20" r:id="rId14"/>
    <sheet name="7 OFERTA CONSORCIO F.NACIONAL" sheetId="21" r:id="rId15"/>
    <sheet name="8 CONSORCIO 2024 FNA" sheetId="22" r:id="rId16"/>
    <sheet name="8 OFERTA 2024 CONSORCIO" sheetId="23" r:id="rId17"/>
    <sheet name="9 INGEBYP" sheetId="24" r:id="rId18"/>
    <sheet name="9 OFERTA ECONOMICA" sheetId="25" r:id="rId19"/>
    <sheet name="10 CONS OMNIA" sheetId="10" r:id="rId20"/>
    <sheet name="OFERTA CONS OMNIA" sheetId="15" r:id="rId21"/>
  </sheets>
  <externalReferences>
    <externalReference r:id="rId22"/>
    <externalReference r:id="rId23"/>
    <externalReference r:id="rId24"/>
  </externalReferences>
  <definedNames>
    <definedName name="_xlnm._FilterDatabase" localSheetId="0" hidden="1">'CONSOLIDADO FINANCIERO'!$B$9:$P$22</definedName>
    <definedName name="_Toc210551163" localSheetId="1">'1 LIMACOR'!#REF!</definedName>
    <definedName name="_Toc210551163" localSheetId="19">'10 CONS OMNIA'!#REF!</definedName>
    <definedName name="_Toc210551163" localSheetId="3">'2 UT AMF-ELATIN'!#REF!</definedName>
    <definedName name="_Toc210551163" localSheetId="5">'3 DIARQCO'!#REF!</definedName>
    <definedName name="_Toc210551163" localSheetId="7">'4 INSOL '!#REF!</definedName>
    <definedName name="_Toc210551163" localSheetId="9">'5 CASTILLA Y LEON'!#REF!</definedName>
    <definedName name="_Toc210551163" localSheetId="11">'6 UNINGECOL'!#REF!</definedName>
    <definedName name="_Toc210551163" localSheetId="13">'7 CONSORCIO FONDO NACIONAL'!#REF!</definedName>
    <definedName name="_Toc210551163" localSheetId="15">'8 CONSORCIO 2024 FNA'!#REF!</definedName>
    <definedName name="_Toc210551163" localSheetId="17">'9 INGEBYP'!#REF!</definedName>
    <definedName name="_Toc210551172" localSheetId="1">'1 LIMACOR'!#REF!</definedName>
    <definedName name="_Toc210551172" localSheetId="19">'10 CONS OMNIA'!#REF!</definedName>
    <definedName name="_Toc210551172" localSheetId="3">'2 UT AMF-ELATIN'!#REF!</definedName>
    <definedName name="_Toc210551172" localSheetId="5">'3 DIARQCO'!#REF!</definedName>
    <definedName name="_Toc210551172" localSheetId="7">'4 INSOL '!#REF!</definedName>
    <definedName name="_Toc210551172" localSheetId="9">'5 CASTILLA Y LEON'!#REF!</definedName>
    <definedName name="_Toc210551172" localSheetId="11">'6 UNINGECOL'!#REF!</definedName>
    <definedName name="_Toc210551172" localSheetId="13">'7 CONSORCIO FONDO NACIONAL'!#REF!</definedName>
    <definedName name="_Toc210551172" localSheetId="15">'8 CONSORCIO 2024 FNA'!#REF!</definedName>
    <definedName name="_Toc210551172" localSheetId="17">'9 INGEBYP'!#REF!</definedName>
    <definedName name="A" localSheetId="1">#REF!</definedName>
    <definedName name="A" localSheetId="19">#REF!</definedName>
    <definedName name="A" localSheetId="3">#REF!</definedName>
    <definedName name="A" localSheetId="5">#REF!</definedName>
    <definedName name="A" localSheetId="7">#REF!</definedName>
    <definedName name="A" localSheetId="9">#REF!</definedName>
    <definedName name="A" localSheetId="12">#REF!</definedName>
    <definedName name="A" localSheetId="11">#REF!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0">#REF!</definedName>
    <definedName name="A" localSheetId="10">#REF!</definedName>
    <definedName name="A">#REF!</definedName>
    <definedName name="AA" localSheetId="1">#REF!</definedName>
    <definedName name="AA" localSheetId="19">#REF!</definedName>
    <definedName name="AA" localSheetId="3">#REF!</definedName>
    <definedName name="AA" localSheetId="5">#REF!</definedName>
    <definedName name="AA" localSheetId="7">#REF!</definedName>
    <definedName name="AA" localSheetId="9">#REF!</definedName>
    <definedName name="AA" localSheetId="12">#REF!</definedName>
    <definedName name="AA" localSheetId="11">#REF!</definedName>
    <definedName name="AA" localSheetId="13">#REF!</definedName>
    <definedName name="AA" localSheetId="14">#REF!</definedName>
    <definedName name="AA" localSheetId="15">#REF!</definedName>
    <definedName name="AA" localSheetId="16">#REF!</definedName>
    <definedName name="AA" localSheetId="17">#REF!</definedName>
    <definedName name="AA" localSheetId="18">#REF!</definedName>
    <definedName name="AA" localSheetId="0">#REF!</definedName>
    <definedName name="AA" localSheetId="10">#REF!</definedName>
    <definedName name="AA">#REF!</definedName>
    <definedName name="_xlnm.Print_Area" localSheetId="1">'1 LIMACOR'!$A$1:$Q$48</definedName>
    <definedName name="_xlnm.Print_Area" localSheetId="19">'10 CONS OMNIA'!$A$1:$Q$49</definedName>
    <definedName name="_xlnm.Print_Area" localSheetId="3">'2 UT AMF-ELATIN'!$A$1:$Q$49</definedName>
    <definedName name="_xlnm.Print_Area" localSheetId="5">'3 DIARQCO'!$A$1:$Q$48</definedName>
    <definedName name="_xlnm.Print_Area" localSheetId="7">'4 INSOL '!$A$1:$Q$48</definedName>
    <definedName name="_xlnm.Print_Area" localSheetId="9">'5 CASTILLA Y LEON'!$A$1:$Q$48</definedName>
    <definedName name="_xlnm.Print_Area" localSheetId="11">'6 UNINGECOL'!$A$1:$Q$48</definedName>
    <definedName name="_xlnm.Print_Area" localSheetId="13">'7 CONSORCIO FONDO NACIONAL'!$A$1:$Q$48</definedName>
    <definedName name="_xlnm.Print_Area" localSheetId="14">'7 OFERTA CONSORCIO F.NACIONAL'!$A$1:$M$147</definedName>
    <definedName name="_xlnm.Print_Area" localSheetId="15">'8 CONSORCIO 2024 FNA'!$A$1:$Q$48</definedName>
    <definedName name="_xlnm.Print_Area" localSheetId="16">'8 OFERTA 2024 CONSORCIO'!$A$1:$M$147</definedName>
    <definedName name="_xlnm.Print_Area" localSheetId="17">'9 INGEBYP'!$A$1:$Q$48</definedName>
    <definedName name="_xlnm.Print_Area" localSheetId="18">'9 OFERTA ECONOMICA'!$A$1:$M$150</definedName>
    <definedName name="_xlnm.Print_Area" localSheetId="0">'CONSOLIDADO FINANCIERO'!$B$1:$O$22</definedName>
    <definedName name="_xlnm.Print_Area" localSheetId="4">'OFERTA AMF-ELATIN'!$A$1:$J$153</definedName>
    <definedName name="_xlnm.Print_Area" localSheetId="6">'OFERTA DIARQCO'!$A$1:$M$144</definedName>
    <definedName name="_xlnm.Print_Area" localSheetId="2">'OFERTA LIMACOR'!$A$1:$M$145</definedName>
    <definedName name="class" localSheetId="1">#REF!</definedName>
    <definedName name="class" localSheetId="19">#REF!</definedName>
    <definedName name="class" localSheetId="3">#REF!</definedName>
    <definedName name="class" localSheetId="5">#REF!</definedName>
    <definedName name="class" localSheetId="7">#REF!</definedName>
    <definedName name="class" localSheetId="9">#REF!</definedName>
    <definedName name="class" localSheetId="12">#REF!</definedName>
    <definedName name="class" localSheetId="11">#REF!</definedName>
    <definedName name="class" localSheetId="13">#REF!</definedName>
    <definedName name="class" localSheetId="14">#REF!</definedName>
    <definedName name="class" localSheetId="15">#REF!</definedName>
    <definedName name="class" localSheetId="16">#REF!</definedName>
    <definedName name="class" localSheetId="17">#REF!</definedName>
    <definedName name="class" localSheetId="18">#REF!</definedName>
    <definedName name="class" localSheetId="0">#REF!</definedName>
    <definedName name="class" localSheetId="4">#REF!</definedName>
    <definedName name="class" localSheetId="10">#REF!</definedName>
    <definedName name="class" localSheetId="20">#REF!</definedName>
    <definedName name="class" localSheetId="6">#REF!</definedName>
    <definedName name="class" localSheetId="8">#REF!</definedName>
    <definedName name="class" localSheetId="2">#REF!</definedName>
    <definedName name="class">#REF!</definedName>
    <definedName name="class2" localSheetId="1">#REF!</definedName>
    <definedName name="class2" localSheetId="19">#REF!</definedName>
    <definedName name="class2" localSheetId="3">#REF!</definedName>
    <definedName name="class2" localSheetId="5">#REF!</definedName>
    <definedName name="class2" localSheetId="7">#REF!</definedName>
    <definedName name="class2" localSheetId="9">#REF!</definedName>
    <definedName name="class2" localSheetId="12">#REF!</definedName>
    <definedName name="class2" localSheetId="11">#REF!</definedName>
    <definedName name="class2" localSheetId="13">#REF!</definedName>
    <definedName name="class2" localSheetId="14">#REF!</definedName>
    <definedName name="class2" localSheetId="15">#REF!</definedName>
    <definedName name="class2" localSheetId="16">#REF!</definedName>
    <definedName name="class2" localSheetId="17">#REF!</definedName>
    <definedName name="class2" localSheetId="18">#REF!</definedName>
    <definedName name="class2" localSheetId="0">#REF!</definedName>
    <definedName name="class2" localSheetId="10">#REF!</definedName>
    <definedName name="class2">#REF!</definedName>
    <definedName name="claudia.ramirez" localSheetId="9">#REF!</definedName>
    <definedName name="claudia.ramirez" localSheetId="12">#REF!</definedName>
    <definedName name="claudia.ramirez" localSheetId="11">#REF!</definedName>
    <definedName name="claudia.ramirez" localSheetId="13">#REF!</definedName>
    <definedName name="claudia.ramirez" localSheetId="14">#REF!</definedName>
    <definedName name="claudia.ramirez" localSheetId="15">#REF!</definedName>
    <definedName name="claudia.ramirez" localSheetId="16">#REF!</definedName>
    <definedName name="claudia.ramirez" localSheetId="17">#REF!</definedName>
    <definedName name="claudia.ramirez" localSheetId="18">#REF!</definedName>
    <definedName name="claudia.ramirez" localSheetId="4">#REF!</definedName>
    <definedName name="claudia.ramirez" localSheetId="10">#REF!</definedName>
    <definedName name="claudia.ramirez" localSheetId="20">#REF!</definedName>
    <definedName name="claudia.ramirez" localSheetId="6">#REF!</definedName>
    <definedName name="claudia.ramirez" localSheetId="8">#REF!</definedName>
    <definedName name="claudia.ramirez">#REF!</definedName>
    <definedName name="Compras_Suministro" localSheetId="1">#REF!</definedName>
    <definedName name="Compras_Suministro" localSheetId="19">#REF!</definedName>
    <definedName name="Compras_Suministro" localSheetId="3">#REF!</definedName>
    <definedName name="Compras_Suministro" localSheetId="5">#REF!</definedName>
    <definedName name="Compras_Suministro" localSheetId="7">#REF!</definedName>
    <definedName name="Compras_Suministro" localSheetId="9">#REF!</definedName>
    <definedName name="Compras_Suministro" localSheetId="12">#REF!</definedName>
    <definedName name="Compras_Suministro" localSheetId="11">#REF!</definedName>
    <definedName name="Compras_Suministro" localSheetId="13">#REF!</definedName>
    <definedName name="Compras_Suministro" localSheetId="14">#REF!</definedName>
    <definedName name="Compras_Suministro" localSheetId="15">#REF!</definedName>
    <definedName name="Compras_Suministro" localSheetId="16">#REF!</definedName>
    <definedName name="Compras_Suministro" localSheetId="17">#REF!</definedName>
    <definedName name="Compras_Suministro" localSheetId="18">#REF!</definedName>
    <definedName name="Compras_Suministro" localSheetId="0">#REF!</definedName>
    <definedName name="Compras_Suministro" localSheetId="4">#REF!</definedName>
    <definedName name="Compras_Suministro" localSheetId="10">#REF!</definedName>
    <definedName name="Compras_Suministro" localSheetId="20">#REF!</definedName>
    <definedName name="Compras_Suministro" localSheetId="6">#REF!</definedName>
    <definedName name="Compras_Suministro" localSheetId="8">#REF!</definedName>
    <definedName name="Compras_Suministro" localSheetId="2">#REF!</definedName>
    <definedName name="Compras_Suministro">#REF!</definedName>
    <definedName name="Diseño" localSheetId="1">#REF!</definedName>
    <definedName name="Diseño" localSheetId="19">#REF!</definedName>
    <definedName name="Diseño" localSheetId="3">#REF!</definedName>
    <definedName name="Diseño" localSheetId="5">#REF!</definedName>
    <definedName name="Diseño" localSheetId="7">#REF!</definedName>
    <definedName name="Diseño" localSheetId="9">#REF!</definedName>
    <definedName name="Diseño" localSheetId="12">#REF!</definedName>
    <definedName name="Diseño" localSheetId="11">#REF!</definedName>
    <definedName name="Diseño" localSheetId="13">#REF!</definedName>
    <definedName name="Diseño" localSheetId="14">#REF!</definedName>
    <definedName name="Diseño" localSheetId="15">#REF!</definedName>
    <definedName name="Diseño" localSheetId="16">#REF!</definedName>
    <definedName name="Diseño" localSheetId="17">#REF!</definedName>
    <definedName name="Diseño" localSheetId="18">#REF!</definedName>
    <definedName name="Diseño" localSheetId="0">#REF!</definedName>
    <definedName name="Diseño" localSheetId="4">#REF!</definedName>
    <definedName name="Diseño" localSheetId="10">#REF!</definedName>
    <definedName name="Diseño" localSheetId="20">#REF!</definedName>
    <definedName name="Diseño" localSheetId="6">#REF!</definedName>
    <definedName name="Diseño" localSheetId="8">#REF!</definedName>
    <definedName name="Diseño" localSheetId="2">#REF!</definedName>
    <definedName name="Diseño">#REF!</definedName>
    <definedName name="DuracionMeses" localSheetId="9">#REF!</definedName>
    <definedName name="DuracionMeses" localSheetId="12">#REF!</definedName>
    <definedName name="DuracionMeses" localSheetId="11">#REF!</definedName>
    <definedName name="DuracionMeses" localSheetId="13">#REF!</definedName>
    <definedName name="DuracionMeses" localSheetId="14">#REF!</definedName>
    <definedName name="DuracionMeses" localSheetId="15">#REF!</definedName>
    <definedName name="DuracionMeses" localSheetId="16">#REF!</definedName>
    <definedName name="DuracionMeses" localSheetId="17">#REF!</definedName>
    <definedName name="DuracionMeses" localSheetId="18">#REF!</definedName>
    <definedName name="DuracionMeses" localSheetId="4">#REF!</definedName>
    <definedName name="DuracionMeses" localSheetId="10">#REF!</definedName>
    <definedName name="DuracionMeses" localSheetId="20">#REF!</definedName>
    <definedName name="DuracionMeses" localSheetId="6">#REF!</definedName>
    <definedName name="DuracionMeses" localSheetId="8">#REF!</definedName>
    <definedName name="DuracionMeses">#REF!</definedName>
    <definedName name="Duracionsemanas" localSheetId="9">#REF!</definedName>
    <definedName name="Duracionsemanas" localSheetId="12">#REF!</definedName>
    <definedName name="Duracionsemanas" localSheetId="11">#REF!</definedName>
    <definedName name="Duracionsemanas" localSheetId="13">#REF!</definedName>
    <definedName name="Duracionsemanas" localSheetId="14">#REF!</definedName>
    <definedName name="Duracionsemanas" localSheetId="15">#REF!</definedName>
    <definedName name="Duracionsemanas" localSheetId="16">#REF!</definedName>
    <definedName name="Duracionsemanas" localSheetId="17">#REF!</definedName>
    <definedName name="Duracionsemanas" localSheetId="18">#REF!</definedName>
    <definedName name="Duracionsemanas" localSheetId="4">#REF!</definedName>
    <definedName name="Duracionsemanas" localSheetId="10">#REF!</definedName>
    <definedName name="Duracionsemanas" localSheetId="20">#REF!</definedName>
    <definedName name="Duracionsemanas" localSheetId="6">#REF!</definedName>
    <definedName name="Duracionsemanas" localSheetId="8">#REF!</definedName>
    <definedName name="Duracionsemanas">#REF!</definedName>
    <definedName name="EUR" localSheetId="9">'[1]2. PPTO CONSOLIDADO'!#REF!</definedName>
    <definedName name="EUR" localSheetId="12">'[1]2. PPTO CONSOLIDADO'!#REF!</definedName>
    <definedName name="EUR" localSheetId="11">'[1]2. PPTO CONSOLIDADO'!#REF!</definedName>
    <definedName name="EUR" localSheetId="13">'[1]2. PPTO CONSOLIDADO'!#REF!</definedName>
    <definedName name="EUR" localSheetId="14">'[1]2. PPTO CONSOLIDADO'!#REF!</definedName>
    <definedName name="EUR" localSheetId="15">'[1]2. PPTO CONSOLIDADO'!#REF!</definedName>
    <definedName name="EUR" localSheetId="16">'[1]2. PPTO CONSOLIDADO'!#REF!</definedName>
    <definedName name="EUR" localSheetId="17">'[1]2. PPTO CONSOLIDADO'!#REF!</definedName>
    <definedName name="EUR" localSheetId="18">'[1]2. PPTO CONSOLIDADO'!#REF!</definedName>
    <definedName name="EUR" localSheetId="10">'[1]2. PPTO CONSOLIDADO'!#REF!</definedName>
    <definedName name="EUR" localSheetId="20">'[1]2. PPTO CONSOLIDADO'!#REF!</definedName>
    <definedName name="EUR" localSheetId="8">'[1]2. PPTO CONSOLIDADO'!#REF!</definedName>
    <definedName name="EUR">'[1]2. PPTO CONSOLIDADO'!#REF!</definedName>
    <definedName name="Honorarios" localSheetId="1">#REF!</definedName>
    <definedName name="Honorarios" localSheetId="19">#REF!</definedName>
    <definedName name="Honorarios" localSheetId="3">#REF!</definedName>
    <definedName name="Honorarios" localSheetId="5">#REF!</definedName>
    <definedName name="Honorarios" localSheetId="7">#REF!</definedName>
    <definedName name="Honorarios" localSheetId="9">#REF!</definedName>
    <definedName name="Honorarios" localSheetId="12">#REF!</definedName>
    <definedName name="Honorarios" localSheetId="11">#REF!</definedName>
    <definedName name="Honorarios" localSheetId="13">#REF!</definedName>
    <definedName name="Honorarios" localSheetId="14">#REF!</definedName>
    <definedName name="Honorarios" localSheetId="15">#REF!</definedName>
    <definedName name="Honorarios" localSheetId="16">#REF!</definedName>
    <definedName name="Honorarios" localSheetId="17">#REF!</definedName>
    <definedName name="Honorarios" localSheetId="18">#REF!</definedName>
    <definedName name="Honorarios" localSheetId="0">#REF!</definedName>
    <definedName name="Honorarios" localSheetId="4">#REF!</definedName>
    <definedName name="Honorarios" localSheetId="10">#REF!</definedName>
    <definedName name="Honorarios" localSheetId="20">#REF!</definedName>
    <definedName name="Honorarios" localSheetId="6">#REF!</definedName>
    <definedName name="Honorarios" localSheetId="8">#REF!</definedName>
    <definedName name="Honorarios" localSheetId="2">#REF!</definedName>
    <definedName name="Honorarios">#REF!</definedName>
    <definedName name="ica" localSheetId="1">#REF!</definedName>
    <definedName name="ica" localSheetId="19">#REF!</definedName>
    <definedName name="ica" localSheetId="3">#REF!</definedName>
    <definedName name="ica" localSheetId="5">#REF!</definedName>
    <definedName name="ica" localSheetId="7">#REF!</definedName>
    <definedName name="ica" localSheetId="9">#REF!</definedName>
    <definedName name="ica" localSheetId="12">#REF!</definedName>
    <definedName name="ica" localSheetId="11">#REF!</definedName>
    <definedName name="ica" localSheetId="13">#REF!</definedName>
    <definedName name="ica" localSheetId="14">#REF!</definedName>
    <definedName name="ica" localSheetId="15">#REF!</definedName>
    <definedName name="ica" localSheetId="16">#REF!</definedName>
    <definedName name="ica" localSheetId="17">#REF!</definedName>
    <definedName name="ica" localSheetId="18">#REF!</definedName>
    <definedName name="ica" localSheetId="0">#REF!</definedName>
    <definedName name="ica" localSheetId="4">#REF!</definedName>
    <definedName name="ica" localSheetId="10">#REF!</definedName>
    <definedName name="ica" localSheetId="20">#REF!</definedName>
    <definedName name="ica" localSheetId="6">#REF!</definedName>
    <definedName name="ica" localSheetId="8">#REF!</definedName>
    <definedName name="ica" localSheetId="2">#REF!</definedName>
    <definedName name="ica">#REF!</definedName>
    <definedName name="INCREM.IPC.2013.2016" localSheetId="9">#REF!</definedName>
    <definedName name="INCREM.IPC.2013.2016" localSheetId="12">#REF!</definedName>
    <definedName name="INCREM.IPC.2013.2016" localSheetId="11">#REF!</definedName>
    <definedName name="INCREM.IPC.2013.2016" localSheetId="13">#REF!</definedName>
    <definedName name="INCREM.IPC.2013.2016" localSheetId="14">#REF!</definedName>
    <definedName name="INCREM.IPC.2013.2016" localSheetId="15">#REF!</definedName>
    <definedName name="INCREM.IPC.2013.2016" localSheetId="16">#REF!</definedName>
    <definedName name="INCREM.IPC.2013.2016" localSheetId="17">#REF!</definedName>
    <definedName name="INCREM.IPC.2013.2016" localSheetId="18">#REF!</definedName>
    <definedName name="INCREM.IPC.2013.2016" localSheetId="4">#REF!</definedName>
    <definedName name="INCREM.IPC.2013.2016" localSheetId="10">#REF!</definedName>
    <definedName name="INCREM.IPC.2013.2016" localSheetId="20">#REF!</definedName>
    <definedName name="INCREM.IPC.2013.2016" localSheetId="6">#REF!</definedName>
    <definedName name="INCREM.IPC.2013.2016" localSheetId="8">#REF!</definedName>
    <definedName name="INCREM.IPC.2013.2016">#REF!</definedName>
    <definedName name="INCREM.SAM" localSheetId="9">'[1]2. PPTO CONSOLIDADO'!#REF!</definedName>
    <definedName name="INCREM.SAM" localSheetId="12">'[1]2. PPTO CONSOLIDADO'!#REF!</definedName>
    <definedName name="INCREM.SAM" localSheetId="11">'[1]2. PPTO CONSOLIDADO'!#REF!</definedName>
    <definedName name="INCREM.SAM" localSheetId="13">'[1]2. PPTO CONSOLIDADO'!#REF!</definedName>
    <definedName name="INCREM.SAM" localSheetId="14">'[1]2. PPTO CONSOLIDADO'!#REF!</definedName>
    <definedName name="INCREM.SAM" localSheetId="15">'[1]2. PPTO CONSOLIDADO'!#REF!</definedName>
    <definedName name="INCREM.SAM" localSheetId="16">'[1]2. PPTO CONSOLIDADO'!#REF!</definedName>
    <definedName name="INCREM.SAM" localSheetId="17">'[1]2. PPTO CONSOLIDADO'!#REF!</definedName>
    <definedName name="INCREM.SAM" localSheetId="18">'[1]2. PPTO CONSOLIDADO'!#REF!</definedName>
    <definedName name="INCREM.SAM" localSheetId="10">'[1]2. PPTO CONSOLIDADO'!#REF!</definedName>
    <definedName name="INCREM.SAM" localSheetId="20">'[1]2. PPTO CONSOLIDADO'!#REF!</definedName>
    <definedName name="INCREM.SAM" localSheetId="8">'[1]2. PPTO CONSOLIDADO'!#REF!</definedName>
    <definedName name="INCREM.SAM">'[1]2. PPTO CONSOLIDADO'!#REF!</definedName>
    <definedName name="Interventoria_Consultoria" localSheetId="1">#REF!</definedName>
    <definedName name="Interventoria_Consultoria" localSheetId="19">#REF!</definedName>
    <definedName name="Interventoria_Consultoria" localSheetId="3">#REF!</definedName>
    <definedName name="Interventoria_Consultoria" localSheetId="5">#REF!</definedName>
    <definedName name="Interventoria_Consultoria" localSheetId="7">#REF!</definedName>
    <definedName name="Interventoria_Consultoria" localSheetId="9">#REF!</definedName>
    <definedName name="Interventoria_Consultoria" localSheetId="12">#REF!</definedName>
    <definedName name="Interventoria_Consultoria" localSheetId="11">#REF!</definedName>
    <definedName name="Interventoria_Consultoria" localSheetId="13">#REF!</definedName>
    <definedName name="Interventoria_Consultoria" localSheetId="14">#REF!</definedName>
    <definedName name="Interventoria_Consultoria" localSheetId="15">#REF!</definedName>
    <definedName name="Interventoria_Consultoria" localSheetId="16">#REF!</definedName>
    <definedName name="Interventoria_Consultoria" localSheetId="17">#REF!</definedName>
    <definedName name="Interventoria_Consultoria" localSheetId="18">#REF!</definedName>
    <definedName name="Interventoria_Consultoria" localSheetId="0">#REF!</definedName>
    <definedName name="Interventoria_Consultoria" localSheetId="4">#REF!</definedName>
    <definedName name="Interventoria_Consultoria" localSheetId="10">#REF!</definedName>
    <definedName name="Interventoria_Consultoria" localSheetId="20">#REF!</definedName>
    <definedName name="Interventoria_Consultoria" localSheetId="6">#REF!</definedName>
    <definedName name="Interventoria_Consultoria" localSheetId="8">#REF!</definedName>
    <definedName name="Interventoria_Consultoria" localSheetId="2">#REF!</definedName>
    <definedName name="Interventoria_Consultoria">#REF!</definedName>
    <definedName name="IVA" localSheetId="9">'[1]2. PPTO CONSOLIDADO'!#REF!</definedName>
    <definedName name="IVA" localSheetId="12">'[1]2. PPTO CONSOLIDADO'!#REF!</definedName>
    <definedName name="IVA" localSheetId="11">'[1]2. PPTO CONSOLIDADO'!#REF!</definedName>
    <definedName name="IVA" localSheetId="13">'[1]2. PPTO CONSOLIDADO'!#REF!</definedName>
    <definedName name="IVA" localSheetId="14">'[1]2. PPTO CONSOLIDADO'!#REF!</definedName>
    <definedName name="IVA" localSheetId="15">'[1]2. PPTO CONSOLIDADO'!#REF!</definedName>
    <definedName name="IVA" localSheetId="16">'[1]2. PPTO CONSOLIDADO'!#REF!</definedName>
    <definedName name="IVA" localSheetId="17">'[1]2. PPTO CONSOLIDADO'!#REF!</definedName>
    <definedName name="IVA" localSheetId="18">'[1]2. PPTO CONSOLIDADO'!#REF!</definedName>
    <definedName name="IVA" localSheetId="10">'[1]2. PPTO CONSOLIDADO'!#REF!</definedName>
    <definedName name="IVA" localSheetId="20">'[1]2. PPTO CONSOLIDADO'!#REF!</definedName>
    <definedName name="IVA" localSheetId="8">'[1]2. PPTO CONSOLIDADO'!#REF!</definedName>
    <definedName name="IVA">'[1]2. PPTO CONSOLIDADO'!#REF!</definedName>
    <definedName name="Obra_Pública" localSheetId="1">#REF!</definedName>
    <definedName name="Obra_Pública" localSheetId="19">#REF!</definedName>
    <definedName name="Obra_Pública" localSheetId="3">#REF!</definedName>
    <definedName name="Obra_Pública" localSheetId="5">#REF!</definedName>
    <definedName name="Obra_Pública" localSheetId="7">#REF!</definedName>
    <definedName name="Obra_Pública" localSheetId="9">#REF!</definedName>
    <definedName name="Obra_Pública" localSheetId="12">#REF!</definedName>
    <definedName name="Obra_Pública" localSheetId="11">#REF!</definedName>
    <definedName name="Obra_Pública" localSheetId="13">#REF!</definedName>
    <definedName name="Obra_Pública" localSheetId="14">#REF!</definedName>
    <definedName name="Obra_Pública" localSheetId="15">#REF!</definedName>
    <definedName name="Obra_Pública" localSheetId="16">#REF!</definedName>
    <definedName name="Obra_Pública" localSheetId="17">#REF!</definedName>
    <definedName name="Obra_Pública" localSheetId="18">#REF!</definedName>
    <definedName name="Obra_Pública" localSheetId="0">#REF!</definedName>
    <definedName name="Obra_Pública" localSheetId="4">#REF!</definedName>
    <definedName name="Obra_Pública" localSheetId="10">#REF!</definedName>
    <definedName name="Obra_Pública" localSheetId="20">#REF!</definedName>
    <definedName name="Obra_Pública" localSheetId="6">#REF!</definedName>
    <definedName name="Obra_Pública" localSheetId="8">#REF!</definedName>
    <definedName name="Obra_Pública" localSheetId="2">#REF!</definedName>
    <definedName name="Obra_Pública">#REF!</definedName>
    <definedName name="Servicios_Generales" localSheetId="1">#REF!</definedName>
    <definedName name="Servicios_Generales" localSheetId="19">#REF!</definedName>
    <definedName name="Servicios_Generales" localSheetId="3">#REF!</definedName>
    <definedName name="Servicios_Generales" localSheetId="5">#REF!</definedName>
    <definedName name="Servicios_Generales" localSheetId="7">#REF!</definedName>
    <definedName name="Servicios_Generales" localSheetId="9">#REF!</definedName>
    <definedName name="Servicios_Generales" localSheetId="12">#REF!</definedName>
    <definedName name="Servicios_Generales" localSheetId="11">#REF!</definedName>
    <definedName name="Servicios_Generales" localSheetId="13">#REF!</definedName>
    <definedName name="Servicios_Generales" localSheetId="14">#REF!</definedName>
    <definedName name="Servicios_Generales" localSheetId="15">#REF!</definedName>
    <definedName name="Servicios_Generales" localSheetId="16">#REF!</definedName>
    <definedName name="Servicios_Generales" localSheetId="17">#REF!</definedName>
    <definedName name="Servicios_Generales" localSheetId="18">#REF!</definedName>
    <definedName name="Servicios_Generales" localSheetId="0">#REF!</definedName>
    <definedName name="Servicios_Generales" localSheetId="4">#REF!</definedName>
    <definedName name="Servicios_Generales" localSheetId="10">#REF!</definedName>
    <definedName name="Servicios_Generales" localSheetId="20">#REF!</definedName>
    <definedName name="Servicios_Generales" localSheetId="6">#REF!</definedName>
    <definedName name="Servicios_Generales" localSheetId="8">#REF!</definedName>
    <definedName name="Servicios_Generales" localSheetId="2">#REF!</definedName>
    <definedName name="Servicios_Generales">#REF!</definedName>
    <definedName name="SMMLV" localSheetId="9">#REF!</definedName>
    <definedName name="SMMLV" localSheetId="12">#REF!</definedName>
    <definedName name="SMMLV" localSheetId="11">#REF!</definedName>
    <definedName name="SMMLV" localSheetId="13">#REF!</definedName>
    <definedName name="SMMLV" localSheetId="14">#REF!</definedName>
    <definedName name="SMMLV" localSheetId="15">#REF!</definedName>
    <definedName name="SMMLV" localSheetId="16">#REF!</definedName>
    <definedName name="SMMLV" localSheetId="17">#REF!</definedName>
    <definedName name="SMMLV" localSheetId="18">#REF!</definedName>
    <definedName name="SMMLV" localSheetId="4">#REF!</definedName>
    <definedName name="SMMLV" localSheetId="10">#REF!</definedName>
    <definedName name="SMMLV" localSheetId="20">#REF!</definedName>
    <definedName name="SMMLV" localSheetId="6">#REF!</definedName>
    <definedName name="SMMLV" localSheetId="8">#REF!</definedName>
    <definedName name="SMMLV">#REF!</definedName>
    <definedName name="_xlnm.Print_Titles" localSheetId="1">'1 LIMACOR'!$A:$B</definedName>
    <definedName name="_xlnm.Print_Titles" localSheetId="19">'10 CONS OMNIA'!$A:$B</definedName>
    <definedName name="_xlnm.Print_Titles" localSheetId="3">'2 UT AMF-ELATIN'!$A:$B</definedName>
    <definedName name="_xlnm.Print_Titles" localSheetId="5">'3 DIARQCO'!$A:$B</definedName>
    <definedName name="_xlnm.Print_Titles" localSheetId="7">'4 INSOL '!$A:$B</definedName>
    <definedName name="_xlnm.Print_Titles" localSheetId="9">'5 CASTILLA Y LEON'!$A:$B</definedName>
    <definedName name="_xlnm.Print_Titles" localSheetId="11">'6 UNINGECOL'!$A:$B</definedName>
    <definedName name="_xlnm.Print_Titles" localSheetId="13">'7 CONSORCIO FONDO NACIONAL'!$A:$B</definedName>
    <definedName name="_xlnm.Print_Titles" localSheetId="15">'8 CONSORCIO 2024 FNA'!$A:$B</definedName>
    <definedName name="_xlnm.Print_Titles" localSheetId="17">'9 INGEBYP'!$A:$B</definedName>
    <definedName name="Transporte_Carga" localSheetId="1">#REF!</definedName>
    <definedName name="Transporte_Carga" localSheetId="19">#REF!</definedName>
    <definedName name="Transporte_Carga" localSheetId="3">#REF!</definedName>
    <definedName name="Transporte_Carga" localSheetId="5">#REF!</definedName>
    <definedName name="Transporte_Carga" localSheetId="7">#REF!</definedName>
    <definedName name="Transporte_Carga" localSheetId="9">#REF!</definedName>
    <definedName name="Transporte_Carga" localSheetId="12">#REF!</definedName>
    <definedName name="Transporte_Carga" localSheetId="11">#REF!</definedName>
    <definedName name="Transporte_Carga" localSheetId="13">#REF!</definedName>
    <definedName name="Transporte_Carga" localSheetId="14">#REF!</definedName>
    <definedName name="Transporte_Carga" localSheetId="15">#REF!</definedName>
    <definedName name="Transporte_Carga" localSheetId="16">#REF!</definedName>
    <definedName name="Transporte_Carga" localSheetId="17">#REF!</definedName>
    <definedName name="Transporte_Carga" localSheetId="18">#REF!</definedName>
    <definedName name="Transporte_Carga" localSheetId="0">#REF!</definedName>
    <definedName name="Transporte_Carga" localSheetId="4">#REF!</definedName>
    <definedName name="Transporte_Carga" localSheetId="10">#REF!</definedName>
    <definedName name="Transporte_Carga" localSheetId="20">#REF!</definedName>
    <definedName name="Transporte_Carga" localSheetId="6">#REF!</definedName>
    <definedName name="Transporte_Carga" localSheetId="8">#REF!</definedName>
    <definedName name="Transporte_Carga" localSheetId="2">#REF!</definedName>
    <definedName name="Transporte_Carga">#REF!</definedName>
    <definedName name="Transporte_Restaurante" localSheetId="1">#REF!</definedName>
    <definedName name="Transporte_Restaurante" localSheetId="19">#REF!</definedName>
    <definedName name="Transporte_Restaurante" localSheetId="3">#REF!</definedName>
    <definedName name="Transporte_Restaurante" localSheetId="5">#REF!</definedName>
    <definedName name="Transporte_Restaurante" localSheetId="7">#REF!</definedName>
    <definedName name="Transporte_Restaurante" localSheetId="9">#REF!</definedName>
    <definedName name="Transporte_Restaurante" localSheetId="12">#REF!</definedName>
    <definedName name="Transporte_Restaurante" localSheetId="11">#REF!</definedName>
    <definedName name="Transporte_Restaurante" localSheetId="13">#REF!</definedName>
    <definedName name="Transporte_Restaurante" localSheetId="14">#REF!</definedName>
    <definedName name="Transporte_Restaurante" localSheetId="15">#REF!</definedName>
    <definedName name="Transporte_Restaurante" localSheetId="16">#REF!</definedName>
    <definedName name="Transporte_Restaurante" localSheetId="17">#REF!</definedName>
    <definedName name="Transporte_Restaurante" localSheetId="18">#REF!</definedName>
    <definedName name="Transporte_Restaurante" localSheetId="0">#REF!</definedName>
    <definedName name="Transporte_Restaurante" localSheetId="4">#REF!</definedName>
    <definedName name="Transporte_Restaurante" localSheetId="10">#REF!</definedName>
    <definedName name="Transporte_Restaurante" localSheetId="20">#REF!</definedName>
    <definedName name="Transporte_Restaurante" localSheetId="6">#REF!</definedName>
    <definedName name="Transporte_Restaurante" localSheetId="8">#REF!</definedName>
    <definedName name="Transporte_Restaurante" localSheetId="2">#REF!</definedName>
    <definedName name="Transporte_Restaurante">#REF!</definedName>
    <definedName name="USD" localSheetId="9">'[1]2. PPTO CONSOLIDADO'!#REF!</definedName>
    <definedName name="USD" localSheetId="12">'[1]2. PPTO CONSOLIDADO'!#REF!</definedName>
    <definedName name="USD" localSheetId="11">'[1]2. PPTO CONSOLIDADO'!#REF!</definedName>
    <definedName name="USD" localSheetId="13">'[1]2. PPTO CONSOLIDADO'!#REF!</definedName>
    <definedName name="USD" localSheetId="14">'[1]2. PPTO CONSOLIDADO'!#REF!</definedName>
    <definedName name="USD" localSheetId="15">'[1]2. PPTO CONSOLIDADO'!#REF!</definedName>
    <definedName name="USD" localSheetId="16">'[1]2. PPTO CONSOLIDADO'!#REF!</definedName>
    <definedName name="USD" localSheetId="17">'[1]2. PPTO CONSOLIDADO'!#REF!</definedName>
    <definedName name="USD" localSheetId="18">'[1]2. PPTO CONSOLIDADO'!#REF!</definedName>
    <definedName name="USD" localSheetId="10">'[1]2. PPTO CONSOLIDADO'!#REF!</definedName>
    <definedName name="USD" localSheetId="20">'[1]2. PPTO CONSOLIDADO'!#REF!</definedName>
    <definedName name="USD" localSheetId="8">'[1]2. PPTO CONSOLIDADO'!#REF!</definedName>
    <definedName name="USD">'[1]2. PPTO CONSOLIDADO'!#REF!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3" i="6" l="1"/>
  <c r="O12" i="6"/>
  <c r="O18" i="6" l="1"/>
  <c r="M18" i="6"/>
  <c r="M17" i="6"/>
  <c r="L18" i="6"/>
  <c r="C18" i="6" a="1"/>
  <c r="C18" i="6" s="1"/>
  <c r="L138" i="25"/>
  <c r="K138" i="25"/>
  <c r="L135" i="25"/>
  <c r="K135" i="25"/>
  <c r="L134" i="25"/>
  <c r="K134" i="25"/>
  <c r="L133" i="25"/>
  <c r="K133" i="25"/>
  <c r="M130" i="25"/>
  <c r="L130" i="25"/>
  <c r="K130" i="25"/>
  <c r="J130" i="25"/>
  <c r="M129" i="25"/>
  <c r="L129" i="25"/>
  <c r="K129" i="25"/>
  <c r="J129" i="25"/>
  <c r="M128" i="25"/>
  <c r="L128" i="25"/>
  <c r="K128" i="25"/>
  <c r="J128" i="25"/>
  <c r="M127" i="25"/>
  <c r="L127" i="25"/>
  <c r="K127" i="25"/>
  <c r="J127" i="25"/>
  <c r="M126" i="25"/>
  <c r="L126" i="25"/>
  <c r="K126" i="25"/>
  <c r="J126" i="25"/>
  <c r="M125" i="25"/>
  <c r="L125" i="25"/>
  <c r="K125" i="25"/>
  <c r="J125" i="25"/>
  <c r="M124" i="25"/>
  <c r="L124" i="25"/>
  <c r="K124" i="25"/>
  <c r="J124" i="25"/>
  <c r="M123" i="25"/>
  <c r="L123" i="25"/>
  <c r="K123" i="25"/>
  <c r="J123" i="25"/>
  <c r="M122" i="25"/>
  <c r="L122" i="25"/>
  <c r="K122" i="25"/>
  <c r="J122" i="25"/>
  <c r="M121" i="25"/>
  <c r="L121" i="25"/>
  <c r="K121" i="25"/>
  <c r="J121" i="25"/>
  <c r="M120" i="25"/>
  <c r="L120" i="25"/>
  <c r="K120" i="25"/>
  <c r="J120" i="25"/>
  <c r="M119" i="25"/>
  <c r="L119" i="25"/>
  <c r="K119" i="25"/>
  <c r="J119" i="25"/>
  <c r="J131" i="25" s="1"/>
  <c r="M118" i="25"/>
  <c r="L118" i="25"/>
  <c r="K118" i="25"/>
  <c r="M117" i="25"/>
  <c r="L117" i="25"/>
  <c r="K117" i="25"/>
  <c r="J117" i="25"/>
  <c r="M116" i="25"/>
  <c r="L116" i="25"/>
  <c r="K116" i="25"/>
  <c r="J116" i="25"/>
  <c r="M115" i="25"/>
  <c r="L115" i="25"/>
  <c r="K115" i="25"/>
  <c r="J115" i="25"/>
  <c r="M114" i="25"/>
  <c r="L114" i="25"/>
  <c r="K114" i="25"/>
  <c r="J114" i="25"/>
  <c r="M113" i="25"/>
  <c r="L113" i="25"/>
  <c r="K113" i="25"/>
  <c r="J113" i="25"/>
  <c r="M112" i="25"/>
  <c r="L112" i="25"/>
  <c r="K112" i="25"/>
  <c r="J112" i="25"/>
  <c r="M111" i="25"/>
  <c r="L111" i="25"/>
  <c r="K111" i="25"/>
  <c r="J111" i="25"/>
  <c r="M110" i="25"/>
  <c r="L110" i="25"/>
  <c r="K110" i="25"/>
  <c r="J110" i="25"/>
  <c r="M109" i="25"/>
  <c r="L109" i="25"/>
  <c r="K109" i="25"/>
  <c r="J109" i="25"/>
  <c r="M108" i="25"/>
  <c r="L108" i="25"/>
  <c r="K108" i="25"/>
  <c r="J108" i="25"/>
  <c r="M107" i="25"/>
  <c r="L107" i="25"/>
  <c r="K107" i="25"/>
  <c r="J107" i="25"/>
  <c r="M106" i="25"/>
  <c r="L106" i="25"/>
  <c r="K106" i="25"/>
  <c r="J106" i="25"/>
  <c r="M105" i="25"/>
  <c r="L105" i="25"/>
  <c r="K105" i="25"/>
  <c r="J105" i="25"/>
  <c r="M104" i="25"/>
  <c r="L104" i="25"/>
  <c r="K104" i="25"/>
  <c r="J104" i="25"/>
  <c r="M103" i="25"/>
  <c r="L103" i="25"/>
  <c r="K103" i="25"/>
  <c r="J103" i="25"/>
  <c r="M102" i="25"/>
  <c r="L102" i="25"/>
  <c r="K102" i="25"/>
  <c r="J102" i="25"/>
  <c r="M101" i="25"/>
  <c r="L101" i="25"/>
  <c r="K101" i="25"/>
  <c r="J101" i="25"/>
  <c r="M100" i="25"/>
  <c r="L100" i="25"/>
  <c r="K100" i="25"/>
  <c r="J100" i="25"/>
  <c r="M99" i="25"/>
  <c r="L99" i="25"/>
  <c r="K99" i="25"/>
  <c r="J99" i="25"/>
  <c r="M98" i="25"/>
  <c r="L98" i="25"/>
  <c r="K98" i="25"/>
  <c r="J98" i="25"/>
  <c r="M97" i="25"/>
  <c r="L97" i="25"/>
  <c r="K97" i="25"/>
  <c r="J97" i="25"/>
  <c r="M96" i="25"/>
  <c r="L96" i="25"/>
  <c r="K96" i="25"/>
  <c r="J96" i="25"/>
  <c r="M95" i="25"/>
  <c r="L95" i="25"/>
  <c r="K95" i="25"/>
  <c r="J95" i="25"/>
  <c r="M94" i="25"/>
  <c r="L94" i="25"/>
  <c r="K94" i="25"/>
  <c r="J94" i="25"/>
  <c r="M93" i="25"/>
  <c r="L93" i="25"/>
  <c r="K93" i="25"/>
  <c r="J93" i="25"/>
  <c r="M92" i="25"/>
  <c r="L92" i="25"/>
  <c r="K92" i="25"/>
  <c r="J92" i="25"/>
  <c r="M91" i="25"/>
  <c r="L91" i="25"/>
  <c r="K91" i="25"/>
  <c r="J91" i="25"/>
  <c r="M90" i="25"/>
  <c r="L90" i="25"/>
  <c r="K90" i="25"/>
  <c r="J90" i="25"/>
  <c r="M89" i="25"/>
  <c r="L89" i="25"/>
  <c r="K89" i="25"/>
  <c r="J89" i="25"/>
  <c r="M88" i="25"/>
  <c r="L88" i="25"/>
  <c r="K88" i="25"/>
  <c r="J88" i="25"/>
  <c r="M87" i="25"/>
  <c r="L87" i="25"/>
  <c r="K87" i="25"/>
  <c r="J87" i="25"/>
  <c r="M86" i="25"/>
  <c r="L86" i="25"/>
  <c r="K86" i="25"/>
  <c r="J86" i="25"/>
  <c r="M85" i="25"/>
  <c r="L85" i="25"/>
  <c r="K85" i="25"/>
  <c r="J85" i="25"/>
  <c r="M84" i="25"/>
  <c r="L84" i="25"/>
  <c r="K84" i="25"/>
  <c r="J84" i="25"/>
  <c r="M83" i="25"/>
  <c r="L83" i="25"/>
  <c r="K83" i="25"/>
  <c r="J83" i="25"/>
  <c r="M82" i="25"/>
  <c r="L82" i="25"/>
  <c r="K82" i="25"/>
  <c r="J82" i="25"/>
  <c r="M81" i="25"/>
  <c r="L81" i="25"/>
  <c r="K81" i="25"/>
  <c r="J81" i="25"/>
  <c r="J118" i="25" s="1"/>
  <c r="M80" i="25"/>
  <c r="L80" i="25"/>
  <c r="K80" i="25"/>
  <c r="J80" i="25"/>
  <c r="M79" i="25"/>
  <c r="L79" i="25"/>
  <c r="K79" i="25"/>
  <c r="J79" i="25"/>
  <c r="M78" i="25"/>
  <c r="L78" i="25"/>
  <c r="K78" i="25"/>
  <c r="M77" i="25"/>
  <c r="L77" i="25"/>
  <c r="K77" i="25"/>
  <c r="J77" i="25"/>
  <c r="M76" i="25"/>
  <c r="L76" i="25"/>
  <c r="K76" i="25"/>
  <c r="J76" i="25"/>
  <c r="M75" i="25"/>
  <c r="L75" i="25"/>
  <c r="K75" i="25"/>
  <c r="J75" i="25"/>
  <c r="M74" i="25"/>
  <c r="L74" i="25"/>
  <c r="K74" i="25"/>
  <c r="J74" i="25"/>
  <c r="J78" i="25" s="1"/>
  <c r="M73" i="25"/>
  <c r="L73" i="25"/>
  <c r="K73" i="25"/>
  <c r="M72" i="25"/>
  <c r="L72" i="25"/>
  <c r="K72" i="25"/>
  <c r="J72" i="25"/>
  <c r="M71" i="25"/>
  <c r="L71" i="25"/>
  <c r="K71" i="25"/>
  <c r="J71" i="25"/>
  <c r="M70" i="25"/>
  <c r="L70" i="25"/>
  <c r="K70" i="25"/>
  <c r="J70" i="25"/>
  <c r="M69" i="25"/>
  <c r="L69" i="25"/>
  <c r="K69" i="25"/>
  <c r="J69" i="25"/>
  <c r="M68" i="25"/>
  <c r="L68" i="25"/>
  <c r="K68" i="25"/>
  <c r="J68" i="25"/>
  <c r="M67" i="25"/>
  <c r="L67" i="25"/>
  <c r="K67" i="25"/>
  <c r="J67" i="25"/>
  <c r="M66" i="25"/>
  <c r="L66" i="25"/>
  <c r="K66" i="25"/>
  <c r="J66" i="25"/>
  <c r="M65" i="25"/>
  <c r="L65" i="25"/>
  <c r="K65" i="25"/>
  <c r="J65" i="25"/>
  <c r="M64" i="25"/>
  <c r="L64" i="25"/>
  <c r="K64" i="25"/>
  <c r="J64" i="25"/>
  <c r="M63" i="25"/>
  <c r="L63" i="25"/>
  <c r="K63" i="25"/>
  <c r="J63" i="25"/>
  <c r="M62" i="25"/>
  <c r="L62" i="25"/>
  <c r="K62" i="25"/>
  <c r="J62" i="25"/>
  <c r="M61" i="25"/>
  <c r="L61" i="25"/>
  <c r="K61" i="25"/>
  <c r="J61" i="25"/>
  <c r="M60" i="25"/>
  <c r="L60" i="25"/>
  <c r="K60" i="25"/>
  <c r="J60" i="25"/>
  <c r="M59" i="25"/>
  <c r="L59" i="25"/>
  <c r="K59" i="25"/>
  <c r="J59" i="25"/>
  <c r="M58" i="25"/>
  <c r="L58" i="25"/>
  <c r="K58" i="25"/>
  <c r="J58" i="25"/>
  <c r="M57" i="25"/>
  <c r="L57" i="25"/>
  <c r="K57" i="25"/>
  <c r="J57" i="25"/>
  <c r="M56" i="25"/>
  <c r="L56" i="25"/>
  <c r="K56" i="25"/>
  <c r="J56" i="25"/>
  <c r="M55" i="25"/>
  <c r="L55" i="25"/>
  <c r="K55" i="25"/>
  <c r="J55" i="25"/>
  <c r="M54" i="25"/>
  <c r="L54" i="25"/>
  <c r="K54" i="25"/>
  <c r="J54" i="25"/>
  <c r="M53" i="25"/>
  <c r="L53" i="25"/>
  <c r="K53" i="25"/>
  <c r="J53" i="25"/>
  <c r="M52" i="25"/>
  <c r="L52" i="25"/>
  <c r="K52" i="25"/>
  <c r="J52" i="25"/>
  <c r="M51" i="25"/>
  <c r="L51" i="25"/>
  <c r="K51" i="25"/>
  <c r="J51" i="25"/>
  <c r="M50" i="25"/>
  <c r="L50" i="25"/>
  <c r="K50" i="25"/>
  <c r="J50" i="25"/>
  <c r="M49" i="25"/>
  <c r="L49" i="25"/>
  <c r="K49" i="25"/>
  <c r="J49" i="25"/>
  <c r="M48" i="25"/>
  <c r="L48" i="25"/>
  <c r="K48" i="25"/>
  <c r="J48" i="25"/>
  <c r="M47" i="25"/>
  <c r="L47" i="25"/>
  <c r="K47" i="25"/>
  <c r="J47" i="25"/>
  <c r="M46" i="25"/>
  <c r="L46" i="25"/>
  <c r="K46" i="25"/>
  <c r="J46" i="25"/>
  <c r="M45" i="25"/>
  <c r="L45" i="25"/>
  <c r="K45" i="25"/>
  <c r="J45" i="25"/>
  <c r="M44" i="25"/>
  <c r="L44" i="25"/>
  <c r="K44" i="25"/>
  <c r="J44" i="25"/>
  <c r="M43" i="25"/>
  <c r="L43" i="25"/>
  <c r="K43" i="25"/>
  <c r="J43" i="25"/>
  <c r="M42" i="25"/>
  <c r="L42" i="25"/>
  <c r="K42" i="25"/>
  <c r="J42" i="25"/>
  <c r="M41" i="25"/>
  <c r="L41" i="25"/>
  <c r="K41" i="25"/>
  <c r="J41" i="25"/>
  <c r="J73" i="25" s="1"/>
  <c r="M40" i="25"/>
  <c r="L40" i="25"/>
  <c r="K40" i="25"/>
  <c r="J40" i="25"/>
  <c r="M39" i="25"/>
  <c r="L39" i="25"/>
  <c r="K39" i="25"/>
  <c r="M38" i="25"/>
  <c r="L38" i="25"/>
  <c r="K38" i="25"/>
  <c r="J38" i="25"/>
  <c r="M37" i="25"/>
  <c r="L37" i="25"/>
  <c r="K37" i="25"/>
  <c r="J37" i="25"/>
  <c r="M36" i="25"/>
  <c r="L36" i="25"/>
  <c r="K36" i="25"/>
  <c r="J36" i="25"/>
  <c r="M35" i="25"/>
  <c r="L35" i="25"/>
  <c r="K35" i="25"/>
  <c r="J35" i="25"/>
  <c r="M34" i="25"/>
  <c r="L34" i="25"/>
  <c r="K34" i="25"/>
  <c r="J34" i="25"/>
  <c r="M33" i="25"/>
  <c r="L33" i="25"/>
  <c r="K33" i="25"/>
  <c r="J33" i="25"/>
  <c r="M32" i="25"/>
  <c r="L32" i="25"/>
  <c r="K32" i="25"/>
  <c r="J32" i="25"/>
  <c r="M31" i="25"/>
  <c r="L31" i="25"/>
  <c r="K31" i="25"/>
  <c r="J31" i="25"/>
  <c r="M30" i="25"/>
  <c r="L30" i="25"/>
  <c r="K30" i="25"/>
  <c r="J30" i="25"/>
  <c r="M29" i="25"/>
  <c r="L29" i="25"/>
  <c r="K29" i="25"/>
  <c r="J29" i="25"/>
  <c r="M28" i="25"/>
  <c r="L28" i="25"/>
  <c r="K28" i="25"/>
  <c r="J28" i="25"/>
  <c r="M27" i="25"/>
  <c r="L27" i="25"/>
  <c r="K27" i="25"/>
  <c r="J27" i="25"/>
  <c r="M26" i="25"/>
  <c r="L26" i="25"/>
  <c r="K26" i="25"/>
  <c r="J26" i="25"/>
  <c r="M25" i="25"/>
  <c r="L25" i="25"/>
  <c r="K25" i="25"/>
  <c r="J25" i="25"/>
  <c r="M24" i="25"/>
  <c r="L24" i="25"/>
  <c r="K24" i="25"/>
  <c r="J24" i="25"/>
  <c r="M23" i="25"/>
  <c r="L23" i="25"/>
  <c r="K23" i="25"/>
  <c r="J23" i="25"/>
  <c r="M22" i="25"/>
  <c r="L22" i="25"/>
  <c r="K22" i="25"/>
  <c r="J22" i="25"/>
  <c r="M21" i="25"/>
  <c r="L21" i="25"/>
  <c r="K21" i="25"/>
  <c r="J21" i="25"/>
  <c r="M20" i="25"/>
  <c r="L20" i="25"/>
  <c r="K20" i="25"/>
  <c r="J20" i="25"/>
  <c r="M19" i="25"/>
  <c r="L19" i="25"/>
  <c r="K19" i="25"/>
  <c r="J19" i="25"/>
  <c r="M18" i="25"/>
  <c r="L18" i="25"/>
  <c r="K18" i="25"/>
  <c r="J18" i="25"/>
  <c r="M17" i="25"/>
  <c r="L17" i="25"/>
  <c r="K17" i="25"/>
  <c r="J17" i="25"/>
  <c r="M16" i="25"/>
  <c r="L16" i="25"/>
  <c r="K16" i="25"/>
  <c r="J16" i="25"/>
  <c r="J39" i="25" s="1"/>
  <c r="D4" i="24"/>
  <c r="D3" i="24"/>
  <c r="F44" i="24"/>
  <c r="F43" i="24"/>
  <c r="I43" i="24" s="1"/>
  <c r="J43" i="24" s="1"/>
  <c r="M43" i="24" s="1"/>
  <c r="D43" i="24"/>
  <c r="B43" i="24"/>
  <c r="F42" i="24"/>
  <c r="F41" i="24"/>
  <c r="I41" i="24" s="1"/>
  <c r="J41" i="24" s="1"/>
  <c r="M41" i="24" s="1"/>
  <c r="B41" i="24"/>
  <c r="F39" i="24"/>
  <c r="I39" i="24" s="1"/>
  <c r="J39" i="24" s="1"/>
  <c r="M39" i="24" s="1"/>
  <c r="I37" i="24"/>
  <c r="J37" i="24" s="1"/>
  <c r="M37" i="24" s="1"/>
  <c r="I35" i="24"/>
  <c r="J35" i="24" s="1"/>
  <c r="M35" i="24" s="1"/>
  <c r="B35" i="24"/>
  <c r="B37" i="24" s="1"/>
  <c r="F34" i="24"/>
  <c r="F33" i="24"/>
  <c r="I33" i="24" s="1"/>
  <c r="J33" i="24" s="1"/>
  <c r="M33" i="24" s="1"/>
  <c r="B33" i="24"/>
  <c r="I31" i="24"/>
  <c r="J31" i="24" s="1"/>
  <c r="M31" i="24" s="1"/>
  <c r="M45" i="24" s="1"/>
  <c r="I45" i="24" s="1"/>
  <c r="D31" i="24"/>
  <c r="G29" i="24"/>
  <c r="F29" i="24"/>
  <c r="O25" i="24"/>
  <c r="M25" i="24"/>
  <c r="O24" i="24"/>
  <c r="M24" i="24"/>
  <c r="O23" i="24"/>
  <c r="M23" i="24"/>
  <c r="O18" i="24"/>
  <c r="J18" i="24"/>
  <c r="M18" i="24" s="1"/>
  <c r="O17" i="24"/>
  <c r="J17" i="24" s="1"/>
  <c r="M17" i="24" s="1"/>
  <c r="O16" i="24"/>
  <c r="J16" i="24"/>
  <c r="M16" i="24" s="1"/>
  <c r="O12" i="24"/>
  <c r="J12" i="24"/>
  <c r="M12" i="24" s="1"/>
  <c r="O11" i="24"/>
  <c r="J11" i="24"/>
  <c r="M11" i="24" s="1"/>
  <c r="O10" i="24"/>
  <c r="N10" i="24"/>
  <c r="J10" i="24"/>
  <c r="M10" i="24" s="1"/>
  <c r="O17" i="6"/>
  <c r="L17" i="6"/>
  <c r="C17" i="6" a="1"/>
  <c r="C17" i="6" s="1"/>
  <c r="L138" i="23"/>
  <c r="K138" i="23"/>
  <c r="L135" i="23"/>
  <c r="K135" i="23"/>
  <c r="L134" i="23"/>
  <c r="K134" i="23"/>
  <c r="L133" i="23"/>
  <c r="K133" i="23"/>
  <c r="N130" i="23"/>
  <c r="L130" i="23"/>
  <c r="K130" i="23"/>
  <c r="J130" i="23"/>
  <c r="N129" i="23"/>
  <c r="L129" i="23"/>
  <c r="K129" i="23"/>
  <c r="J129" i="23"/>
  <c r="N128" i="23"/>
  <c r="L128" i="23"/>
  <c r="K128" i="23"/>
  <c r="J128" i="23"/>
  <c r="N127" i="23"/>
  <c r="L127" i="23"/>
  <c r="K127" i="23"/>
  <c r="J127" i="23"/>
  <c r="N126" i="23"/>
  <c r="L126" i="23"/>
  <c r="K126" i="23"/>
  <c r="J126" i="23"/>
  <c r="N125" i="23"/>
  <c r="L125" i="23"/>
  <c r="K125" i="23"/>
  <c r="J125" i="23"/>
  <c r="N124" i="23"/>
  <c r="L124" i="23"/>
  <c r="K124" i="23"/>
  <c r="J124" i="23"/>
  <c r="N123" i="23"/>
  <c r="L123" i="23"/>
  <c r="K123" i="23"/>
  <c r="J123" i="23"/>
  <c r="N122" i="23"/>
  <c r="L122" i="23"/>
  <c r="K122" i="23"/>
  <c r="J122" i="23"/>
  <c r="N121" i="23"/>
  <c r="L121" i="23"/>
  <c r="K121" i="23"/>
  <c r="J121" i="23"/>
  <c r="N120" i="23"/>
  <c r="L120" i="23"/>
  <c r="K120" i="23"/>
  <c r="J120" i="23"/>
  <c r="N119" i="23"/>
  <c r="L119" i="23"/>
  <c r="K119" i="23"/>
  <c r="J119" i="23"/>
  <c r="J131" i="23" s="1"/>
  <c r="N118" i="23"/>
  <c r="L118" i="23"/>
  <c r="K118" i="23"/>
  <c r="N117" i="23"/>
  <c r="L117" i="23"/>
  <c r="K117" i="23"/>
  <c r="J117" i="23"/>
  <c r="N116" i="23"/>
  <c r="L116" i="23"/>
  <c r="K116" i="23"/>
  <c r="J116" i="23"/>
  <c r="N115" i="23"/>
  <c r="L115" i="23"/>
  <c r="K115" i="23"/>
  <c r="J115" i="23"/>
  <c r="N114" i="23"/>
  <c r="L114" i="23"/>
  <c r="K114" i="23"/>
  <c r="J114" i="23"/>
  <c r="N113" i="23"/>
  <c r="L113" i="23"/>
  <c r="K113" i="23"/>
  <c r="J113" i="23"/>
  <c r="N112" i="23"/>
  <c r="L112" i="23"/>
  <c r="K112" i="23"/>
  <c r="J112" i="23"/>
  <c r="N111" i="23"/>
  <c r="L111" i="23"/>
  <c r="K111" i="23"/>
  <c r="J111" i="23"/>
  <c r="N110" i="23"/>
  <c r="L110" i="23"/>
  <c r="K110" i="23"/>
  <c r="J110" i="23"/>
  <c r="N109" i="23"/>
  <c r="L109" i="23"/>
  <c r="K109" i="23"/>
  <c r="J109" i="23"/>
  <c r="N108" i="23"/>
  <c r="L108" i="23"/>
  <c r="K108" i="23"/>
  <c r="J108" i="23"/>
  <c r="N107" i="23"/>
  <c r="L107" i="23"/>
  <c r="K107" i="23"/>
  <c r="J107" i="23"/>
  <c r="N106" i="23"/>
  <c r="L106" i="23"/>
  <c r="K106" i="23"/>
  <c r="J106" i="23"/>
  <c r="N105" i="23"/>
  <c r="L105" i="23"/>
  <c r="K105" i="23"/>
  <c r="J105" i="23"/>
  <c r="N104" i="23"/>
  <c r="L104" i="23"/>
  <c r="K104" i="23"/>
  <c r="J104" i="23"/>
  <c r="N103" i="23"/>
  <c r="L103" i="23"/>
  <c r="K103" i="23"/>
  <c r="J103" i="23"/>
  <c r="N102" i="23"/>
  <c r="L102" i="23"/>
  <c r="K102" i="23"/>
  <c r="J102" i="23"/>
  <c r="N101" i="23"/>
  <c r="L101" i="23"/>
  <c r="K101" i="23"/>
  <c r="J101" i="23"/>
  <c r="N100" i="23"/>
  <c r="L100" i="23"/>
  <c r="K100" i="23"/>
  <c r="J100" i="23"/>
  <c r="N99" i="23"/>
  <c r="L99" i="23"/>
  <c r="K99" i="23"/>
  <c r="J99" i="23"/>
  <c r="N98" i="23"/>
  <c r="L98" i="23"/>
  <c r="K98" i="23"/>
  <c r="J98" i="23"/>
  <c r="N97" i="23"/>
  <c r="L97" i="23"/>
  <c r="K97" i="23"/>
  <c r="J97" i="23"/>
  <c r="N96" i="23"/>
  <c r="L96" i="23"/>
  <c r="K96" i="23"/>
  <c r="J96" i="23"/>
  <c r="N95" i="23"/>
  <c r="L95" i="23"/>
  <c r="K95" i="23"/>
  <c r="J95" i="23"/>
  <c r="N94" i="23"/>
  <c r="L94" i="23"/>
  <c r="K94" i="23"/>
  <c r="J94" i="23"/>
  <c r="N93" i="23"/>
  <c r="L93" i="23"/>
  <c r="K93" i="23"/>
  <c r="J93" i="23"/>
  <c r="N92" i="23"/>
  <c r="L92" i="23"/>
  <c r="K92" i="23"/>
  <c r="J92" i="23"/>
  <c r="N91" i="23"/>
  <c r="L91" i="23"/>
  <c r="K91" i="23"/>
  <c r="J91" i="23"/>
  <c r="N90" i="23"/>
  <c r="L90" i="23"/>
  <c r="K90" i="23"/>
  <c r="J90" i="23"/>
  <c r="N89" i="23"/>
  <c r="L89" i="23"/>
  <c r="K89" i="23"/>
  <c r="J89" i="23"/>
  <c r="N88" i="23"/>
  <c r="L88" i="23"/>
  <c r="K88" i="23"/>
  <c r="J88" i="23"/>
  <c r="N87" i="23"/>
  <c r="L87" i="23"/>
  <c r="K87" i="23"/>
  <c r="J87" i="23"/>
  <c r="N86" i="23"/>
  <c r="L86" i="23"/>
  <c r="K86" i="23"/>
  <c r="J86" i="23"/>
  <c r="N85" i="23"/>
  <c r="L85" i="23"/>
  <c r="K85" i="23"/>
  <c r="J85" i="23"/>
  <c r="N84" i="23"/>
  <c r="L84" i="23"/>
  <c r="K84" i="23"/>
  <c r="J84" i="23"/>
  <c r="N83" i="23"/>
  <c r="L83" i="23"/>
  <c r="K83" i="23"/>
  <c r="J83" i="23"/>
  <c r="N82" i="23"/>
  <c r="L82" i="23"/>
  <c r="K82" i="23"/>
  <c r="J82" i="23"/>
  <c r="N81" i="23"/>
  <c r="L81" i="23"/>
  <c r="K81" i="23"/>
  <c r="J81" i="23"/>
  <c r="J118" i="23" s="1"/>
  <c r="N80" i="23"/>
  <c r="L80" i="23"/>
  <c r="K80" i="23"/>
  <c r="J80" i="23"/>
  <c r="N79" i="23"/>
  <c r="L79" i="23"/>
  <c r="K79" i="23"/>
  <c r="J79" i="23"/>
  <c r="N78" i="23"/>
  <c r="L78" i="23"/>
  <c r="K78" i="23"/>
  <c r="N77" i="23"/>
  <c r="L77" i="23"/>
  <c r="K77" i="23"/>
  <c r="J77" i="23"/>
  <c r="N76" i="23"/>
  <c r="L76" i="23"/>
  <c r="K76" i="23"/>
  <c r="J76" i="23"/>
  <c r="N75" i="23"/>
  <c r="L75" i="23"/>
  <c r="K75" i="23"/>
  <c r="J75" i="23"/>
  <c r="N74" i="23"/>
  <c r="L74" i="23"/>
  <c r="K74" i="23"/>
  <c r="J74" i="23"/>
  <c r="J78" i="23" s="1"/>
  <c r="N73" i="23"/>
  <c r="L73" i="23"/>
  <c r="K73" i="23"/>
  <c r="N72" i="23"/>
  <c r="L72" i="23"/>
  <c r="K72" i="23"/>
  <c r="J72" i="23"/>
  <c r="N71" i="23"/>
  <c r="L71" i="23"/>
  <c r="K71" i="23"/>
  <c r="J71" i="23"/>
  <c r="N70" i="23"/>
  <c r="L70" i="23"/>
  <c r="K70" i="23"/>
  <c r="J70" i="23"/>
  <c r="N69" i="23"/>
  <c r="L69" i="23"/>
  <c r="K69" i="23"/>
  <c r="J69" i="23"/>
  <c r="N68" i="23"/>
  <c r="L68" i="23"/>
  <c r="K68" i="23"/>
  <c r="J68" i="23"/>
  <c r="N67" i="23"/>
  <c r="L67" i="23"/>
  <c r="K67" i="23"/>
  <c r="J67" i="23"/>
  <c r="N66" i="23"/>
  <c r="L66" i="23"/>
  <c r="K66" i="23"/>
  <c r="J66" i="23"/>
  <c r="N65" i="23"/>
  <c r="L65" i="23"/>
  <c r="K65" i="23"/>
  <c r="J65" i="23"/>
  <c r="N64" i="23"/>
  <c r="L64" i="23"/>
  <c r="K64" i="23"/>
  <c r="J64" i="23"/>
  <c r="N63" i="23"/>
  <c r="L63" i="23"/>
  <c r="K63" i="23"/>
  <c r="J63" i="23"/>
  <c r="N62" i="23"/>
  <c r="L62" i="23"/>
  <c r="K62" i="23"/>
  <c r="J62" i="23"/>
  <c r="N61" i="23"/>
  <c r="L61" i="23"/>
  <c r="K61" i="23"/>
  <c r="J61" i="23"/>
  <c r="N60" i="23"/>
  <c r="L60" i="23"/>
  <c r="K60" i="23"/>
  <c r="J60" i="23"/>
  <c r="N59" i="23"/>
  <c r="L59" i="23"/>
  <c r="K59" i="23"/>
  <c r="J59" i="23"/>
  <c r="N58" i="23"/>
  <c r="L58" i="23"/>
  <c r="K58" i="23"/>
  <c r="J58" i="23"/>
  <c r="N57" i="23"/>
  <c r="L57" i="23"/>
  <c r="K57" i="23"/>
  <c r="J57" i="23"/>
  <c r="N56" i="23"/>
  <c r="L56" i="23"/>
  <c r="K56" i="23"/>
  <c r="J56" i="23"/>
  <c r="N55" i="23"/>
  <c r="L55" i="23"/>
  <c r="K55" i="23"/>
  <c r="J55" i="23"/>
  <c r="N54" i="23"/>
  <c r="L54" i="23"/>
  <c r="K54" i="23"/>
  <c r="J54" i="23"/>
  <c r="N53" i="23"/>
  <c r="L53" i="23"/>
  <c r="K53" i="23"/>
  <c r="J53" i="23"/>
  <c r="N52" i="23"/>
  <c r="L52" i="23"/>
  <c r="K52" i="23"/>
  <c r="J52" i="23"/>
  <c r="N51" i="23"/>
  <c r="L51" i="23"/>
  <c r="K51" i="23"/>
  <c r="J51" i="23"/>
  <c r="N50" i="23"/>
  <c r="L50" i="23"/>
  <c r="K50" i="23"/>
  <c r="J50" i="23"/>
  <c r="N49" i="23"/>
  <c r="L49" i="23"/>
  <c r="K49" i="23"/>
  <c r="J49" i="23"/>
  <c r="N48" i="23"/>
  <c r="L48" i="23"/>
  <c r="K48" i="23"/>
  <c r="J48" i="23"/>
  <c r="N47" i="23"/>
  <c r="L47" i="23"/>
  <c r="K47" i="23"/>
  <c r="J47" i="23"/>
  <c r="N46" i="23"/>
  <c r="L46" i="23"/>
  <c r="K46" i="23"/>
  <c r="J46" i="23"/>
  <c r="N45" i="23"/>
  <c r="L45" i="23"/>
  <c r="K45" i="23"/>
  <c r="J45" i="23"/>
  <c r="N44" i="23"/>
  <c r="L44" i="23"/>
  <c r="K44" i="23"/>
  <c r="J44" i="23"/>
  <c r="N43" i="23"/>
  <c r="L43" i="23"/>
  <c r="K43" i="23"/>
  <c r="J43" i="23"/>
  <c r="N42" i="23"/>
  <c r="L42" i="23"/>
  <c r="K42" i="23"/>
  <c r="J42" i="23"/>
  <c r="N41" i="23"/>
  <c r="L41" i="23"/>
  <c r="K41" i="23"/>
  <c r="J41" i="23"/>
  <c r="J73" i="23" s="1"/>
  <c r="N40" i="23"/>
  <c r="L40" i="23"/>
  <c r="K40" i="23"/>
  <c r="J40" i="23"/>
  <c r="N39" i="23"/>
  <c r="L39" i="23"/>
  <c r="K39" i="23"/>
  <c r="N38" i="23"/>
  <c r="L38" i="23"/>
  <c r="K38" i="23"/>
  <c r="J38" i="23"/>
  <c r="N37" i="23"/>
  <c r="L37" i="23"/>
  <c r="K37" i="23"/>
  <c r="J37" i="23"/>
  <c r="N36" i="23"/>
  <c r="L36" i="23"/>
  <c r="K36" i="23"/>
  <c r="J36" i="23"/>
  <c r="N35" i="23"/>
  <c r="L35" i="23"/>
  <c r="K35" i="23"/>
  <c r="J35" i="23"/>
  <c r="N34" i="23"/>
  <c r="L34" i="23"/>
  <c r="K34" i="23"/>
  <c r="J34" i="23"/>
  <c r="N33" i="23"/>
  <c r="L33" i="23"/>
  <c r="K33" i="23"/>
  <c r="J33" i="23"/>
  <c r="N32" i="23"/>
  <c r="L32" i="23"/>
  <c r="K32" i="23"/>
  <c r="J32" i="23"/>
  <c r="N31" i="23"/>
  <c r="L31" i="23"/>
  <c r="K31" i="23"/>
  <c r="J31" i="23"/>
  <c r="N30" i="23"/>
  <c r="L30" i="23"/>
  <c r="K30" i="23"/>
  <c r="J30" i="23"/>
  <c r="N29" i="23"/>
  <c r="L29" i="23"/>
  <c r="K29" i="23"/>
  <c r="J29" i="23"/>
  <c r="N28" i="23"/>
  <c r="L28" i="23"/>
  <c r="K28" i="23"/>
  <c r="J28" i="23"/>
  <c r="N27" i="23"/>
  <c r="L27" i="23"/>
  <c r="K27" i="23"/>
  <c r="J27" i="23"/>
  <c r="N26" i="23"/>
  <c r="L26" i="23"/>
  <c r="K26" i="23"/>
  <c r="J26" i="23"/>
  <c r="N25" i="23"/>
  <c r="L25" i="23"/>
  <c r="K25" i="23"/>
  <c r="J25" i="23"/>
  <c r="N24" i="23"/>
  <c r="L24" i="23"/>
  <c r="K24" i="23"/>
  <c r="J24" i="23"/>
  <c r="N23" i="23"/>
  <c r="L23" i="23"/>
  <c r="K23" i="23"/>
  <c r="J23" i="23"/>
  <c r="N22" i="23"/>
  <c r="L22" i="23"/>
  <c r="K22" i="23"/>
  <c r="J22" i="23"/>
  <c r="N21" i="23"/>
  <c r="L21" i="23"/>
  <c r="K21" i="23"/>
  <c r="J21" i="23"/>
  <c r="N20" i="23"/>
  <c r="L20" i="23"/>
  <c r="K20" i="23"/>
  <c r="J20" i="23"/>
  <c r="N19" i="23"/>
  <c r="L19" i="23"/>
  <c r="K19" i="23"/>
  <c r="J19" i="23"/>
  <c r="N18" i="23"/>
  <c r="L18" i="23"/>
  <c r="K18" i="23"/>
  <c r="J18" i="23"/>
  <c r="N17" i="23"/>
  <c r="L17" i="23"/>
  <c r="K17" i="23"/>
  <c r="J17" i="23"/>
  <c r="N16" i="23"/>
  <c r="L16" i="23"/>
  <c r="K16" i="23"/>
  <c r="J16" i="23"/>
  <c r="J39" i="23" s="1"/>
  <c r="D4" i="22"/>
  <c r="D3" i="22"/>
  <c r="G44" i="22"/>
  <c r="F43" i="22"/>
  <c r="D43" i="22"/>
  <c r="B43" i="22"/>
  <c r="G42" i="22"/>
  <c r="G43" i="22" s="1"/>
  <c r="G41" i="22"/>
  <c r="F41" i="22"/>
  <c r="I41" i="22" s="1"/>
  <c r="J41" i="22" s="1"/>
  <c r="M41" i="22" s="1"/>
  <c r="B41" i="22"/>
  <c r="G39" i="22"/>
  <c r="F39" i="22"/>
  <c r="I39" i="22" s="1"/>
  <c r="J39" i="22" s="1"/>
  <c r="M39" i="22" s="1"/>
  <c r="I37" i="22"/>
  <c r="J37" i="22" s="1"/>
  <c r="M37" i="22" s="1"/>
  <c r="J35" i="22"/>
  <c r="M35" i="22" s="1"/>
  <c r="I35" i="22"/>
  <c r="B35" i="22"/>
  <c r="B37" i="22" s="1"/>
  <c r="G34" i="22"/>
  <c r="F34" i="22"/>
  <c r="G33" i="22"/>
  <c r="F33" i="22"/>
  <c r="I33" i="22" s="1"/>
  <c r="J33" i="22" s="1"/>
  <c r="M33" i="22" s="1"/>
  <c r="B33" i="22"/>
  <c r="I31" i="22"/>
  <c r="J31" i="22" s="1"/>
  <c r="M31" i="22" s="1"/>
  <c r="D31" i="22"/>
  <c r="G29" i="22"/>
  <c r="F29" i="22"/>
  <c r="O25" i="22"/>
  <c r="M25" i="22"/>
  <c r="O24" i="22"/>
  <c r="M24" i="22"/>
  <c r="O23" i="22"/>
  <c r="M23" i="22"/>
  <c r="O18" i="22"/>
  <c r="J18" i="22" s="1"/>
  <c r="M18" i="22" s="1"/>
  <c r="O17" i="22"/>
  <c r="J17" i="22"/>
  <c r="M17" i="22" s="1"/>
  <c r="O16" i="22"/>
  <c r="J16" i="22"/>
  <c r="M16" i="22" s="1"/>
  <c r="O12" i="22"/>
  <c r="J12" i="22" s="1"/>
  <c r="M12" i="22" s="1"/>
  <c r="O11" i="22"/>
  <c r="J11" i="22" s="1"/>
  <c r="M11" i="22" s="1"/>
  <c r="O10" i="22"/>
  <c r="J10" i="22" s="1"/>
  <c r="M10" i="22" s="1"/>
  <c r="N10" i="22"/>
  <c r="L138" i="17"/>
  <c r="K138" i="17"/>
  <c r="L138" i="19"/>
  <c r="K138" i="19"/>
  <c r="L138" i="21"/>
  <c r="L135" i="21"/>
  <c r="K135" i="21"/>
  <c r="L134" i="21"/>
  <c r="K134" i="21"/>
  <c r="L133" i="21"/>
  <c r="K133" i="21"/>
  <c r="J131" i="21"/>
  <c r="N130" i="21"/>
  <c r="L130" i="21"/>
  <c r="K130" i="21"/>
  <c r="N129" i="21"/>
  <c r="L129" i="21"/>
  <c r="K129" i="21"/>
  <c r="N128" i="21"/>
  <c r="L128" i="21"/>
  <c r="K128" i="21"/>
  <c r="N127" i="21"/>
  <c r="L127" i="21"/>
  <c r="K127" i="21"/>
  <c r="N126" i="21"/>
  <c r="L126" i="21"/>
  <c r="K126" i="21"/>
  <c r="N125" i="21"/>
  <c r="L125" i="21"/>
  <c r="K125" i="21"/>
  <c r="N124" i="21"/>
  <c r="L124" i="21"/>
  <c r="K124" i="21"/>
  <c r="N123" i="21"/>
  <c r="L123" i="21"/>
  <c r="K123" i="21"/>
  <c r="N122" i="21"/>
  <c r="L122" i="21"/>
  <c r="K122" i="21"/>
  <c r="N121" i="21"/>
  <c r="L121" i="21"/>
  <c r="K121" i="21"/>
  <c r="N120" i="21"/>
  <c r="L120" i="21"/>
  <c r="K120" i="21"/>
  <c r="N119" i="21"/>
  <c r="L119" i="21"/>
  <c r="K119" i="21"/>
  <c r="N118" i="21"/>
  <c r="L118" i="21"/>
  <c r="K118" i="21"/>
  <c r="J118" i="21"/>
  <c r="J132" i="21" s="1"/>
  <c r="N117" i="21"/>
  <c r="L117" i="21"/>
  <c r="K117" i="21"/>
  <c r="N116" i="21"/>
  <c r="L116" i="21"/>
  <c r="K116" i="21"/>
  <c r="N115" i="21"/>
  <c r="L115" i="21"/>
  <c r="K115" i="21"/>
  <c r="N114" i="21"/>
  <c r="L114" i="21"/>
  <c r="K114" i="21"/>
  <c r="N113" i="21"/>
  <c r="L113" i="21"/>
  <c r="K113" i="21"/>
  <c r="N112" i="21"/>
  <c r="L112" i="21"/>
  <c r="K112" i="21"/>
  <c r="N111" i="21"/>
  <c r="L111" i="21"/>
  <c r="K111" i="21"/>
  <c r="N110" i="21"/>
  <c r="L110" i="21"/>
  <c r="K110" i="21"/>
  <c r="N109" i="21"/>
  <c r="L109" i="21"/>
  <c r="K109" i="21"/>
  <c r="N108" i="21"/>
  <c r="L108" i="21"/>
  <c r="K108" i="21"/>
  <c r="N107" i="21"/>
  <c r="L107" i="21"/>
  <c r="K107" i="21"/>
  <c r="N106" i="21"/>
  <c r="L106" i="21"/>
  <c r="K106" i="21"/>
  <c r="N105" i="21"/>
  <c r="L105" i="21"/>
  <c r="K105" i="21"/>
  <c r="N104" i="21"/>
  <c r="L104" i="21"/>
  <c r="K104" i="21"/>
  <c r="N103" i="21"/>
  <c r="L103" i="21"/>
  <c r="K103" i="21"/>
  <c r="N102" i="21"/>
  <c r="L102" i="21"/>
  <c r="K102" i="21"/>
  <c r="N101" i="21"/>
  <c r="L101" i="21"/>
  <c r="K101" i="21"/>
  <c r="N100" i="21"/>
  <c r="L100" i="21"/>
  <c r="K100" i="21"/>
  <c r="N99" i="21"/>
  <c r="L99" i="21"/>
  <c r="K99" i="21"/>
  <c r="N98" i="21"/>
  <c r="L98" i="21"/>
  <c r="K98" i="21"/>
  <c r="N97" i="21"/>
  <c r="L97" i="21"/>
  <c r="K97" i="21"/>
  <c r="N96" i="21"/>
  <c r="L96" i="21"/>
  <c r="K96" i="21"/>
  <c r="N95" i="21"/>
  <c r="L95" i="21"/>
  <c r="K95" i="21"/>
  <c r="N94" i="21"/>
  <c r="L94" i="21"/>
  <c r="K94" i="21"/>
  <c r="N93" i="21"/>
  <c r="L93" i="21"/>
  <c r="K93" i="21"/>
  <c r="N92" i="21"/>
  <c r="L92" i="21"/>
  <c r="K92" i="21"/>
  <c r="N91" i="21"/>
  <c r="L91" i="21"/>
  <c r="K91" i="21"/>
  <c r="N90" i="21"/>
  <c r="L90" i="21"/>
  <c r="K90" i="21"/>
  <c r="N89" i="21"/>
  <c r="L89" i="21"/>
  <c r="K89" i="21"/>
  <c r="N88" i="21"/>
  <c r="L88" i="21"/>
  <c r="K88" i="21"/>
  <c r="N87" i="21"/>
  <c r="L87" i="21"/>
  <c r="K87" i="21"/>
  <c r="N86" i="21"/>
  <c r="L86" i="21"/>
  <c r="K86" i="21"/>
  <c r="N85" i="21"/>
  <c r="L85" i="21"/>
  <c r="K85" i="21"/>
  <c r="N84" i="21"/>
  <c r="L84" i="21"/>
  <c r="K84" i="21"/>
  <c r="N83" i="21"/>
  <c r="L83" i="21"/>
  <c r="K83" i="21"/>
  <c r="N82" i="21"/>
  <c r="L82" i="21"/>
  <c r="K82" i="21"/>
  <c r="N81" i="21"/>
  <c r="L81" i="21"/>
  <c r="K81" i="21"/>
  <c r="N80" i="21"/>
  <c r="L80" i="21"/>
  <c r="K80" i="21"/>
  <c r="N79" i="21"/>
  <c r="L79" i="21"/>
  <c r="K79" i="21"/>
  <c r="N78" i="21"/>
  <c r="L78" i="21"/>
  <c r="K78" i="21"/>
  <c r="J78" i="21"/>
  <c r="N77" i="21"/>
  <c r="L77" i="21"/>
  <c r="K77" i="21"/>
  <c r="N76" i="21"/>
  <c r="L76" i="21"/>
  <c r="K76" i="21"/>
  <c r="N75" i="21"/>
  <c r="L75" i="21"/>
  <c r="K75" i="21"/>
  <c r="N74" i="21"/>
  <c r="L74" i="21"/>
  <c r="K74" i="21"/>
  <c r="N73" i="21"/>
  <c r="L73" i="21"/>
  <c r="K73" i="21"/>
  <c r="J73" i="21"/>
  <c r="N72" i="21"/>
  <c r="L72" i="21"/>
  <c r="K72" i="21"/>
  <c r="N71" i="21"/>
  <c r="L71" i="21"/>
  <c r="K71" i="21"/>
  <c r="N70" i="21"/>
  <c r="L70" i="21"/>
  <c r="K70" i="21"/>
  <c r="N69" i="21"/>
  <c r="L69" i="21"/>
  <c r="K69" i="21"/>
  <c r="N68" i="21"/>
  <c r="L68" i="21"/>
  <c r="K68" i="21"/>
  <c r="N67" i="21"/>
  <c r="L67" i="21"/>
  <c r="K67" i="21"/>
  <c r="N66" i="21"/>
  <c r="L66" i="21"/>
  <c r="K66" i="21"/>
  <c r="N65" i="21"/>
  <c r="L65" i="21"/>
  <c r="K65" i="21"/>
  <c r="N64" i="21"/>
  <c r="L64" i="21"/>
  <c r="K64" i="21"/>
  <c r="N63" i="21"/>
  <c r="L63" i="21"/>
  <c r="K63" i="21"/>
  <c r="N62" i="21"/>
  <c r="L62" i="21"/>
  <c r="K62" i="21"/>
  <c r="N61" i="21"/>
  <c r="L61" i="21"/>
  <c r="K61" i="21"/>
  <c r="N60" i="21"/>
  <c r="L60" i="21"/>
  <c r="K60" i="21"/>
  <c r="N59" i="21"/>
  <c r="L59" i="21"/>
  <c r="K59" i="21"/>
  <c r="N58" i="21"/>
  <c r="L58" i="21"/>
  <c r="K58" i="21"/>
  <c r="N57" i="21"/>
  <c r="L57" i="21"/>
  <c r="K57" i="21"/>
  <c r="N56" i="21"/>
  <c r="L56" i="21"/>
  <c r="K56" i="21"/>
  <c r="N55" i="21"/>
  <c r="L55" i="21"/>
  <c r="K55" i="21"/>
  <c r="N54" i="21"/>
  <c r="L54" i="21"/>
  <c r="K54" i="21"/>
  <c r="N53" i="21"/>
  <c r="L53" i="21"/>
  <c r="K53" i="21"/>
  <c r="N52" i="21"/>
  <c r="L52" i="21"/>
  <c r="K52" i="21"/>
  <c r="N51" i="21"/>
  <c r="L51" i="21"/>
  <c r="K51" i="21"/>
  <c r="N50" i="21"/>
  <c r="L50" i="21"/>
  <c r="K50" i="21"/>
  <c r="N49" i="21"/>
  <c r="L49" i="21"/>
  <c r="K49" i="21"/>
  <c r="N48" i="21"/>
  <c r="L48" i="21"/>
  <c r="K48" i="21"/>
  <c r="N47" i="21"/>
  <c r="L47" i="21"/>
  <c r="K47" i="21"/>
  <c r="N46" i="21"/>
  <c r="L46" i="21"/>
  <c r="K46" i="21"/>
  <c r="N45" i="21"/>
  <c r="L45" i="21"/>
  <c r="K45" i="21"/>
  <c r="N44" i="21"/>
  <c r="L44" i="21"/>
  <c r="K44" i="21"/>
  <c r="N43" i="21"/>
  <c r="L43" i="21"/>
  <c r="K43" i="21"/>
  <c r="N42" i="21"/>
  <c r="L42" i="21"/>
  <c r="K42" i="21"/>
  <c r="N41" i="21"/>
  <c r="L41" i="21"/>
  <c r="K41" i="21"/>
  <c r="N40" i="21"/>
  <c r="L40" i="21"/>
  <c r="K40" i="21"/>
  <c r="N39" i="21"/>
  <c r="L39" i="21"/>
  <c r="K39" i="21"/>
  <c r="J39" i="21"/>
  <c r="N38" i="21"/>
  <c r="L38" i="21"/>
  <c r="K38" i="21"/>
  <c r="N37" i="21"/>
  <c r="L37" i="21"/>
  <c r="K37" i="21"/>
  <c r="N36" i="21"/>
  <c r="L36" i="21"/>
  <c r="K36" i="21"/>
  <c r="N35" i="21"/>
  <c r="L35" i="21"/>
  <c r="K35" i="21"/>
  <c r="N34" i="21"/>
  <c r="L34" i="21"/>
  <c r="K34" i="21"/>
  <c r="N33" i="21"/>
  <c r="L33" i="21"/>
  <c r="K33" i="21"/>
  <c r="N32" i="21"/>
  <c r="L32" i="21"/>
  <c r="K32" i="21"/>
  <c r="N31" i="21"/>
  <c r="L31" i="21"/>
  <c r="K31" i="21"/>
  <c r="N30" i="21"/>
  <c r="L30" i="21"/>
  <c r="K30" i="21"/>
  <c r="N29" i="21"/>
  <c r="L29" i="21"/>
  <c r="K29" i="21"/>
  <c r="N28" i="21"/>
  <c r="L28" i="21"/>
  <c r="K28" i="21"/>
  <c r="N27" i="21"/>
  <c r="L27" i="21"/>
  <c r="K27" i="21"/>
  <c r="N26" i="21"/>
  <c r="L26" i="21"/>
  <c r="K26" i="21"/>
  <c r="N25" i="21"/>
  <c r="L25" i="21"/>
  <c r="K25" i="21"/>
  <c r="N24" i="21"/>
  <c r="L24" i="21"/>
  <c r="K24" i="21"/>
  <c r="N23" i="21"/>
  <c r="L23" i="21"/>
  <c r="K23" i="21"/>
  <c r="N22" i="21"/>
  <c r="L22" i="21"/>
  <c r="K22" i="21"/>
  <c r="N21" i="21"/>
  <c r="L21" i="21"/>
  <c r="K21" i="21"/>
  <c r="N20" i="21"/>
  <c r="L20" i="21"/>
  <c r="K20" i="21"/>
  <c r="N19" i="21"/>
  <c r="L19" i="21"/>
  <c r="K19" i="21"/>
  <c r="N18" i="21"/>
  <c r="L18" i="21"/>
  <c r="K18" i="21"/>
  <c r="N17" i="21"/>
  <c r="L17" i="21"/>
  <c r="K17" i="21"/>
  <c r="N16" i="21"/>
  <c r="L16" i="21"/>
  <c r="K16" i="21"/>
  <c r="O16" i="6"/>
  <c r="M16" i="6"/>
  <c r="L16" i="6"/>
  <c r="C16" i="6"/>
  <c r="D4" i="20"/>
  <c r="D3" i="20"/>
  <c r="H44" i="20"/>
  <c r="G44" i="20"/>
  <c r="F44" i="20"/>
  <c r="D43" i="20"/>
  <c r="B43" i="20"/>
  <c r="H42" i="20"/>
  <c r="H43" i="20" s="1"/>
  <c r="G42" i="20"/>
  <c r="G43" i="20" s="1"/>
  <c r="F42" i="20"/>
  <c r="F43" i="20" s="1"/>
  <c r="I43" i="20" s="1"/>
  <c r="J43" i="20" s="1"/>
  <c r="M43" i="20" s="1"/>
  <c r="B41" i="20"/>
  <c r="H39" i="20"/>
  <c r="G39" i="20"/>
  <c r="G41" i="20" s="1"/>
  <c r="F39" i="20"/>
  <c r="F41" i="20" s="1"/>
  <c r="I41" i="20" s="1"/>
  <c r="J41" i="20" s="1"/>
  <c r="M41" i="20" s="1"/>
  <c r="I37" i="20"/>
  <c r="J37" i="20" s="1"/>
  <c r="M37" i="20" s="1"/>
  <c r="I35" i="20"/>
  <c r="J35" i="20" s="1"/>
  <c r="M35" i="20" s="1"/>
  <c r="H34" i="20"/>
  <c r="G34" i="20"/>
  <c r="F34" i="20"/>
  <c r="H33" i="20"/>
  <c r="G33" i="20"/>
  <c r="F33" i="20"/>
  <c r="I33" i="20" s="1"/>
  <c r="J33" i="20" s="1"/>
  <c r="M33" i="20" s="1"/>
  <c r="B33" i="20"/>
  <c r="B35" i="20" s="1"/>
  <c r="B37" i="20" s="1"/>
  <c r="J31" i="20"/>
  <c r="M31" i="20" s="1"/>
  <c r="I31" i="20"/>
  <c r="D31" i="20"/>
  <c r="H29" i="20"/>
  <c r="G29" i="20"/>
  <c r="F29" i="20"/>
  <c r="O25" i="20"/>
  <c r="J25" i="20"/>
  <c r="M25" i="20" s="1"/>
  <c r="O24" i="20"/>
  <c r="J24" i="20"/>
  <c r="M24" i="20" s="1"/>
  <c r="O23" i="20"/>
  <c r="J23" i="20"/>
  <c r="M23" i="20" s="1"/>
  <c r="O18" i="20"/>
  <c r="J18" i="20" s="1"/>
  <c r="M18" i="20" s="1"/>
  <c r="O17" i="20"/>
  <c r="J17" i="20" s="1"/>
  <c r="M17" i="20" s="1"/>
  <c r="O16" i="20"/>
  <c r="J16" i="20"/>
  <c r="M16" i="20" s="1"/>
  <c r="O12" i="20"/>
  <c r="J12" i="20" s="1"/>
  <c r="M12" i="20" s="1"/>
  <c r="O11" i="20"/>
  <c r="J11" i="20"/>
  <c r="M11" i="20" s="1"/>
  <c r="O10" i="20"/>
  <c r="J10" i="20" s="1"/>
  <c r="M10" i="20" s="1"/>
  <c r="N10" i="20"/>
  <c r="K134" i="19"/>
  <c r="K135" i="19"/>
  <c r="K133" i="19"/>
  <c r="L135" i="19"/>
  <c r="L134" i="19"/>
  <c r="L133" i="19"/>
  <c r="N130" i="19"/>
  <c r="L130" i="19"/>
  <c r="K130" i="19"/>
  <c r="J130" i="19"/>
  <c r="N129" i="19"/>
  <c r="L129" i="19"/>
  <c r="K129" i="19"/>
  <c r="J129" i="19"/>
  <c r="N128" i="19"/>
  <c r="L128" i="19"/>
  <c r="K128" i="19"/>
  <c r="J128" i="19"/>
  <c r="N127" i="19"/>
  <c r="L127" i="19"/>
  <c r="K127" i="19"/>
  <c r="J127" i="19"/>
  <c r="N126" i="19"/>
  <c r="L126" i="19"/>
  <c r="K126" i="19"/>
  <c r="J126" i="19"/>
  <c r="N125" i="19"/>
  <c r="L125" i="19"/>
  <c r="K125" i="19"/>
  <c r="J125" i="19"/>
  <c r="N124" i="19"/>
  <c r="L124" i="19"/>
  <c r="K124" i="19"/>
  <c r="J124" i="19"/>
  <c r="N123" i="19"/>
  <c r="L123" i="19"/>
  <c r="K123" i="19"/>
  <c r="J123" i="19"/>
  <c r="N122" i="19"/>
  <c r="L122" i="19"/>
  <c r="K122" i="19"/>
  <c r="J122" i="19"/>
  <c r="N121" i="19"/>
  <c r="L121" i="19"/>
  <c r="K121" i="19"/>
  <c r="J121" i="19"/>
  <c r="N120" i="19"/>
  <c r="L120" i="19"/>
  <c r="K120" i="19"/>
  <c r="J120" i="19"/>
  <c r="N119" i="19"/>
  <c r="L119" i="19"/>
  <c r="K119" i="19"/>
  <c r="J119" i="19"/>
  <c r="J131" i="19" s="1"/>
  <c r="N118" i="19"/>
  <c r="L118" i="19"/>
  <c r="K118" i="19"/>
  <c r="N117" i="19"/>
  <c r="L117" i="19"/>
  <c r="K117" i="19"/>
  <c r="J117" i="19"/>
  <c r="N116" i="19"/>
  <c r="L116" i="19"/>
  <c r="K116" i="19"/>
  <c r="J116" i="19"/>
  <c r="N115" i="19"/>
  <c r="L115" i="19"/>
  <c r="K115" i="19"/>
  <c r="J115" i="19"/>
  <c r="N114" i="19"/>
  <c r="L114" i="19"/>
  <c r="K114" i="19"/>
  <c r="J114" i="19"/>
  <c r="N113" i="19"/>
  <c r="L113" i="19"/>
  <c r="K113" i="19"/>
  <c r="J113" i="19"/>
  <c r="N112" i="19"/>
  <c r="L112" i="19"/>
  <c r="K112" i="19"/>
  <c r="J112" i="19"/>
  <c r="N111" i="19"/>
  <c r="L111" i="19"/>
  <c r="K111" i="19"/>
  <c r="J111" i="19"/>
  <c r="N110" i="19"/>
  <c r="L110" i="19"/>
  <c r="K110" i="19"/>
  <c r="J110" i="19"/>
  <c r="N109" i="19"/>
  <c r="L109" i="19"/>
  <c r="K109" i="19"/>
  <c r="J109" i="19"/>
  <c r="N108" i="19"/>
  <c r="L108" i="19"/>
  <c r="K108" i="19"/>
  <c r="J108" i="19"/>
  <c r="N107" i="19"/>
  <c r="L107" i="19"/>
  <c r="K107" i="19"/>
  <c r="J107" i="19"/>
  <c r="N106" i="19"/>
  <c r="L106" i="19"/>
  <c r="K106" i="19"/>
  <c r="J106" i="19"/>
  <c r="N105" i="19"/>
  <c r="L105" i="19"/>
  <c r="K105" i="19"/>
  <c r="J105" i="19"/>
  <c r="N104" i="19"/>
  <c r="L104" i="19"/>
  <c r="K104" i="19"/>
  <c r="J104" i="19"/>
  <c r="N103" i="19"/>
  <c r="L103" i="19"/>
  <c r="K103" i="19"/>
  <c r="J103" i="19"/>
  <c r="N102" i="19"/>
  <c r="L102" i="19"/>
  <c r="K102" i="19"/>
  <c r="J102" i="19"/>
  <c r="N101" i="19"/>
  <c r="L101" i="19"/>
  <c r="K101" i="19"/>
  <c r="J101" i="19"/>
  <c r="N100" i="19"/>
  <c r="L100" i="19"/>
  <c r="K100" i="19"/>
  <c r="J100" i="19"/>
  <c r="N99" i="19"/>
  <c r="L99" i="19"/>
  <c r="K99" i="19"/>
  <c r="J99" i="19"/>
  <c r="N98" i="19"/>
  <c r="L98" i="19"/>
  <c r="K98" i="19"/>
  <c r="J98" i="19"/>
  <c r="N97" i="19"/>
  <c r="L97" i="19"/>
  <c r="K97" i="19"/>
  <c r="J97" i="19"/>
  <c r="N96" i="19"/>
  <c r="L96" i="19"/>
  <c r="K96" i="19"/>
  <c r="J96" i="19"/>
  <c r="N95" i="19"/>
  <c r="L95" i="19"/>
  <c r="K95" i="19"/>
  <c r="J95" i="19"/>
  <c r="N94" i="19"/>
  <c r="L94" i="19"/>
  <c r="K94" i="19"/>
  <c r="J94" i="19"/>
  <c r="N93" i="19"/>
  <c r="L93" i="19"/>
  <c r="K93" i="19"/>
  <c r="J93" i="19"/>
  <c r="N92" i="19"/>
  <c r="L92" i="19"/>
  <c r="K92" i="19"/>
  <c r="J92" i="19"/>
  <c r="N91" i="19"/>
  <c r="L91" i="19"/>
  <c r="K91" i="19"/>
  <c r="J91" i="19"/>
  <c r="N90" i="19"/>
  <c r="L90" i="19"/>
  <c r="K90" i="19"/>
  <c r="J90" i="19"/>
  <c r="N89" i="19"/>
  <c r="L89" i="19"/>
  <c r="K89" i="19"/>
  <c r="J89" i="19"/>
  <c r="N88" i="19"/>
  <c r="L88" i="19"/>
  <c r="K88" i="19"/>
  <c r="J88" i="19"/>
  <c r="N87" i="19"/>
  <c r="L87" i="19"/>
  <c r="K87" i="19"/>
  <c r="J87" i="19"/>
  <c r="N86" i="19"/>
  <c r="L86" i="19"/>
  <c r="K86" i="19"/>
  <c r="J86" i="19"/>
  <c r="N85" i="19"/>
  <c r="L85" i="19"/>
  <c r="K85" i="19"/>
  <c r="J85" i="19"/>
  <c r="N84" i="19"/>
  <c r="L84" i="19"/>
  <c r="K84" i="19"/>
  <c r="J84" i="19"/>
  <c r="N83" i="19"/>
  <c r="L83" i="19"/>
  <c r="K83" i="19"/>
  <c r="J83" i="19"/>
  <c r="N82" i="19"/>
  <c r="L82" i="19"/>
  <c r="K82" i="19"/>
  <c r="J82" i="19"/>
  <c r="N81" i="19"/>
  <c r="L81" i="19"/>
  <c r="K81" i="19"/>
  <c r="J81" i="19"/>
  <c r="J118" i="19" s="1"/>
  <c r="J132" i="19" s="1"/>
  <c r="N80" i="19"/>
  <c r="L80" i="19"/>
  <c r="K80" i="19"/>
  <c r="J80" i="19"/>
  <c r="N79" i="19"/>
  <c r="L79" i="19"/>
  <c r="K79" i="19"/>
  <c r="J79" i="19"/>
  <c r="N78" i="19"/>
  <c r="L78" i="19"/>
  <c r="K78" i="19"/>
  <c r="N77" i="19"/>
  <c r="L77" i="19"/>
  <c r="K77" i="19"/>
  <c r="J77" i="19"/>
  <c r="N76" i="19"/>
  <c r="L76" i="19"/>
  <c r="K76" i="19"/>
  <c r="J76" i="19"/>
  <c r="N75" i="19"/>
  <c r="L75" i="19"/>
  <c r="K75" i="19"/>
  <c r="J75" i="19"/>
  <c r="N74" i="19"/>
  <c r="L74" i="19"/>
  <c r="K74" i="19"/>
  <c r="J74" i="19"/>
  <c r="J78" i="19" s="1"/>
  <c r="N73" i="19"/>
  <c r="L73" i="19"/>
  <c r="K73" i="19"/>
  <c r="N72" i="19"/>
  <c r="L72" i="19"/>
  <c r="K72" i="19"/>
  <c r="J72" i="19"/>
  <c r="N71" i="19"/>
  <c r="L71" i="19"/>
  <c r="K71" i="19"/>
  <c r="J71" i="19"/>
  <c r="N70" i="19"/>
  <c r="L70" i="19"/>
  <c r="K70" i="19"/>
  <c r="J70" i="19"/>
  <c r="N69" i="19"/>
  <c r="L69" i="19"/>
  <c r="K69" i="19"/>
  <c r="J69" i="19"/>
  <c r="N68" i="19"/>
  <c r="L68" i="19"/>
  <c r="K68" i="19"/>
  <c r="J68" i="19"/>
  <c r="N67" i="19"/>
  <c r="L67" i="19"/>
  <c r="K67" i="19"/>
  <c r="J67" i="19"/>
  <c r="N66" i="19"/>
  <c r="L66" i="19"/>
  <c r="K66" i="19"/>
  <c r="J66" i="19"/>
  <c r="N65" i="19"/>
  <c r="L65" i="19"/>
  <c r="K65" i="19"/>
  <c r="J65" i="19"/>
  <c r="N64" i="19"/>
  <c r="L64" i="19"/>
  <c r="K64" i="19"/>
  <c r="J64" i="19"/>
  <c r="N63" i="19"/>
  <c r="L63" i="19"/>
  <c r="K63" i="19"/>
  <c r="J63" i="19"/>
  <c r="N62" i="19"/>
  <c r="L62" i="19"/>
  <c r="K62" i="19"/>
  <c r="J62" i="19"/>
  <c r="N61" i="19"/>
  <c r="L61" i="19"/>
  <c r="K61" i="19"/>
  <c r="J61" i="19"/>
  <c r="N60" i="19"/>
  <c r="L60" i="19"/>
  <c r="K60" i="19"/>
  <c r="J60" i="19"/>
  <c r="N59" i="19"/>
  <c r="L59" i="19"/>
  <c r="K59" i="19"/>
  <c r="J59" i="19"/>
  <c r="N58" i="19"/>
  <c r="L58" i="19"/>
  <c r="K58" i="19"/>
  <c r="J58" i="19"/>
  <c r="N57" i="19"/>
  <c r="L57" i="19"/>
  <c r="K57" i="19"/>
  <c r="J57" i="19"/>
  <c r="N56" i="19"/>
  <c r="L56" i="19"/>
  <c r="K56" i="19"/>
  <c r="J56" i="19"/>
  <c r="N55" i="19"/>
  <c r="L55" i="19"/>
  <c r="K55" i="19"/>
  <c r="J55" i="19"/>
  <c r="N54" i="19"/>
  <c r="L54" i="19"/>
  <c r="K54" i="19"/>
  <c r="J54" i="19"/>
  <c r="N53" i="19"/>
  <c r="L53" i="19"/>
  <c r="K53" i="19"/>
  <c r="J53" i="19"/>
  <c r="N52" i="19"/>
  <c r="L52" i="19"/>
  <c r="K52" i="19"/>
  <c r="J52" i="19"/>
  <c r="N51" i="19"/>
  <c r="L51" i="19"/>
  <c r="K51" i="19"/>
  <c r="J51" i="19"/>
  <c r="N50" i="19"/>
  <c r="L50" i="19"/>
  <c r="K50" i="19"/>
  <c r="J50" i="19"/>
  <c r="N49" i="19"/>
  <c r="L49" i="19"/>
  <c r="K49" i="19"/>
  <c r="J49" i="19"/>
  <c r="N48" i="19"/>
  <c r="L48" i="19"/>
  <c r="K48" i="19"/>
  <c r="J48" i="19"/>
  <c r="N47" i="19"/>
  <c r="L47" i="19"/>
  <c r="K47" i="19"/>
  <c r="J47" i="19"/>
  <c r="N46" i="19"/>
  <c r="L46" i="19"/>
  <c r="K46" i="19"/>
  <c r="J46" i="19"/>
  <c r="N45" i="19"/>
  <c r="L45" i="19"/>
  <c r="K45" i="19"/>
  <c r="J45" i="19"/>
  <c r="N44" i="19"/>
  <c r="L44" i="19"/>
  <c r="K44" i="19"/>
  <c r="J44" i="19"/>
  <c r="N43" i="19"/>
  <c r="L43" i="19"/>
  <c r="K43" i="19"/>
  <c r="J43" i="19"/>
  <c r="N42" i="19"/>
  <c r="L42" i="19"/>
  <c r="K42" i="19"/>
  <c r="J42" i="19"/>
  <c r="N41" i="19"/>
  <c r="L41" i="19"/>
  <c r="K41" i="19"/>
  <c r="J41" i="19"/>
  <c r="J73" i="19" s="1"/>
  <c r="N40" i="19"/>
  <c r="L40" i="19"/>
  <c r="K40" i="19"/>
  <c r="J40" i="19"/>
  <c r="N39" i="19"/>
  <c r="L39" i="19"/>
  <c r="K39" i="19"/>
  <c r="N38" i="19"/>
  <c r="L38" i="19"/>
  <c r="K38" i="19"/>
  <c r="J38" i="19"/>
  <c r="N37" i="19"/>
  <c r="L37" i="19"/>
  <c r="K37" i="19"/>
  <c r="J37" i="19"/>
  <c r="N36" i="19"/>
  <c r="L36" i="19"/>
  <c r="K36" i="19"/>
  <c r="J36" i="19"/>
  <c r="N35" i="19"/>
  <c r="L35" i="19"/>
  <c r="K35" i="19"/>
  <c r="J35" i="19"/>
  <c r="N34" i="19"/>
  <c r="L34" i="19"/>
  <c r="K34" i="19"/>
  <c r="J34" i="19"/>
  <c r="N33" i="19"/>
  <c r="L33" i="19"/>
  <c r="K33" i="19"/>
  <c r="J33" i="19"/>
  <c r="N32" i="19"/>
  <c r="L32" i="19"/>
  <c r="K32" i="19"/>
  <c r="J32" i="19"/>
  <c r="N31" i="19"/>
  <c r="L31" i="19"/>
  <c r="K31" i="19"/>
  <c r="J31" i="19"/>
  <c r="N30" i="19"/>
  <c r="L30" i="19"/>
  <c r="K30" i="19"/>
  <c r="J30" i="19"/>
  <c r="N29" i="19"/>
  <c r="L29" i="19"/>
  <c r="K29" i="19"/>
  <c r="J29" i="19"/>
  <c r="N28" i="19"/>
  <c r="L28" i="19"/>
  <c r="K28" i="19"/>
  <c r="J28" i="19"/>
  <c r="N27" i="19"/>
  <c r="L27" i="19"/>
  <c r="K27" i="19"/>
  <c r="J27" i="19"/>
  <c r="N26" i="19"/>
  <c r="L26" i="19"/>
  <c r="K26" i="19"/>
  <c r="J26" i="19"/>
  <c r="N25" i="19"/>
  <c r="L25" i="19"/>
  <c r="K25" i="19"/>
  <c r="J25" i="19"/>
  <c r="N24" i="19"/>
  <c r="L24" i="19"/>
  <c r="K24" i="19"/>
  <c r="J24" i="19"/>
  <c r="N23" i="19"/>
  <c r="L23" i="19"/>
  <c r="K23" i="19"/>
  <c r="J23" i="19"/>
  <c r="N22" i="19"/>
  <c r="L22" i="19"/>
  <c r="K22" i="19"/>
  <c r="J22" i="19"/>
  <c r="N21" i="19"/>
  <c r="L21" i="19"/>
  <c r="K21" i="19"/>
  <c r="J21" i="19"/>
  <c r="N20" i="19"/>
  <c r="L20" i="19"/>
  <c r="K20" i="19"/>
  <c r="J20" i="19"/>
  <c r="N19" i="19"/>
  <c r="L19" i="19"/>
  <c r="K19" i="19"/>
  <c r="J19" i="19"/>
  <c r="N18" i="19"/>
  <c r="L18" i="19"/>
  <c r="K18" i="19"/>
  <c r="J18" i="19"/>
  <c r="N17" i="19"/>
  <c r="L17" i="19"/>
  <c r="K17" i="19"/>
  <c r="J17" i="19"/>
  <c r="N16" i="19"/>
  <c r="L16" i="19"/>
  <c r="K16" i="19"/>
  <c r="J16" i="19"/>
  <c r="J39" i="19" s="1"/>
  <c r="M15" i="6"/>
  <c r="L15" i="6"/>
  <c r="C15" i="6"/>
  <c r="J132" i="25" l="1"/>
  <c r="J132" i="23"/>
  <c r="I43" i="22"/>
  <c r="J43" i="22" s="1"/>
  <c r="M43" i="22" s="1"/>
  <c r="M45" i="22" s="1"/>
  <c r="I45" i="22" s="1"/>
  <c r="J133" i="21"/>
  <c r="J137" i="21" s="1"/>
  <c r="I132" i="21"/>
  <c r="J135" i="21"/>
  <c r="J136" i="21" s="1"/>
  <c r="J134" i="21"/>
  <c r="I39" i="20"/>
  <c r="J39" i="20" s="1"/>
  <c r="M39" i="20" s="1"/>
  <c r="M45" i="20" s="1"/>
  <c r="I45" i="20" s="1"/>
  <c r="J134" i="19"/>
  <c r="J133" i="19"/>
  <c r="J137" i="19" s="1"/>
  <c r="I132" i="19"/>
  <c r="J135" i="19"/>
  <c r="J136" i="19" s="1"/>
  <c r="D4" i="18"/>
  <c r="D3" i="18"/>
  <c r="I43" i="18"/>
  <c r="J43" i="18" s="1"/>
  <c r="M43" i="18" s="1"/>
  <c r="D43" i="18"/>
  <c r="B43" i="18"/>
  <c r="I41" i="18"/>
  <c r="J41" i="18" s="1"/>
  <c r="M41" i="18" s="1"/>
  <c r="B41" i="18"/>
  <c r="I39" i="18"/>
  <c r="J39" i="18" s="1"/>
  <c r="M39" i="18" s="1"/>
  <c r="J37" i="18"/>
  <c r="M37" i="18" s="1"/>
  <c r="I35" i="18"/>
  <c r="J35" i="18" s="1"/>
  <c r="M35" i="18" s="1"/>
  <c r="I33" i="18"/>
  <c r="J33" i="18" s="1"/>
  <c r="M33" i="18" s="1"/>
  <c r="B33" i="18"/>
  <c r="B35" i="18" s="1"/>
  <c r="B37" i="18" s="1"/>
  <c r="I31" i="18"/>
  <c r="J31" i="18" s="1"/>
  <c r="M31" i="18" s="1"/>
  <c r="D31" i="18"/>
  <c r="G29" i="18"/>
  <c r="F29" i="18"/>
  <c r="O25" i="18"/>
  <c r="M25" i="18"/>
  <c r="O24" i="18"/>
  <c r="M24" i="18"/>
  <c r="O23" i="18"/>
  <c r="M23" i="18"/>
  <c r="O18" i="18"/>
  <c r="J18" i="18" s="1"/>
  <c r="M18" i="18" s="1"/>
  <c r="O17" i="18"/>
  <c r="J17" i="18" s="1"/>
  <c r="M17" i="18" s="1"/>
  <c r="O16" i="18"/>
  <c r="J16" i="18"/>
  <c r="M16" i="18" s="1"/>
  <c r="O12" i="18"/>
  <c r="J12" i="18"/>
  <c r="M12" i="18" s="1"/>
  <c r="O11" i="18"/>
  <c r="J11" i="18" s="1"/>
  <c r="M11" i="18" s="1"/>
  <c r="O10" i="18"/>
  <c r="J10" i="18" s="1"/>
  <c r="M10" i="18" s="1"/>
  <c r="N10" i="18"/>
  <c r="L136" i="17"/>
  <c r="K136" i="17"/>
  <c r="L135" i="17"/>
  <c r="K135" i="17"/>
  <c r="L134" i="17"/>
  <c r="K134" i="17"/>
  <c r="L133" i="17"/>
  <c r="K133" i="17"/>
  <c r="O130" i="17"/>
  <c r="K130" i="17"/>
  <c r="I130" i="17"/>
  <c r="L130" i="17" s="1"/>
  <c r="O129" i="17"/>
  <c r="L129" i="17"/>
  <c r="K129" i="17"/>
  <c r="I129" i="17"/>
  <c r="J129" i="17" s="1"/>
  <c r="I128" i="17"/>
  <c r="O128" i="17" s="1"/>
  <c r="O127" i="17"/>
  <c r="L127" i="17"/>
  <c r="K127" i="17"/>
  <c r="J127" i="17"/>
  <c r="I127" i="17"/>
  <c r="O126" i="17"/>
  <c r="L126" i="17"/>
  <c r="K126" i="17"/>
  <c r="J126" i="17"/>
  <c r="I126" i="17"/>
  <c r="O125" i="17"/>
  <c r="I125" i="17"/>
  <c r="L125" i="17" s="1"/>
  <c r="L124" i="17"/>
  <c r="K124" i="17"/>
  <c r="I124" i="17"/>
  <c r="O124" i="17" s="1"/>
  <c r="I123" i="17"/>
  <c r="O123" i="17" s="1"/>
  <c r="O122" i="17"/>
  <c r="L122" i="17"/>
  <c r="I122" i="17"/>
  <c r="K122" i="17" s="1"/>
  <c r="K121" i="17"/>
  <c r="J121" i="17"/>
  <c r="I121" i="17"/>
  <c r="O121" i="17" s="1"/>
  <c r="I120" i="17"/>
  <c r="O120" i="17" s="1"/>
  <c r="O119" i="17"/>
  <c r="L119" i="17"/>
  <c r="K119" i="17"/>
  <c r="I119" i="17"/>
  <c r="J119" i="17" s="1"/>
  <c r="O118" i="17"/>
  <c r="L118" i="17"/>
  <c r="K118" i="17"/>
  <c r="O117" i="17"/>
  <c r="K117" i="17"/>
  <c r="I117" i="17"/>
  <c r="L117" i="17" s="1"/>
  <c r="O116" i="17"/>
  <c r="L116" i="17"/>
  <c r="K116" i="17"/>
  <c r="I116" i="17"/>
  <c r="J116" i="17" s="1"/>
  <c r="I115" i="17"/>
  <c r="O115" i="17" s="1"/>
  <c r="O114" i="17"/>
  <c r="L114" i="17"/>
  <c r="K114" i="17"/>
  <c r="J114" i="17"/>
  <c r="I114" i="17"/>
  <c r="O113" i="17"/>
  <c r="L113" i="17"/>
  <c r="K113" i="17"/>
  <c r="J113" i="17"/>
  <c r="I113" i="17"/>
  <c r="O112" i="17"/>
  <c r="J112" i="17"/>
  <c r="I112" i="17"/>
  <c r="L112" i="17" s="1"/>
  <c r="L111" i="17"/>
  <c r="K111" i="17"/>
  <c r="I111" i="17"/>
  <c r="O111" i="17" s="1"/>
  <c r="I110" i="17"/>
  <c r="O110" i="17" s="1"/>
  <c r="O109" i="17"/>
  <c r="L109" i="17"/>
  <c r="I109" i="17"/>
  <c r="K109" i="17" s="1"/>
  <c r="K108" i="17"/>
  <c r="J108" i="17"/>
  <c r="I108" i="17"/>
  <c r="O108" i="17" s="1"/>
  <c r="I107" i="17"/>
  <c r="O107" i="17" s="1"/>
  <c r="O106" i="17"/>
  <c r="L106" i="17"/>
  <c r="K106" i="17"/>
  <c r="I106" i="17"/>
  <c r="J106" i="17" s="1"/>
  <c r="I105" i="17"/>
  <c r="O105" i="17" s="1"/>
  <c r="I104" i="17"/>
  <c r="O104" i="17" s="1"/>
  <c r="O103" i="17"/>
  <c r="L103" i="17"/>
  <c r="K103" i="17"/>
  <c r="J103" i="17"/>
  <c r="I103" i="17"/>
  <c r="I102" i="17"/>
  <c r="O102" i="17" s="1"/>
  <c r="O101" i="17"/>
  <c r="K101" i="17"/>
  <c r="I101" i="17"/>
  <c r="L101" i="17" s="1"/>
  <c r="O100" i="17"/>
  <c r="L100" i="17"/>
  <c r="K100" i="17"/>
  <c r="I100" i="17"/>
  <c r="J100" i="17" s="1"/>
  <c r="I99" i="17"/>
  <c r="O99" i="17" s="1"/>
  <c r="O98" i="17"/>
  <c r="L98" i="17"/>
  <c r="K98" i="17"/>
  <c r="J98" i="17"/>
  <c r="I98" i="17"/>
  <c r="O97" i="17"/>
  <c r="L97" i="17"/>
  <c r="K97" i="17"/>
  <c r="J97" i="17"/>
  <c r="I97" i="17"/>
  <c r="O96" i="17"/>
  <c r="J96" i="17"/>
  <c r="I96" i="17"/>
  <c r="L96" i="17" s="1"/>
  <c r="L95" i="17"/>
  <c r="K95" i="17"/>
  <c r="I95" i="17"/>
  <c r="O95" i="17" s="1"/>
  <c r="I94" i="17"/>
  <c r="J94" i="17" s="1"/>
  <c r="O93" i="17"/>
  <c r="L93" i="17"/>
  <c r="I93" i="17"/>
  <c r="K93" i="17" s="1"/>
  <c r="K92" i="17"/>
  <c r="J92" i="17"/>
  <c r="I92" i="17"/>
  <c r="O92" i="17" s="1"/>
  <c r="I91" i="17"/>
  <c r="O91" i="17" s="1"/>
  <c r="O90" i="17"/>
  <c r="L90" i="17"/>
  <c r="K90" i="17"/>
  <c r="I90" i="17"/>
  <c r="J90" i="17" s="1"/>
  <c r="I89" i="17"/>
  <c r="O89" i="17" s="1"/>
  <c r="I88" i="17"/>
  <c r="O88" i="17" s="1"/>
  <c r="O87" i="17"/>
  <c r="L87" i="17"/>
  <c r="K87" i="17"/>
  <c r="J87" i="17"/>
  <c r="I87" i="17"/>
  <c r="I86" i="17"/>
  <c r="O86" i="17" s="1"/>
  <c r="O85" i="17"/>
  <c r="K85" i="17"/>
  <c r="I85" i="17"/>
  <c r="L85" i="17" s="1"/>
  <c r="O84" i="17"/>
  <c r="L84" i="17"/>
  <c r="K84" i="17"/>
  <c r="I84" i="17"/>
  <c r="J84" i="17" s="1"/>
  <c r="I83" i="17"/>
  <c r="O83" i="17" s="1"/>
  <c r="O82" i="17"/>
  <c r="L82" i="17"/>
  <c r="K82" i="17"/>
  <c r="J82" i="17"/>
  <c r="I82" i="17"/>
  <c r="O81" i="17"/>
  <c r="L81" i="17"/>
  <c r="K81" i="17"/>
  <c r="J81" i="17"/>
  <c r="I81" i="17"/>
  <c r="O80" i="17"/>
  <c r="J80" i="17"/>
  <c r="I80" i="17"/>
  <c r="L80" i="17" s="1"/>
  <c r="K79" i="17"/>
  <c r="I79" i="17"/>
  <c r="L79" i="17" s="1"/>
  <c r="O78" i="17"/>
  <c r="L78" i="17"/>
  <c r="K78" i="17"/>
  <c r="O77" i="17"/>
  <c r="L77" i="17"/>
  <c r="K77" i="17"/>
  <c r="I77" i="17"/>
  <c r="J77" i="17" s="1"/>
  <c r="I76" i="17"/>
  <c r="O76" i="17" s="1"/>
  <c r="I75" i="17"/>
  <c r="O75" i="17" s="1"/>
  <c r="O74" i="17"/>
  <c r="L74" i="17"/>
  <c r="K74" i="17"/>
  <c r="J74" i="17"/>
  <c r="I74" i="17"/>
  <c r="O73" i="17"/>
  <c r="L73" i="17"/>
  <c r="K73" i="17"/>
  <c r="O72" i="17"/>
  <c r="L72" i="17"/>
  <c r="J72" i="17"/>
  <c r="I72" i="17"/>
  <c r="K72" i="17" s="1"/>
  <c r="O71" i="17"/>
  <c r="L71" i="17"/>
  <c r="K71" i="17"/>
  <c r="J71" i="17"/>
  <c r="I71" i="17"/>
  <c r="O70" i="17"/>
  <c r="L70" i="17"/>
  <c r="K70" i="17"/>
  <c r="J70" i="17"/>
  <c r="I70" i="17"/>
  <c r="K69" i="17"/>
  <c r="I69" i="17"/>
  <c r="L69" i="17" s="1"/>
  <c r="I68" i="17"/>
  <c r="O68" i="17" s="1"/>
  <c r="O67" i="17"/>
  <c r="L67" i="17"/>
  <c r="I67" i="17"/>
  <c r="K67" i="17" s="1"/>
  <c r="K66" i="17"/>
  <c r="J66" i="17"/>
  <c r="I66" i="17"/>
  <c r="O66" i="17" s="1"/>
  <c r="I65" i="17"/>
  <c r="O65" i="17" s="1"/>
  <c r="O64" i="17"/>
  <c r="L64" i="17"/>
  <c r="K64" i="17"/>
  <c r="I64" i="17"/>
  <c r="J64" i="17" s="1"/>
  <c r="I63" i="17"/>
  <c r="J63" i="17" s="1"/>
  <c r="L62" i="17"/>
  <c r="I62" i="17"/>
  <c r="O62" i="17" s="1"/>
  <c r="O61" i="17"/>
  <c r="L61" i="17"/>
  <c r="K61" i="17"/>
  <c r="J61" i="17"/>
  <c r="I61" i="17"/>
  <c r="I60" i="17"/>
  <c r="O60" i="17" s="1"/>
  <c r="O59" i="17"/>
  <c r="K59" i="17"/>
  <c r="I59" i="17"/>
  <c r="L59" i="17" s="1"/>
  <c r="O58" i="17"/>
  <c r="L58" i="17"/>
  <c r="K58" i="17"/>
  <c r="I58" i="17"/>
  <c r="J58" i="17" s="1"/>
  <c r="I57" i="17"/>
  <c r="O57" i="17" s="1"/>
  <c r="O56" i="17"/>
  <c r="L56" i="17"/>
  <c r="J56" i="17"/>
  <c r="I56" i="17"/>
  <c r="K56" i="17" s="1"/>
  <c r="O55" i="17"/>
  <c r="L55" i="17"/>
  <c r="K55" i="17"/>
  <c r="J55" i="17"/>
  <c r="I55" i="17"/>
  <c r="O54" i="17"/>
  <c r="K54" i="17"/>
  <c r="J54" i="17"/>
  <c r="I54" i="17"/>
  <c r="L54" i="17" s="1"/>
  <c r="K53" i="17"/>
  <c r="I53" i="17"/>
  <c r="L53" i="17" s="1"/>
  <c r="I52" i="17"/>
  <c r="J52" i="17" s="1"/>
  <c r="O51" i="17"/>
  <c r="L51" i="17"/>
  <c r="I51" i="17"/>
  <c r="K51" i="17" s="1"/>
  <c r="K50" i="17"/>
  <c r="J50" i="17"/>
  <c r="I50" i="17"/>
  <c r="O50" i="17" s="1"/>
  <c r="I49" i="17"/>
  <c r="O49" i="17" s="1"/>
  <c r="O48" i="17"/>
  <c r="L48" i="17"/>
  <c r="K48" i="17"/>
  <c r="I48" i="17"/>
  <c r="J48" i="17" s="1"/>
  <c r="I47" i="17"/>
  <c r="J47" i="17" s="1"/>
  <c r="I46" i="17"/>
  <c r="O46" i="17" s="1"/>
  <c r="O45" i="17"/>
  <c r="L45" i="17"/>
  <c r="K45" i="17"/>
  <c r="J45" i="17"/>
  <c r="I45" i="17"/>
  <c r="I44" i="17"/>
  <c r="O44" i="17" s="1"/>
  <c r="O43" i="17"/>
  <c r="K43" i="17"/>
  <c r="I43" i="17"/>
  <c r="L43" i="17" s="1"/>
  <c r="O42" i="17"/>
  <c r="L42" i="17"/>
  <c r="K42" i="17"/>
  <c r="I42" i="17"/>
  <c r="J42" i="17" s="1"/>
  <c r="I41" i="17"/>
  <c r="O41" i="17" s="1"/>
  <c r="O40" i="17"/>
  <c r="L40" i="17"/>
  <c r="J40" i="17"/>
  <c r="I40" i="17"/>
  <c r="K40" i="17" s="1"/>
  <c r="O39" i="17"/>
  <c r="L39" i="17"/>
  <c r="K39" i="17"/>
  <c r="O38" i="17"/>
  <c r="L38" i="17"/>
  <c r="I38" i="17"/>
  <c r="K38" i="17" s="1"/>
  <c r="K37" i="17"/>
  <c r="J37" i="17"/>
  <c r="I37" i="17"/>
  <c r="O37" i="17" s="1"/>
  <c r="I36" i="17"/>
  <c r="O36" i="17" s="1"/>
  <c r="O35" i="17"/>
  <c r="L35" i="17"/>
  <c r="K35" i="17"/>
  <c r="I35" i="17"/>
  <c r="J35" i="17" s="1"/>
  <c r="I34" i="17"/>
  <c r="O34" i="17" s="1"/>
  <c r="I33" i="17"/>
  <c r="O33" i="17" s="1"/>
  <c r="O32" i="17"/>
  <c r="L32" i="17"/>
  <c r="K32" i="17"/>
  <c r="J32" i="17"/>
  <c r="I32" i="17"/>
  <c r="I31" i="17"/>
  <c r="O31" i="17" s="1"/>
  <c r="O30" i="17"/>
  <c r="I30" i="17"/>
  <c r="L30" i="17" s="1"/>
  <c r="O29" i="17"/>
  <c r="L29" i="17"/>
  <c r="K29" i="17"/>
  <c r="I29" i="17"/>
  <c r="J29" i="17" s="1"/>
  <c r="I28" i="17"/>
  <c r="O28" i="17" s="1"/>
  <c r="O27" i="17"/>
  <c r="L27" i="17"/>
  <c r="J27" i="17"/>
  <c r="I27" i="17"/>
  <c r="K27" i="17" s="1"/>
  <c r="O26" i="17"/>
  <c r="L26" i="17"/>
  <c r="K26" i="17"/>
  <c r="J26" i="17"/>
  <c r="I26" i="17"/>
  <c r="O25" i="17"/>
  <c r="I25" i="17"/>
  <c r="L25" i="17" s="1"/>
  <c r="K24" i="17"/>
  <c r="I24" i="17"/>
  <c r="L24" i="17" s="1"/>
  <c r="I23" i="17"/>
  <c r="J23" i="17" s="1"/>
  <c r="O22" i="17"/>
  <c r="L22" i="17"/>
  <c r="I22" i="17"/>
  <c r="K22" i="17" s="1"/>
  <c r="K21" i="17"/>
  <c r="J21" i="17"/>
  <c r="I21" i="17"/>
  <c r="O21" i="17" s="1"/>
  <c r="I20" i="17"/>
  <c r="O20" i="17" s="1"/>
  <c r="O19" i="17"/>
  <c r="L19" i="17"/>
  <c r="K19" i="17"/>
  <c r="I19" i="17"/>
  <c r="J19" i="17" s="1"/>
  <c r="I18" i="17"/>
  <c r="O18" i="17" s="1"/>
  <c r="I17" i="17"/>
  <c r="O17" i="17" s="1"/>
  <c r="O16" i="17"/>
  <c r="L16" i="17"/>
  <c r="K16" i="17"/>
  <c r="J16" i="17"/>
  <c r="I16" i="17"/>
  <c r="M14" i="6"/>
  <c r="L14" i="6"/>
  <c r="C14" i="6" a="1"/>
  <c r="C14" i="6" s="1"/>
  <c r="D4" i="16"/>
  <c r="D3" i="16"/>
  <c r="F44" i="16"/>
  <c r="F43" i="16"/>
  <c r="I43" i="16" s="1"/>
  <c r="J43" i="16" s="1"/>
  <c r="M43" i="16" s="1"/>
  <c r="D43" i="16"/>
  <c r="B43" i="16"/>
  <c r="F42" i="16"/>
  <c r="F41" i="16"/>
  <c r="I41" i="16" s="1"/>
  <c r="J41" i="16" s="1"/>
  <c r="M41" i="16" s="1"/>
  <c r="B41" i="16"/>
  <c r="F39" i="16"/>
  <c r="I39" i="16" s="1"/>
  <c r="J39" i="16" s="1"/>
  <c r="M39" i="16" s="1"/>
  <c r="I37" i="16"/>
  <c r="J37" i="16" s="1"/>
  <c r="M37" i="16" s="1"/>
  <c r="J35" i="16"/>
  <c r="M35" i="16" s="1"/>
  <c r="I35" i="16"/>
  <c r="F34" i="16"/>
  <c r="F33" i="16"/>
  <c r="I33" i="16" s="1"/>
  <c r="J33" i="16" s="1"/>
  <c r="M33" i="16" s="1"/>
  <c r="B33" i="16"/>
  <c r="B35" i="16" s="1"/>
  <c r="B37" i="16" s="1"/>
  <c r="I31" i="16"/>
  <c r="J31" i="16" s="1"/>
  <c r="M31" i="16" s="1"/>
  <c r="M45" i="16" s="1"/>
  <c r="I45" i="16" s="1"/>
  <c r="D31" i="16"/>
  <c r="G29" i="16"/>
  <c r="F29" i="16"/>
  <c r="O25" i="16"/>
  <c r="M25" i="16"/>
  <c r="O24" i="16"/>
  <c r="M24" i="16"/>
  <c r="O23" i="16"/>
  <c r="M23" i="16"/>
  <c r="O18" i="16"/>
  <c r="M18" i="16"/>
  <c r="J18" i="16"/>
  <c r="O17" i="16"/>
  <c r="J17" i="16" s="1"/>
  <c r="M17" i="16" s="1"/>
  <c r="O16" i="16"/>
  <c r="J16" i="16"/>
  <c r="M16" i="16" s="1"/>
  <c r="O12" i="16"/>
  <c r="J12" i="16"/>
  <c r="M12" i="16" s="1"/>
  <c r="O11" i="16"/>
  <c r="J11" i="16"/>
  <c r="M11" i="16" s="1"/>
  <c r="O10" i="16"/>
  <c r="N10" i="16"/>
  <c r="J10" i="16"/>
  <c r="M10" i="16" s="1"/>
  <c r="J133" i="25" l="1"/>
  <c r="J137" i="25" s="1"/>
  <c r="I132" i="25"/>
  <c r="J135" i="25"/>
  <c r="J136" i="25" s="1"/>
  <c r="J134" i="25"/>
  <c r="J133" i="23"/>
  <c r="J137" i="23" s="1"/>
  <c r="I132" i="23"/>
  <c r="J135" i="23"/>
  <c r="J136" i="23" s="1"/>
  <c r="J134" i="23"/>
  <c r="I134" i="21"/>
  <c r="I137" i="21"/>
  <c r="J138" i="21" s="1"/>
  <c r="K138" i="21" s="1"/>
  <c r="I133" i="21"/>
  <c r="I135" i="21"/>
  <c r="I136" i="21" s="1"/>
  <c r="I134" i="19"/>
  <c r="I133" i="19"/>
  <c r="I137" i="19" s="1"/>
  <c r="J138" i="19" s="1"/>
  <c r="I135" i="19"/>
  <c r="I136" i="19" s="1"/>
  <c r="M45" i="18"/>
  <c r="I45" i="18" s="1"/>
  <c r="J110" i="17"/>
  <c r="J123" i="17"/>
  <c r="J20" i="17"/>
  <c r="K23" i="17"/>
  <c r="J36" i="17"/>
  <c r="J49" i="17"/>
  <c r="K52" i="17"/>
  <c r="J65" i="17"/>
  <c r="K68" i="17"/>
  <c r="J91" i="17"/>
  <c r="K94" i="17"/>
  <c r="J107" i="17"/>
  <c r="K110" i="17"/>
  <c r="J120" i="17"/>
  <c r="J131" i="17" s="1"/>
  <c r="K123" i="17"/>
  <c r="J17" i="17"/>
  <c r="K20" i="17"/>
  <c r="L23" i="17"/>
  <c r="J33" i="17"/>
  <c r="K36" i="17"/>
  <c r="J46" i="17"/>
  <c r="K49" i="17"/>
  <c r="L52" i="17"/>
  <c r="J62" i="17"/>
  <c r="K65" i="17"/>
  <c r="L68" i="17"/>
  <c r="J75" i="17"/>
  <c r="J78" i="17" s="1"/>
  <c r="J88" i="17"/>
  <c r="K91" i="17"/>
  <c r="L94" i="17"/>
  <c r="J104" i="17"/>
  <c r="K107" i="17"/>
  <c r="L110" i="17"/>
  <c r="K120" i="17"/>
  <c r="L123" i="17"/>
  <c r="J68" i="17"/>
  <c r="K17" i="17"/>
  <c r="L20" i="17"/>
  <c r="O23" i="17"/>
  <c r="J30" i="17"/>
  <c r="K33" i="17"/>
  <c r="L36" i="17"/>
  <c r="J43" i="17"/>
  <c r="K46" i="17"/>
  <c r="L49" i="17"/>
  <c r="O52" i="17"/>
  <c r="J59" i="17"/>
  <c r="K62" i="17"/>
  <c r="L65" i="17"/>
  <c r="K75" i="17"/>
  <c r="J85" i="17"/>
  <c r="K88" i="17"/>
  <c r="L91" i="17"/>
  <c r="O94" i="17"/>
  <c r="J101" i="17"/>
  <c r="K104" i="17"/>
  <c r="L107" i="17"/>
  <c r="J117" i="17"/>
  <c r="L120" i="17"/>
  <c r="J130" i="17"/>
  <c r="L33" i="17"/>
  <c r="L75" i="17"/>
  <c r="L88" i="17"/>
  <c r="L104" i="17"/>
  <c r="L17" i="17"/>
  <c r="K30" i="17"/>
  <c r="L46" i="17"/>
  <c r="J24" i="17"/>
  <c r="J53" i="17"/>
  <c r="J69" i="17"/>
  <c r="J79" i="17"/>
  <c r="J95" i="17"/>
  <c r="J111" i="17"/>
  <c r="J124" i="17"/>
  <c r="J89" i="17"/>
  <c r="K18" i="17"/>
  <c r="L21" i="17"/>
  <c r="O24" i="17"/>
  <c r="J31" i="17"/>
  <c r="K34" i="17"/>
  <c r="L37" i="17"/>
  <c r="J44" i="17"/>
  <c r="K47" i="17"/>
  <c r="L50" i="17"/>
  <c r="O53" i="17"/>
  <c r="J60" i="17"/>
  <c r="K63" i="17"/>
  <c r="L66" i="17"/>
  <c r="O69" i="17"/>
  <c r="K76" i="17"/>
  <c r="O79" i="17"/>
  <c r="J86" i="17"/>
  <c r="K89" i="17"/>
  <c r="L92" i="17"/>
  <c r="J102" i="17"/>
  <c r="K105" i="17"/>
  <c r="L108" i="17"/>
  <c r="L121" i="17"/>
  <c r="J76" i="17"/>
  <c r="L18" i="17"/>
  <c r="J28" i="17"/>
  <c r="K31" i="17"/>
  <c r="L34" i="17"/>
  <c r="J41" i="17"/>
  <c r="J73" i="17" s="1"/>
  <c r="K44" i="17"/>
  <c r="L47" i="17"/>
  <c r="J57" i="17"/>
  <c r="K60" i="17"/>
  <c r="L63" i="17"/>
  <c r="L76" i="17"/>
  <c r="J83" i="17"/>
  <c r="K86" i="17"/>
  <c r="L89" i="17"/>
  <c r="J99" i="17"/>
  <c r="K102" i="17"/>
  <c r="L105" i="17"/>
  <c r="J115" i="17"/>
  <c r="J128" i="17"/>
  <c r="J18" i="17"/>
  <c r="J34" i="17"/>
  <c r="J105" i="17"/>
  <c r="J25" i="17"/>
  <c r="K28" i="17"/>
  <c r="L31" i="17"/>
  <c r="K41" i="17"/>
  <c r="L44" i="17"/>
  <c r="O47" i="17"/>
  <c r="K57" i="17"/>
  <c r="L60" i="17"/>
  <c r="O63" i="17"/>
  <c r="K83" i="17"/>
  <c r="L86" i="17"/>
  <c r="K99" i="17"/>
  <c r="L102" i="17"/>
  <c r="K115" i="17"/>
  <c r="J125" i="17"/>
  <c r="K128" i="17"/>
  <c r="J22" i="17"/>
  <c r="K25" i="17"/>
  <c r="L28" i="17"/>
  <c r="J38" i="17"/>
  <c r="L41" i="17"/>
  <c r="J51" i="17"/>
  <c r="L57" i="17"/>
  <c r="J67" i="17"/>
  <c r="K80" i="17"/>
  <c r="L83" i="17"/>
  <c r="J93" i="17"/>
  <c r="K96" i="17"/>
  <c r="L99" i="17"/>
  <c r="J109" i="17"/>
  <c r="K112" i="17"/>
  <c r="L115" i="17"/>
  <c r="J122" i="17"/>
  <c r="K125" i="17"/>
  <c r="L128" i="17"/>
  <c r="I133" i="25" l="1"/>
  <c r="I137" i="25" s="1"/>
  <c r="J138" i="25" s="1"/>
  <c r="I135" i="25"/>
  <c r="I136" i="25" s="1"/>
  <c r="I134" i="25"/>
  <c r="I133" i="23"/>
  <c r="I135" i="23"/>
  <c r="I136" i="23" s="1"/>
  <c r="I134" i="23"/>
  <c r="I137" i="23" s="1"/>
  <c r="J138" i="23" s="1"/>
  <c r="J118" i="17"/>
  <c r="J39" i="17"/>
  <c r="J132" i="17" l="1"/>
  <c r="J133" i="17" l="1"/>
  <c r="J137" i="17" s="1"/>
  <c r="J134" i="17"/>
  <c r="I132" i="17"/>
  <c r="J135" i="17"/>
  <c r="J136" i="17" s="1"/>
  <c r="I134" i="17" l="1"/>
  <c r="I133" i="17"/>
  <c r="I137" i="17" s="1"/>
  <c r="J138" i="17" s="1"/>
  <c r="I135" i="17"/>
  <c r="I136" i="17" s="1"/>
  <c r="F45" i="10" l="1"/>
  <c r="F44" i="10"/>
  <c r="F43" i="10"/>
  <c r="F42" i="10"/>
  <c r="F40" i="10"/>
  <c r="F35" i="10"/>
  <c r="F34" i="10"/>
  <c r="I38" i="10"/>
  <c r="G45" i="10"/>
  <c r="G44" i="10"/>
  <c r="G43" i="10"/>
  <c r="G42" i="10"/>
  <c r="G40" i="10"/>
  <c r="G35" i="10"/>
  <c r="G34" i="10"/>
  <c r="H45" i="10"/>
  <c r="H44" i="10"/>
  <c r="H43" i="10"/>
  <c r="H42" i="10"/>
  <c r="H40" i="10"/>
  <c r="H35" i="10"/>
  <c r="H34" i="10"/>
  <c r="H30" i="10"/>
  <c r="G30" i="10"/>
  <c r="F30" i="10"/>
  <c r="L134" i="15"/>
  <c r="L138" i="15"/>
  <c r="K138" i="15"/>
  <c r="L135" i="15"/>
  <c r="K135" i="15"/>
  <c r="K134" i="15"/>
  <c r="L133" i="15"/>
  <c r="K133" i="15"/>
  <c r="K17" i="15"/>
  <c r="L17" i="15"/>
  <c r="K18" i="15"/>
  <c r="L18" i="15"/>
  <c r="K19" i="15"/>
  <c r="L19" i="15"/>
  <c r="K20" i="15"/>
  <c r="L20" i="15"/>
  <c r="K21" i="15"/>
  <c r="L21" i="15"/>
  <c r="K22" i="15"/>
  <c r="L22" i="15"/>
  <c r="K23" i="15"/>
  <c r="L23" i="15"/>
  <c r="K24" i="15"/>
  <c r="L24" i="15"/>
  <c r="K25" i="15"/>
  <c r="L25" i="15"/>
  <c r="K26" i="15"/>
  <c r="L26" i="15"/>
  <c r="K27" i="15"/>
  <c r="L27" i="15"/>
  <c r="K28" i="15"/>
  <c r="L28" i="15"/>
  <c r="K29" i="15"/>
  <c r="L29" i="15"/>
  <c r="K30" i="15"/>
  <c r="L30" i="15"/>
  <c r="K31" i="15"/>
  <c r="L31" i="15"/>
  <c r="K32" i="15"/>
  <c r="L32" i="15"/>
  <c r="K33" i="15"/>
  <c r="L33" i="15"/>
  <c r="K34" i="15"/>
  <c r="L34" i="15"/>
  <c r="K35" i="15"/>
  <c r="L35" i="15"/>
  <c r="K36" i="15"/>
  <c r="L36" i="15"/>
  <c r="K37" i="15"/>
  <c r="L37" i="15"/>
  <c r="K38" i="15"/>
  <c r="L38" i="15"/>
  <c r="K39" i="15"/>
  <c r="L39" i="15"/>
  <c r="K40" i="15"/>
  <c r="L40" i="15"/>
  <c r="K41" i="15"/>
  <c r="L41" i="15"/>
  <c r="K42" i="15"/>
  <c r="L42" i="15"/>
  <c r="K43" i="15"/>
  <c r="L43" i="15"/>
  <c r="K44" i="15"/>
  <c r="L44" i="15"/>
  <c r="K45" i="15"/>
  <c r="L45" i="15"/>
  <c r="K46" i="15"/>
  <c r="L46" i="15"/>
  <c r="K47" i="15"/>
  <c r="L47" i="15"/>
  <c r="K48" i="15"/>
  <c r="L48" i="15"/>
  <c r="K49" i="15"/>
  <c r="L49" i="15"/>
  <c r="K50" i="15"/>
  <c r="L50" i="15"/>
  <c r="K51" i="15"/>
  <c r="L51" i="15"/>
  <c r="K52" i="15"/>
  <c r="L52" i="15"/>
  <c r="K53" i="15"/>
  <c r="L53" i="15"/>
  <c r="K54" i="15"/>
  <c r="L54" i="15"/>
  <c r="K55" i="15"/>
  <c r="L55" i="15"/>
  <c r="K56" i="15"/>
  <c r="L56" i="15"/>
  <c r="K57" i="15"/>
  <c r="L57" i="15"/>
  <c r="K58" i="15"/>
  <c r="L58" i="15"/>
  <c r="K59" i="15"/>
  <c r="L59" i="15"/>
  <c r="K60" i="15"/>
  <c r="L60" i="15"/>
  <c r="K61" i="15"/>
  <c r="L61" i="15"/>
  <c r="K62" i="15"/>
  <c r="L62" i="15"/>
  <c r="K63" i="15"/>
  <c r="L63" i="15"/>
  <c r="K64" i="15"/>
  <c r="L64" i="15"/>
  <c r="K65" i="15"/>
  <c r="L65" i="15"/>
  <c r="K66" i="15"/>
  <c r="L66" i="15"/>
  <c r="K67" i="15"/>
  <c r="L67" i="15"/>
  <c r="K68" i="15"/>
  <c r="L68" i="15"/>
  <c r="K69" i="15"/>
  <c r="L69" i="15"/>
  <c r="K70" i="15"/>
  <c r="L70" i="15"/>
  <c r="K71" i="15"/>
  <c r="L71" i="15"/>
  <c r="K72" i="15"/>
  <c r="L72" i="15"/>
  <c r="K73" i="15"/>
  <c r="L73" i="15"/>
  <c r="K74" i="15"/>
  <c r="L74" i="15"/>
  <c r="K75" i="15"/>
  <c r="L75" i="15"/>
  <c r="K76" i="15"/>
  <c r="L76" i="15"/>
  <c r="K77" i="15"/>
  <c r="L77" i="15"/>
  <c r="K78" i="15"/>
  <c r="L78" i="15"/>
  <c r="K79" i="15"/>
  <c r="L79" i="15"/>
  <c r="K80" i="15"/>
  <c r="L80" i="15"/>
  <c r="K81" i="15"/>
  <c r="L81" i="15"/>
  <c r="K82" i="15"/>
  <c r="L82" i="15"/>
  <c r="K83" i="15"/>
  <c r="L83" i="15"/>
  <c r="K84" i="15"/>
  <c r="L84" i="15"/>
  <c r="K85" i="15"/>
  <c r="L85" i="15"/>
  <c r="K86" i="15"/>
  <c r="L86" i="15"/>
  <c r="K87" i="15"/>
  <c r="L87" i="15"/>
  <c r="K88" i="15"/>
  <c r="L88" i="15"/>
  <c r="K89" i="15"/>
  <c r="L89" i="15"/>
  <c r="K90" i="15"/>
  <c r="L90" i="15"/>
  <c r="K91" i="15"/>
  <c r="L91" i="15"/>
  <c r="K92" i="15"/>
  <c r="L92" i="15"/>
  <c r="K93" i="15"/>
  <c r="L93" i="15"/>
  <c r="K94" i="15"/>
  <c r="L94" i="15"/>
  <c r="K95" i="15"/>
  <c r="L95" i="15"/>
  <c r="K96" i="15"/>
  <c r="L96" i="15"/>
  <c r="K97" i="15"/>
  <c r="L97" i="15"/>
  <c r="K98" i="15"/>
  <c r="L98" i="15"/>
  <c r="K99" i="15"/>
  <c r="L99" i="15"/>
  <c r="K100" i="15"/>
  <c r="L100" i="15"/>
  <c r="K101" i="15"/>
  <c r="L101" i="15"/>
  <c r="K102" i="15"/>
  <c r="L102" i="15"/>
  <c r="K103" i="15"/>
  <c r="L103" i="15"/>
  <c r="K104" i="15"/>
  <c r="L104" i="15"/>
  <c r="K105" i="15"/>
  <c r="L105" i="15"/>
  <c r="K106" i="15"/>
  <c r="L106" i="15"/>
  <c r="K107" i="15"/>
  <c r="L107" i="15"/>
  <c r="K108" i="15"/>
  <c r="L108" i="15"/>
  <c r="K109" i="15"/>
  <c r="L109" i="15"/>
  <c r="K110" i="15"/>
  <c r="L110" i="15"/>
  <c r="K111" i="15"/>
  <c r="L111" i="15"/>
  <c r="K112" i="15"/>
  <c r="L112" i="15"/>
  <c r="K113" i="15"/>
  <c r="L113" i="15"/>
  <c r="K114" i="15"/>
  <c r="L114" i="15"/>
  <c r="K115" i="15"/>
  <c r="L115" i="15"/>
  <c r="K116" i="15"/>
  <c r="L116" i="15"/>
  <c r="K117" i="15"/>
  <c r="L117" i="15"/>
  <c r="K118" i="15"/>
  <c r="L118" i="15"/>
  <c r="K119" i="15"/>
  <c r="L119" i="15"/>
  <c r="K120" i="15"/>
  <c r="L120" i="15"/>
  <c r="K121" i="15"/>
  <c r="L121" i="15"/>
  <c r="K122" i="15"/>
  <c r="L122" i="15"/>
  <c r="K123" i="15"/>
  <c r="L123" i="15"/>
  <c r="K124" i="15"/>
  <c r="L124" i="15"/>
  <c r="K125" i="15"/>
  <c r="L125" i="15"/>
  <c r="K126" i="15"/>
  <c r="L126" i="15"/>
  <c r="K127" i="15"/>
  <c r="L127" i="15"/>
  <c r="K128" i="15"/>
  <c r="L128" i="15"/>
  <c r="K129" i="15"/>
  <c r="L129" i="15"/>
  <c r="K130" i="15"/>
  <c r="L130" i="15"/>
  <c r="L16" i="15"/>
  <c r="K16" i="15"/>
  <c r="J130" i="15"/>
  <c r="J129" i="15"/>
  <c r="J131" i="15" s="1"/>
  <c r="J128" i="15"/>
  <c r="J127" i="15"/>
  <c r="J126" i="15"/>
  <c r="J125" i="15"/>
  <c r="J124" i="15"/>
  <c r="J123" i="15"/>
  <c r="J122" i="15"/>
  <c r="J121" i="15"/>
  <c r="J120" i="15"/>
  <c r="J119" i="15"/>
  <c r="J117" i="15"/>
  <c r="J116" i="15"/>
  <c r="J115" i="15"/>
  <c r="J114" i="15"/>
  <c r="J113" i="15"/>
  <c r="J112" i="15"/>
  <c r="J111" i="15"/>
  <c r="J110" i="15"/>
  <c r="J109" i="15"/>
  <c r="J108" i="15"/>
  <c r="J107" i="15"/>
  <c r="J106" i="15"/>
  <c r="J105" i="15"/>
  <c r="J104" i="15"/>
  <c r="J103" i="15"/>
  <c r="J102" i="15"/>
  <c r="J101" i="15"/>
  <c r="J100" i="15"/>
  <c r="J99" i="15"/>
  <c r="J98" i="15"/>
  <c r="J97" i="15"/>
  <c r="J96" i="15"/>
  <c r="J95" i="15"/>
  <c r="J94" i="15"/>
  <c r="J93" i="15"/>
  <c r="J92" i="15"/>
  <c r="J91" i="15"/>
  <c r="J90" i="15"/>
  <c r="J89" i="15"/>
  <c r="J88" i="15"/>
  <c r="J87" i="15"/>
  <c r="J86" i="15"/>
  <c r="J85" i="15"/>
  <c r="J84" i="15"/>
  <c r="J83" i="15"/>
  <c r="J82" i="15"/>
  <c r="J81" i="15"/>
  <c r="J80" i="15"/>
  <c r="J118" i="15" s="1"/>
  <c r="J79" i="15"/>
  <c r="J77" i="15"/>
  <c r="J76" i="15"/>
  <c r="J75" i="15"/>
  <c r="J74" i="15"/>
  <c r="J78" i="15" s="1"/>
  <c r="J72" i="15"/>
  <c r="J71" i="15"/>
  <c r="J70" i="15"/>
  <c r="J69" i="15"/>
  <c r="J68" i="15"/>
  <c r="J67" i="15"/>
  <c r="J66" i="15"/>
  <c r="J65" i="15"/>
  <c r="J64" i="15"/>
  <c r="J63" i="15"/>
  <c r="J62" i="15"/>
  <c r="J61" i="15"/>
  <c r="J60" i="15"/>
  <c r="J59" i="15"/>
  <c r="J58" i="15"/>
  <c r="J57" i="15"/>
  <c r="J56" i="15"/>
  <c r="J55" i="15"/>
  <c r="J54" i="15"/>
  <c r="J53" i="15"/>
  <c r="J52" i="15"/>
  <c r="J51" i="15"/>
  <c r="J50" i="15"/>
  <c r="J49" i="15"/>
  <c r="J48" i="15"/>
  <c r="J47" i="15"/>
  <c r="J46" i="15"/>
  <c r="J45" i="15"/>
  <c r="J44" i="15"/>
  <c r="J43" i="15"/>
  <c r="J42" i="15"/>
  <c r="J41" i="15"/>
  <c r="J40" i="15"/>
  <c r="J73" i="15" s="1"/>
  <c r="J38" i="15"/>
  <c r="J37" i="15"/>
  <c r="J36" i="15"/>
  <c r="J35" i="15"/>
  <c r="J34" i="15"/>
  <c r="J33" i="15"/>
  <c r="J32" i="15"/>
  <c r="J31" i="15"/>
  <c r="J30" i="15"/>
  <c r="J29" i="15"/>
  <c r="J28" i="15"/>
  <c r="J27" i="15"/>
  <c r="J26" i="15"/>
  <c r="J25" i="15"/>
  <c r="J24" i="15"/>
  <c r="J23" i="15"/>
  <c r="J22" i="15"/>
  <c r="J21" i="15"/>
  <c r="J20" i="15"/>
  <c r="J19" i="15"/>
  <c r="J18" i="15"/>
  <c r="J17" i="15"/>
  <c r="J16" i="15"/>
  <c r="J39" i="15" s="1"/>
  <c r="J132" i="15" l="1"/>
  <c r="J135" i="15" l="1"/>
  <c r="J136" i="15" s="1"/>
  <c r="J134" i="15"/>
  <c r="J133" i="15"/>
  <c r="J137" i="15" s="1"/>
  <c r="I132" i="15"/>
  <c r="I135" i="15" l="1"/>
  <c r="I136" i="15" s="1"/>
  <c r="I134" i="15"/>
  <c r="I133" i="15"/>
  <c r="I137" i="15" s="1"/>
  <c r="J138" i="15" s="1"/>
  <c r="F44" i="9" l="1"/>
  <c r="F43" i="9"/>
  <c r="F42" i="9"/>
  <c r="F41" i="9"/>
  <c r="F39" i="9"/>
  <c r="F34" i="9"/>
  <c r="F33" i="9"/>
  <c r="F29" i="9"/>
  <c r="N138" i="14"/>
  <c r="M138" i="14"/>
  <c r="M17" i="14"/>
  <c r="N17" i="14"/>
  <c r="M18" i="14"/>
  <c r="N18" i="14"/>
  <c r="M19" i="14"/>
  <c r="N19" i="14"/>
  <c r="M20" i="14"/>
  <c r="N20" i="14"/>
  <c r="M21" i="14"/>
  <c r="N21" i="14"/>
  <c r="M22" i="14"/>
  <c r="N22" i="14"/>
  <c r="M23" i="14"/>
  <c r="N23" i="14"/>
  <c r="M24" i="14"/>
  <c r="N24" i="14"/>
  <c r="M25" i="14"/>
  <c r="N25" i="14"/>
  <c r="M26" i="14"/>
  <c r="N26" i="14"/>
  <c r="M27" i="14"/>
  <c r="N27" i="14"/>
  <c r="M28" i="14"/>
  <c r="N28" i="14"/>
  <c r="M29" i="14"/>
  <c r="N29" i="14"/>
  <c r="M30" i="14"/>
  <c r="N30" i="14"/>
  <c r="M31" i="14"/>
  <c r="N31" i="14"/>
  <c r="M32" i="14"/>
  <c r="N32" i="14"/>
  <c r="M33" i="14"/>
  <c r="N33" i="14"/>
  <c r="M34" i="14"/>
  <c r="N34" i="14"/>
  <c r="M35" i="14"/>
  <c r="N35" i="14"/>
  <c r="M36" i="14"/>
  <c r="N36" i="14"/>
  <c r="M37" i="14"/>
  <c r="N37" i="14"/>
  <c r="M38" i="14"/>
  <c r="N38" i="14"/>
  <c r="M39" i="14"/>
  <c r="N39" i="14"/>
  <c r="M40" i="14"/>
  <c r="N40" i="14"/>
  <c r="M41" i="14"/>
  <c r="N41" i="14"/>
  <c r="M42" i="14"/>
  <c r="N42" i="14"/>
  <c r="M43" i="14"/>
  <c r="N43" i="14"/>
  <c r="M44" i="14"/>
  <c r="N44" i="14"/>
  <c r="M45" i="14"/>
  <c r="N45" i="14"/>
  <c r="M46" i="14"/>
  <c r="N46" i="14"/>
  <c r="M47" i="14"/>
  <c r="N47" i="14"/>
  <c r="M48" i="14"/>
  <c r="N48" i="14"/>
  <c r="M49" i="14"/>
  <c r="N49" i="14"/>
  <c r="M50" i="14"/>
  <c r="N50" i="14"/>
  <c r="M51" i="14"/>
  <c r="N51" i="14"/>
  <c r="M52" i="14"/>
  <c r="N52" i="14"/>
  <c r="M53" i="14"/>
  <c r="N53" i="14"/>
  <c r="M54" i="14"/>
  <c r="N54" i="14"/>
  <c r="M55" i="14"/>
  <c r="N55" i="14"/>
  <c r="M56" i="14"/>
  <c r="N56" i="14"/>
  <c r="M57" i="14"/>
  <c r="N57" i="14"/>
  <c r="M58" i="14"/>
  <c r="N58" i="14"/>
  <c r="M59" i="14"/>
  <c r="N59" i="14"/>
  <c r="M60" i="14"/>
  <c r="N60" i="14"/>
  <c r="M61" i="14"/>
  <c r="N61" i="14"/>
  <c r="M62" i="14"/>
  <c r="N62" i="14"/>
  <c r="M63" i="14"/>
  <c r="N63" i="14"/>
  <c r="M64" i="14"/>
  <c r="N64" i="14"/>
  <c r="M65" i="14"/>
  <c r="N65" i="14"/>
  <c r="M66" i="14"/>
  <c r="N66" i="14"/>
  <c r="M67" i="14"/>
  <c r="N67" i="14"/>
  <c r="M68" i="14"/>
  <c r="N68" i="14"/>
  <c r="M69" i="14"/>
  <c r="N69" i="14"/>
  <c r="M70" i="14"/>
  <c r="N70" i="14"/>
  <c r="M71" i="14"/>
  <c r="N71" i="14"/>
  <c r="M72" i="14"/>
  <c r="N72" i="14"/>
  <c r="M73" i="14"/>
  <c r="N73" i="14"/>
  <c r="M74" i="14"/>
  <c r="N74" i="14"/>
  <c r="M75" i="14"/>
  <c r="N75" i="14"/>
  <c r="M76" i="14"/>
  <c r="N76" i="14"/>
  <c r="M77" i="14"/>
  <c r="N77" i="14"/>
  <c r="M78" i="14"/>
  <c r="N78" i="14"/>
  <c r="M79" i="14"/>
  <c r="N79" i="14"/>
  <c r="M80" i="14"/>
  <c r="N80" i="14"/>
  <c r="M81" i="14"/>
  <c r="N81" i="14"/>
  <c r="M82" i="14"/>
  <c r="N82" i="14"/>
  <c r="M83" i="14"/>
  <c r="N83" i="14"/>
  <c r="M84" i="14"/>
  <c r="N84" i="14"/>
  <c r="M85" i="14"/>
  <c r="N85" i="14"/>
  <c r="M86" i="14"/>
  <c r="N86" i="14"/>
  <c r="M87" i="14"/>
  <c r="N87" i="14"/>
  <c r="M88" i="14"/>
  <c r="N88" i="14"/>
  <c r="M89" i="14"/>
  <c r="N89" i="14"/>
  <c r="M90" i="14"/>
  <c r="N90" i="14"/>
  <c r="M91" i="14"/>
  <c r="N91" i="14"/>
  <c r="M92" i="14"/>
  <c r="N92" i="14"/>
  <c r="M93" i="14"/>
  <c r="N93" i="14"/>
  <c r="M94" i="14"/>
  <c r="N94" i="14"/>
  <c r="M95" i="14"/>
  <c r="N95" i="14"/>
  <c r="M96" i="14"/>
  <c r="N96" i="14"/>
  <c r="M97" i="14"/>
  <c r="N97" i="14"/>
  <c r="M98" i="14"/>
  <c r="N98" i="14"/>
  <c r="M99" i="14"/>
  <c r="N99" i="14"/>
  <c r="M100" i="14"/>
  <c r="N100" i="14"/>
  <c r="M101" i="14"/>
  <c r="N101" i="14"/>
  <c r="M102" i="14"/>
  <c r="N102" i="14"/>
  <c r="M103" i="14"/>
  <c r="N103" i="14"/>
  <c r="M104" i="14"/>
  <c r="N104" i="14"/>
  <c r="M105" i="14"/>
  <c r="N105" i="14"/>
  <c r="M106" i="14"/>
  <c r="N106" i="14"/>
  <c r="M107" i="14"/>
  <c r="N107" i="14"/>
  <c r="M108" i="14"/>
  <c r="N108" i="14"/>
  <c r="M109" i="14"/>
  <c r="N109" i="14"/>
  <c r="M110" i="14"/>
  <c r="N110" i="14"/>
  <c r="M111" i="14"/>
  <c r="N111" i="14"/>
  <c r="M112" i="14"/>
  <c r="N112" i="14"/>
  <c r="M113" i="14"/>
  <c r="N113" i="14"/>
  <c r="M114" i="14"/>
  <c r="N114" i="14"/>
  <c r="M115" i="14"/>
  <c r="N115" i="14"/>
  <c r="M116" i="14"/>
  <c r="N116" i="14"/>
  <c r="M117" i="14"/>
  <c r="N117" i="14"/>
  <c r="M118" i="14"/>
  <c r="N118" i="14"/>
  <c r="M119" i="14"/>
  <c r="N119" i="14"/>
  <c r="M120" i="14"/>
  <c r="N120" i="14"/>
  <c r="M121" i="14"/>
  <c r="N121" i="14"/>
  <c r="M122" i="14"/>
  <c r="N122" i="14"/>
  <c r="M123" i="14"/>
  <c r="N123" i="14"/>
  <c r="M124" i="14"/>
  <c r="N124" i="14"/>
  <c r="M125" i="14"/>
  <c r="N125" i="14"/>
  <c r="M126" i="14"/>
  <c r="N126" i="14"/>
  <c r="M127" i="14"/>
  <c r="N127" i="14"/>
  <c r="M128" i="14"/>
  <c r="N128" i="14"/>
  <c r="M129" i="14"/>
  <c r="N129" i="14"/>
  <c r="M130" i="14"/>
  <c r="N130" i="14"/>
  <c r="N16" i="14"/>
  <c r="M16" i="14"/>
  <c r="J136" i="14"/>
  <c r="J134" i="14"/>
  <c r="J135" i="14"/>
  <c r="J133" i="14"/>
  <c r="J132" i="14"/>
  <c r="J137" i="14"/>
  <c r="L136" i="14"/>
  <c r="L134" i="14"/>
  <c r="L135" i="14"/>
  <c r="L133" i="14"/>
  <c r="K133" i="14"/>
  <c r="L137" i="14"/>
  <c r="L131" i="14"/>
  <c r="L132" i="14"/>
  <c r="L118" i="14"/>
  <c r="L78" i="14"/>
  <c r="L73" i="14"/>
  <c r="L39" i="14"/>
  <c r="L17" i="14"/>
  <c r="L18" i="14"/>
  <c r="L19" i="14"/>
  <c r="L20" i="14"/>
  <c r="L21" i="14"/>
  <c r="L22" i="14"/>
  <c r="L23" i="14"/>
  <c r="L24" i="14"/>
  <c r="L25" i="14"/>
  <c r="L26" i="14"/>
  <c r="L27" i="14"/>
  <c r="L28" i="14"/>
  <c r="L29" i="14"/>
  <c r="L30" i="14"/>
  <c r="L31" i="14"/>
  <c r="L32" i="14"/>
  <c r="L33" i="14"/>
  <c r="L34" i="14"/>
  <c r="L35" i="14"/>
  <c r="L36" i="14"/>
  <c r="L37" i="14"/>
  <c r="L38" i="14"/>
  <c r="L40" i="14"/>
  <c r="L41" i="14"/>
  <c r="L42" i="14"/>
  <c r="L43" i="14"/>
  <c r="L44" i="14"/>
  <c r="L45" i="14"/>
  <c r="L46" i="14"/>
  <c r="L47" i="14"/>
  <c r="L48" i="14"/>
  <c r="L49" i="14"/>
  <c r="L50" i="14"/>
  <c r="L51" i="14"/>
  <c r="L52" i="14"/>
  <c r="L53" i="14"/>
  <c r="L54" i="14"/>
  <c r="L55" i="14"/>
  <c r="L56" i="14"/>
  <c r="L57" i="14"/>
  <c r="L58" i="14"/>
  <c r="L59" i="14"/>
  <c r="L60" i="14"/>
  <c r="L61" i="14"/>
  <c r="L62" i="14"/>
  <c r="L63" i="14"/>
  <c r="L64" i="14"/>
  <c r="L65" i="14"/>
  <c r="L66" i="14"/>
  <c r="L67" i="14"/>
  <c r="L68" i="14"/>
  <c r="L69" i="14"/>
  <c r="L70" i="14"/>
  <c r="L71" i="14"/>
  <c r="L72" i="14"/>
  <c r="L74" i="14"/>
  <c r="L75" i="14"/>
  <c r="L76" i="14"/>
  <c r="L77" i="14"/>
  <c r="L79" i="14"/>
  <c r="L80" i="14"/>
  <c r="L81" i="14"/>
  <c r="L82" i="14"/>
  <c r="L83" i="14"/>
  <c r="L84" i="14"/>
  <c r="L85" i="14"/>
  <c r="L86" i="14"/>
  <c r="L87" i="14"/>
  <c r="L88" i="14"/>
  <c r="L89" i="14"/>
  <c r="L90" i="14"/>
  <c r="L91" i="14"/>
  <c r="L92" i="14"/>
  <c r="L93" i="14"/>
  <c r="L94" i="14"/>
  <c r="L95" i="14"/>
  <c r="L96" i="14"/>
  <c r="L97" i="14"/>
  <c r="L98" i="14"/>
  <c r="L99" i="14"/>
  <c r="L100" i="14"/>
  <c r="L101" i="14"/>
  <c r="L102" i="14"/>
  <c r="L103" i="14"/>
  <c r="L104" i="14"/>
  <c r="L105" i="14"/>
  <c r="L106" i="14"/>
  <c r="L107" i="14"/>
  <c r="L108" i="14"/>
  <c r="L109" i="14"/>
  <c r="L110" i="14"/>
  <c r="L111" i="14"/>
  <c r="L112" i="14"/>
  <c r="L113" i="14"/>
  <c r="L114" i="14"/>
  <c r="L115" i="14"/>
  <c r="L116" i="14"/>
  <c r="L117" i="14"/>
  <c r="L119" i="14"/>
  <c r="L120" i="14"/>
  <c r="L121" i="14"/>
  <c r="L122" i="14"/>
  <c r="L123" i="14"/>
  <c r="L124" i="14"/>
  <c r="L125" i="14"/>
  <c r="L126" i="14"/>
  <c r="L127" i="14"/>
  <c r="L128" i="14"/>
  <c r="L129" i="14"/>
  <c r="L130" i="14"/>
  <c r="L16" i="14"/>
  <c r="J17" i="14"/>
  <c r="J18" i="14"/>
  <c r="J19" i="14"/>
  <c r="J20" i="14"/>
  <c r="J21" i="14"/>
  <c r="J22" i="14"/>
  <c r="J23" i="14"/>
  <c r="J24" i="14"/>
  <c r="J25" i="14"/>
  <c r="J26" i="14"/>
  <c r="J27" i="14"/>
  <c r="J28" i="14"/>
  <c r="J29" i="14"/>
  <c r="J30" i="14"/>
  <c r="J31" i="14"/>
  <c r="J32" i="14"/>
  <c r="J33" i="14"/>
  <c r="J34" i="14"/>
  <c r="J35" i="14"/>
  <c r="J36" i="14"/>
  <c r="J37" i="14"/>
  <c r="J38" i="14"/>
  <c r="J39" i="14"/>
  <c r="J40" i="14"/>
  <c r="J41" i="14"/>
  <c r="J42" i="14"/>
  <c r="J43" i="14"/>
  <c r="J44" i="14"/>
  <c r="J45" i="14"/>
  <c r="J46" i="14"/>
  <c r="J47" i="14"/>
  <c r="J48" i="14"/>
  <c r="J49" i="14"/>
  <c r="J50" i="14"/>
  <c r="J51" i="14"/>
  <c r="J52" i="14"/>
  <c r="J53" i="14"/>
  <c r="J54" i="14"/>
  <c r="J55" i="14"/>
  <c r="J56" i="14"/>
  <c r="J57" i="14"/>
  <c r="J58" i="14"/>
  <c r="J59" i="14"/>
  <c r="J60" i="14"/>
  <c r="J61" i="14"/>
  <c r="J62" i="14"/>
  <c r="J63" i="14"/>
  <c r="J64" i="14"/>
  <c r="J65" i="14"/>
  <c r="J66" i="14"/>
  <c r="J67" i="14"/>
  <c r="J68" i="14"/>
  <c r="J69" i="14"/>
  <c r="J70" i="14"/>
  <c r="J71" i="14"/>
  <c r="J72" i="14"/>
  <c r="J73" i="14"/>
  <c r="J74" i="14"/>
  <c r="J75" i="14"/>
  <c r="J76" i="14"/>
  <c r="J77" i="14"/>
  <c r="J78" i="14"/>
  <c r="J79" i="14"/>
  <c r="J80" i="14"/>
  <c r="J81" i="14"/>
  <c r="J82" i="14"/>
  <c r="J83" i="14"/>
  <c r="J84" i="14"/>
  <c r="J85" i="14"/>
  <c r="J86" i="14"/>
  <c r="J87" i="14"/>
  <c r="J88" i="14"/>
  <c r="J89" i="14"/>
  <c r="J90" i="14"/>
  <c r="J91" i="14"/>
  <c r="J92" i="14"/>
  <c r="J93" i="14"/>
  <c r="J94" i="14"/>
  <c r="J95" i="14"/>
  <c r="J96" i="14"/>
  <c r="J97" i="14"/>
  <c r="J98" i="14"/>
  <c r="J99" i="14"/>
  <c r="J100" i="14"/>
  <c r="J101" i="14"/>
  <c r="J102" i="14"/>
  <c r="J103" i="14"/>
  <c r="J104" i="14"/>
  <c r="J105" i="14"/>
  <c r="J106" i="14"/>
  <c r="J107" i="14"/>
  <c r="J108" i="14"/>
  <c r="J109" i="14"/>
  <c r="J110" i="14"/>
  <c r="J111" i="14"/>
  <c r="J112" i="14"/>
  <c r="J113" i="14"/>
  <c r="J114" i="14"/>
  <c r="J115" i="14"/>
  <c r="J116" i="14"/>
  <c r="J117" i="14"/>
  <c r="J118" i="14"/>
  <c r="J119" i="14"/>
  <c r="J120" i="14"/>
  <c r="J121" i="14"/>
  <c r="J122" i="14"/>
  <c r="J123" i="14"/>
  <c r="J124" i="14"/>
  <c r="J125" i="14"/>
  <c r="J126" i="14"/>
  <c r="J127" i="14"/>
  <c r="J128" i="14"/>
  <c r="J129" i="14"/>
  <c r="J130" i="14"/>
  <c r="J16" i="14"/>
  <c r="N135" i="14"/>
  <c r="M135" i="14"/>
  <c r="N134" i="14"/>
  <c r="M134" i="14"/>
  <c r="N133" i="14"/>
  <c r="M133" i="14"/>
  <c r="N131" i="14"/>
  <c r="M131" i="14"/>
  <c r="P15" i="14"/>
  <c r="K113" i="14" s="1"/>
  <c r="L138" i="14" l="1"/>
  <c r="K119" i="14" l="1"/>
  <c r="K29" i="14"/>
  <c r="K36" i="14"/>
  <c r="K80" i="14"/>
  <c r="K89" i="14"/>
  <c r="K32" i="14"/>
  <c r="K115" i="14"/>
  <c r="K116" i="14"/>
  <c r="K27" i="14"/>
  <c r="K124" i="14"/>
  <c r="K99" i="14"/>
  <c r="K75" i="14"/>
  <c r="K86" i="14"/>
  <c r="K129" i="14"/>
  <c r="K18" i="14"/>
  <c r="K85" i="14"/>
  <c r="K118" i="14" s="1"/>
  <c r="K102" i="14"/>
  <c r="K51" i="14"/>
  <c r="K121" i="14"/>
  <c r="K50" i="14"/>
  <c r="K97" i="14"/>
  <c r="K34" i="14"/>
  <c r="K81" i="14"/>
  <c r="K72" i="14"/>
  <c r="K108" i="14"/>
  <c r="K109" i="14"/>
  <c r="K31" i="14"/>
  <c r="K114" i="14"/>
  <c r="K110" i="14"/>
  <c r="K55" i="14"/>
  <c r="K64" i="14"/>
  <c r="K42" i="14"/>
  <c r="K120" i="14"/>
  <c r="K69" i="14"/>
  <c r="K26" i="14"/>
  <c r="K111" i="14"/>
  <c r="K22" i="14"/>
  <c r="K103" i="14"/>
  <c r="K58" i="14"/>
  <c r="K79" i="14"/>
  <c r="K60" i="14"/>
  <c r="K82" i="14"/>
  <c r="K24" i="14"/>
  <c r="K117" i="14"/>
  <c r="K65" i="14"/>
  <c r="K66" i="14"/>
  <c r="K43" i="14"/>
  <c r="K59" i="14"/>
  <c r="K67" i="14"/>
  <c r="K56" i="14"/>
  <c r="K28" i="14"/>
  <c r="K40" i="14"/>
  <c r="K61" i="14"/>
  <c r="K53" i="14"/>
  <c r="K95" i="14"/>
  <c r="K83" i="14"/>
  <c r="K126" i="14"/>
  <c r="K44" i="14"/>
  <c r="K90" i="14"/>
  <c r="K125" i="14"/>
  <c r="K84" i="14"/>
  <c r="K33" i="14"/>
  <c r="K20" i="14"/>
  <c r="K30" i="14"/>
  <c r="K47" i="14"/>
  <c r="K128" i="14"/>
  <c r="K38" i="14"/>
  <c r="K35" i="14"/>
  <c r="K123" i="14"/>
  <c r="K74" i="14"/>
  <c r="K87" i="14"/>
  <c r="K23" i="14"/>
  <c r="K70" i="14"/>
  <c r="K127" i="14"/>
  <c r="K71" i="14"/>
  <c r="K63" i="14"/>
  <c r="K93" i="14"/>
  <c r="K94" i="14"/>
  <c r="K49" i="14"/>
  <c r="K48" i="14"/>
  <c r="K92" i="14"/>
  <c r="K45" i="14"/>
  <c r="K25" i="14"/>
  <c r="K107" i="14"/>
  <c r="K112" i="14"/>
  <c r="K16" i="14"/>
  <c r="K57" i="14"/>
  <c r="K37" i="14"/>
  <c r="K52" i="14"/>
  <c r="K104" i="14"/>
  <c r="K62" i="14"/>
  <c r="K130" i="14"/>
  <c r="K122" i="14"/>
  <c r="K101" i="14"/>
  <c r="K21" i="14"/>
  <c r="K96" i="14"/>
  <c r="K54" i="14"/>
  <c r="K100" i="14"/>
  <c r="K98" i="14"/>
  <c r="K91" i="14"/>
  <c r="K19" i="14"/>
  <c r="K17" i="14"/>
  <c r="K105" i="14"/>
  <c r="K88" i="14"/>
  <c r="K46" i="14"/>
  <c r="K76" i="14"/>
  <c r="K68" i="14"/>
  <c r="K41" i="14"/>
  <c r="K106" i="14"/>
  <c r="K77" i="14"/>
  <c r="K131" i="14" l="1"/>
  <c r="K73" i="14"/>
  <c r="K78" i="14"/>
  <c r="K39" i="14"/>
  <c r="K132" i="14" l="1"/>
  <c r="K135" i="14" s="1"/>
  <c r="K136" i="14" s="1"/>
  <c r="I132" i="14" l="1"/>
  <c r="K134" i="14"/>
  <c r="I135" i="14"/>
  <c r="I136" i="14" s="1"/>
  <c r="I134" i="14"/>
  <c r="I133" i="14"/>
  <c r="F44" i="8"/>
  <c r="F43" i="8"/>
  <c r="F42" i="8"/>
  <c r="F41" i="8"/>
  <c r="F39" i="8"/>
  <c r="F34" i="8"/>
  <c r="F33" i="8"/>
  <c r="F29" i="8"/>
  <c r="L138" i="13"/>
  <c r="M138" i="13" s="1"/>
  <c r="K138" i="13"/>
  <c r="L135" i="13"/>
  <c r="K135" i="13"/>
  <c r="L134" i="13"/>
  <c r="K134" i="13"/>
  <c r="L133" i="13"/>
  <c r="K133" i="13"/>
  <c r="L131" i="13"/>
  <c r="K131" i="13"/>
  <c r="L130" i="13"/>
  <c r="K130" i="13"/>
  <c r="L129" i="13"/>
  <c r="K129" i="13"/>
  <c r="L128" i="13"/>
  <c r="K128" i="13"/>
  <c r="L127" i="13"/>
  <c r="K127" i="13"/>
  <c r="L126" i="13"/>
  <c r="K126" i="13"/>
  <c r="L125" i="13"/>
  <c r="K125" i="13"/>
  <c r="L124" i="13"/>
  <c r="K124" i="13"/>
  <c r="L123" i="13"/>
  <c r="K123" i="13"/>
  <c r="L122" i="13"/>
  <c r="K122" i="13"/>
  <c r="L121" i="13"/>
  <c r="K121" i="13"/>
  <c r="L120" i="13"/>
  <c r="K120" i="13"/>
  <c r="L119" i="13"/>
  <c r="K119" i="13"/>
  <c r="L118" i="13"/>
  <c r="K118" i="13"/>
  <c r="L117" i="13"/>
  <c r="K117" i="13"/>
  <c r="L116" i="13"/>
  <c r="K116" i="13"/>
  <c r="L115" i="13"/>
  <c r="K115" i="13"/>
  <c r="L114" i="13"/>
  <c r="K114" i="13"/>
  <c r="L113" i="13"/>
  <c r="K113" i="13"/>
  <c r="L112" i="13"/>
  <c r="K112" i="13"/>
  <c r="L111" i="13"/>
  <c r="K111" i="13"/>
  <c r="L110" i="13"/>
  <c r="K110" i="13"/>
  <c r="L109" i="13"/>
  <c r="K109" i="13"/>
  <c r="L108" i="13"/>
  <c r="K108" i="13"/>
  <c r="L107" i="13"/>
  <c r="K107" i="13"/>
  <c r="L106" i="13"/>
  <c r="K106" i="13"/>
  <c r="L105" i="13"/>
  <c r="K105" i="13"/>
  <c r="L104" i="13"/>
  <c r="K104" i="13"/>
  <c r="L103" i="13"/>
  <c r="K103" i="13"/>
  <c r="L102" i="13"/>
  <c r="K102" i="13"/>
  <c r="L101" i="13"/>
  <c r="K101" i="13"/>
  <c r="L100" i="13"/>
  <c r="K100" i="13"/>
  <c r="L99" i="13"/>
  <c r="K99" i="13"/>
  <c r="L98" i="13"/>
  <c r="K98" i="13"/>
  <c r="L97" i="13"/>
  <c r="K97" i="13"/>
  <c r="L96" i="13"/>
  <c r="K96" i="13"/>
  <c r="L95" i="13"/>
  <c r="K95" i="13"/>
  <c r="L94" i="13"/>
  <c r="K94" i="13"/>
  <c r="L93" i="13"/>
  <c r="K93" i="13"/>
  <c r="L92" i="13"/>
  <c r="K92" i="13"/>
  <c r="L91" i="13"/>
  <c r="K91" i="13"/>
  <c r="L90" i="13"/>
  <c r="K90" i="13"/>
  <c r="L89" i="13"/>
  <c r="K89" i="13"/>
  <c r="L88" i="13"/>
  <c r="K88" i="13"/>
  <c r="L87" i="13"/>
  <c r="K87" i="13"/>
  <c r="L86" i="13"/>
  <c r="K86" i="13"/>
  <c r="L85" i="13"/>
  <c r="K85" i="13"/>
  <c r="L84" i="13"/>
  <c r="K84" i="13"/>
  <c r="L83" i="13"/>
  <c r="K83" i="13"/>
  <c r="L82" i="13"/>
  <c r="K82" i="13"/>
  <c r="L81" i="13"/>
  <c r="K81" i="13"/>
  <c r="L80" i="13"/>
  <c r="K80" i="13"/>
  <c r="L79" i="13"/>
  <c r="K79" i="13"/>
  <c r="L78" i="13"/>
  <c r="K78" i="13"/>
  <c r="L77" i="13"/>
  <c r="K77" i="13"/>
  <c r="L76" i="13"/>
  <c r="K76" i="13"/>
  <c r="L75" i="13"/>
  <c r="K75" i="13"/>
  <c r="L74" i="13"/>
  <c r="K74" i="13"/>
  <c r="L73" i="13"/>
  <c r="K73" i="13"/>
  <c r="L72" i="13"/>
  <c r="K72" i="13"/>
  <c r="L71" i="13"/>
  <c r="K71" i="13"/>
  <c r="L70" i="13"/>
  <c r="K70" i="13"/>
  <c r="L69" i="13"/>
  <c r="K69" i="13"/>
  <c r="L68" i="13"/>
  <c r="K68" i="13"/>
  <c r="L67" i="13"/>
  <c r="K67" i="13"/>
  <c r="L66" i="13"/>
  <c r="K66" i="13"/>
  <c r="L65" i="13"/>
  <c r="K65" i="13"/>
  <c r="L64" i="13"/>
  <c r="K64" i="13"/>
  <c r="L63" i="13"/>
  <c r="K63" i="13"/>
  <c r="L62" i="13"/>
  <c r="K62" i="13"/>
  <c r="L61" i="13"/>
  <c r="K61" i="13"/>
  <c r="L60" i="13"/>
  <c r="K60" i="13"/>
  <c r="L59" i="13"/>
  <c r="K59" i="13"/>
  <c r="L58" i="13"/>
  <c r="K58" i="13"/>
  <c r="L57" i="13"/>
  <c r="K57" i="13"/>
  <c r="L56" i="13"/>
  <c r="K56" i="13"/>
  <c r="L55" i="13"/>
  <c r="K55" i="13"/>
  <c r="L54" i="13"/>
  <c r="K54" i="13"/>
  <c r="L53" i="13"/>
  <c r="K53" i="13"/>
  <c r="L52" i="13"/>
  <c r="K52" i="13"/>
  <c r="L51" i="13"/>
  <c r="K51" i="13"/>
  <c r="L50" i="13"/>
  <c r="K50" i="13"/>
  <c r="L49" i="13"/>
  <c r="K49" i="13"/>
  <c r="L48" i="13"/>
  <c r="K48" i="13"/>
  <c r="L47" i="13"/>
  <c r="K47" i="13"/>
  <c r="L46" i="13"/>
  <c r="K46" i="13"/>
  <c r="L45" i="13"/>
  <c r="K45" i="13"/>
  <c r="L44" i="13"/>
  <c r="K44" i="13"/>
  <c r="L43" i="13"/>
  <c r="K43" i="13"/>
  <c r="L42" i="13"/>
  <c r="K42" i="13"/>
  <c r="L41" i="13"/>
  <c r="K41" i="13"/>
  <c r="L40" i="13"/>
  <c r="K40" i="13"/>
  <c r="L39" i="13"/>
  <c r="K39" i="13"/>
  <c r="L38" i="13"/>
  <c r="K38" i="13"/>
  <c r="L37" i="13"/>
  <c r="K37" i="13"/>
  <c r="L36" i="13"/>
  <c r="K36" i="13"/>
  <c r="L35" i="13"/>
  <c r="K35" i="13"/>
  <c r="L34" i="13"/>
  <c r="K34" i="13"/>
  <c r="L33" i="13"/>
  <c r="K33" i="13"/>
  <c r="L32" i="13"/>
  <c r="K32" i="13"/>
  <c r="L31" i="13"/>
  <c r="K31" i="13"/>
  <c r="L30" i="13"/>
  <c r="K30" i="13"/>
  <c r="L29" i="13"/>
  <c r="K29" i="13"/>
  <c r="L28" i="13"/>
  <c r="K28" i="13"/>
  <c r="L27" i="13"/>
  <c r="K27" i="13"/>
  <c r="L26" i="13"/>
  <c r="K26" i="13"/>
  <c r="L25" i="13"/>
  <c r="K25" i="13"/>
  <c r="L24" i="13"/>
  <c r="K24" i="13"/>
  <c r="L23" i="13"/>
  <c r="K23" i="13"/>
  <c r="L22" i="13"/>
  <c r="K22" i="13"/>
  <c r="L21" i="13"/>
  <c r="K21" i="13"/>
  <c r="L20" i="13"/>
  <c r="K20" i="13"/>
  <c r="L19" i="13"/>
  <c r="K19" i="13"/>
  <c r="L18" i="13"/>
  <c r="K18" i="13"/>
  <c r="L17" i="13"/>
  <c r="K17" i="13"/>
  <c r="L16" i="13"/>
  <c r="K16" i="13"/>
  <c r="J130" i="13"/>
  <c r="J129" i="13"/>
  <c r="J128" i="13"/>
  <c r="J127" i="13"/>
  <c r="J126" i="13"/>
  <c r="J125" i="13"/>
  <c r="J124" i="13"/>
  <c r="J123" i="13"/>
  <c r="J122" i="13"/>
  <c r="J121" i="13"/>
  <c r="J120" i="13"/>
  <c r="J119" i="13"/>
  <c r="J131" i="13" s="1"/>
  <c r="J117" i="13"/>
  <c r="J116" i="13"/>
  <c r="J115" i="13"/>
  <c r="J114" i="13"/>
  <c r="J113" i="13"/>
  <c r="J112" i="13"/>
  <c r="J111" i="13"/>
  <c r="J110" i="13"/>
  <c r="J109" i="13"/>
  <c r="J108" i="13"/>
  <c r="J107" i="13"/>
  <c r="J106" i="13"/>
  <c r="J105" i="13"/>
  <c r="J104" i="13"/>
  <c r="J103" i="13"/>
  <c r="J102" i="13"/>
  <c r="J101" i="13"/>
  <c r="J100" i="13"/>
  <c r="J99" i="13"/>
  <c r="J98" i="13"/>
  <c r="J97" i="13"/>
  <c r="J96" i="13"/>
  <c r="J95" i="13"/>
  <c r="J94" i="13"/>
  <c r="J93" i="13"/>
  <c r="J92" i="13"/>
  <c r="J91" i="13"/>
  <c r="J90" i="13"/>
  <c r="J89" i="13"/>
  <c r="J88" i="13"/>
  <c r="J87" i="13"/>
  <c r="J86" i="13"/>
  <c r="J85" i="13"/>
  <c r="J84" i="13"/>
  <c r="J83" i="13"/>
  <c r="J82" i="13"/>
  <c r="J81" i="13"/>
  <c r="J80" i="13"/>
  <c r="J79" i="13"/>
  <c r="J118" i="13" s="1"/>
  <c r="J77" i="13"/>
  <c r="J76" i="13"/>
  <c r="J75" i="13"/>
  <c r="J74" i="13"/>
  <c r="J78" i="13" s="1"/>
  <c r="J72" i="13"/>
  <c r="J71" i="13"/>
  <c r="J70" i="13"/>
  <c r="J69" i="13"/>
  <c r="J68" i="13"/>
  <c r="J67" i="13"/>
  <c r="J66" i="13"/>
  <c r="J65" i="13"/>
  <c r="J64" i="13"/>
  <c r="J63" i="13"/>
  <c r="J62" i="13"/>
  <c r="J61" i="13"/>
  <c r="J60" i="13"/>
  <c r="J59" i="13"/>
  <c r="J58" i="13"/>
  <c r="J57" i="13"/>
  <c r="J56" i="13"/>
  <c r="J55" i="13"/>
  <c r="J54" i="13"/>
  <c r="J53" i="13"/>
  <c r="J52" i="13"/>
  <c r="J51" i="13"/>
  <c r="J50" i="13"/>
  <c r="J49" i="13"/>
  <c r="J48" i="13"/>
  <c r="J47" i="13"/>
  <c r="J46" i="13"/>
  <c r="J45" i="13"/>
  <c r="J44" i="13"/>
  <c r="J43" i="13"/>
  <c r="J42" i="13"/>
  <c r="J41" i="13"/>
  <c r="J40" i="13"/>
  <c r="J73" i="13" s="1"/>
  <c r="J38" i="13"/>
  <c r="J37" i="13"/>
  <c r="J36" i="13"/>
  <c r="J35" i="13"/>
  <c r="J34" i="13"/>
  <c r="J33" i="13"/>
  <c r="J32" i="13"/>
  <c r="J31" i="13"/>
  <c r="J30" i="13"/>
  <c r="J29" i="13"/>
  <c r="J28" i="13"/>
  <c r="J27" i="13"/>
  <c r="J26" i="13"/>
  <c r="J25" i="13"/>
  <c r="J24" i="13"/>
  <c r="J23" i="13"/>
  <c r="J22" i="13"/>
  <c r="J21" i="13"/>
  <c r="J20" i="13"/>
  <c r="J19" i="13"/>
  <c r="J39" i="13" s="1"/>
  <c r="J18" i="13"/>
  <c r="J17" i="13"/>
  <c r="J16" i="13"/>
  <c r="I137" i="14" l="1"/>
  <c r="K137" i="14"/>
  <c r="J132" i="13"/>
  <c r="K138" i="14" l="1"/>
  <c r="J135" i="13"/>
  <c r="J136" i="13" s="1"/>
  <c r="J134" i="13"/>
  <c r="J133" i="13"/>
  <c r="J137" i="13" s="1"/>
  <c r="J138" i="13" s="1"/>
  <c r="O11" i="6" l="1"/>
  <c r="G45" i="7"/>
  <c r="G44" i="7"/>
  <c r="G43" i="7"/>
  <c r="G42" i="7"/>
  <c r="G40" i="7"/>
  <c r="G35" i="7"/>
  <c r="G34" i="7"/>
  <c r="F45" i="7"/>
  <c r="F44" i="7"/>
  <c r="F43" i="7"/>
  <c r="F42" i="7"/>
  <c r="F40" i="7"/>
  <c r="F35" i="7"/>
  <c r="F34" i="7"/>
  <c r="G30" i="7"/>
  <c r="F30" i="7"/>
  <c r="L134" i="12"/>
  <c r="L135" i="12"/>
  <c r="L133" i="12"/>
  <c r="K134" i="12"/>
  <c r="K135" i="12"/>
  <c r="K133" i="12"/>
  <c r="L138" i="12"/>
  <c r="M138" i="12" s="1"/>
  <c r="K138" i="12"/>
  <c r="L131" i="12"/>
  <c r="K131" i="12"/>
  <c r="L130" i="12"/>
  <c r="K130" i="12"/>
  <c r="L129" i="12"/>
  <c r="K129" i="12"/>
  <c r="L128" i="12"/>
  <c r="K128" i="12"/>
  <c r="L127" i="12"/>
  <c r="K127" i="12"/>
  <c r="L126" i="12"/>
  <c r="K126" i="12"/>
  <c r="L125" i="12"/>
  <c r="K125" i="12"/>
  <c r="L124" i="12"/>
  <c r="K124" i="12"/>
  <c r="L123" i="12"/>
  <c r="K123" i="12"/>
  <c r="L122" i="12"/>
  <c r="K122" i="12"/>
  <c r="L121" i="12"/>
  <c r="K121" i="12"/>
  <c r="L120" i="12"/>
  <c r="K120" i="12"/>
  <c r="L119" i="12"/>
  <c r="K119" i="12"/>
  <c r="L118" i="12"/>
  <c r="K118" i="12"/>
  <c r="L117" i="12"/>
  <c r="K117" i="12"/>
  <c r="L116" i="12"/>
  <c r="K116" i="12"/>
  <c r="L115" i="12"/>
  <c r="K115" i="12"/>
  <c r="L114" i="12"/>
  <c r="K114" i="12"/>
  <c r="L113" i="12"/>
  <c r="K113" i="12"/>
  <c r="L112" i="12"/>
  <c r="K112" i="12"/>
  <c r="L111" i="12"/>
  <c r="K111" i="12"/>
  <c r="L110" i="12"/>
  <c r="K110" i="12"/>
  <c r="L109" i="12"/>
  <c r="K109" i="12"/>
  <c r="L108" i="12"/>
  <c r="K108" i="12"/>
  <c r="L107" i="12"/>
  <c r="K107" i="12"/>
  <c r="L106" i="12"/>
  <c r="K106" i="12"/>
  <c r="L105" i="12"/>
  <c r="K105" i="12"/>
  <c r="L104" i="12"/>
  <c r="K104" i="12"/>
  <c r="L103" i="12"/>
  <c r="K103" i="12"/>
  <c r="L102" i="12"/>
  <c r="K102" i="12"/>
  <c r="L101" i="12"/>
  <c r="K101" i="12"/>
  <c r="L100" i="12"/>
  <c r="K100" i="12"/>
  <c r="L99" i="12"/>
  <c r="K99" i="12"/>
  <c r="L98" i="12"/>
  <c r="K98" i="12"/>
  <c r="L97" i="12"/>
  <c r="K97" i="12"/>
  <c r="L96" i="12"/>
  <c r="K96" i="12"/>
  <c r="L95" i="12"/>
  <c r="K95" i="12"/>
  <c r="L94" i="12"/>
  <c r="K94" i="12"/>
  <c r="L93" i="12"/>
  <c r="K93" i="12"/>
  <c r="L92" i="12"/>
  <c r="K92" i="12"/>
  <c r="L91" i="12"/>
  <c r="K91" i="12"/>
  <c r="L90" i="12"/>
  <c r="K90" i="12"/>
  <c r="L89" i="12"/>
  <c r="K89" i="12"/>
  <c r="L88" i="12"/>
  <c r="K88" i="12"/>
  <c r="L87" i="12"/>
  <c r="K87" i="12"/>
  <c r="L86" i="12"/>
  <c r="K86" i="12"/>
  <c r="L85" i="12"/>
  <c r="K85" i="12"/>
  <c r="L84" i="12"/>
  <c r="K84" i="12"/>
  <c r="L83" i="12"/>
  <c r="K83" i="12"/>
  <c r="L82" i="12"/>
  <c r="K82" i="12"/>
  <c r="L81" i="12"/>
  <c r="K81" i="12"/>
  <c r="L80" i="12"/>
  <c r="K80" i="12"/>
  <c r="L79" i="12"/>
  <c r="K79" i="12"/>
  <c r="L78" i="12"/>
  <c r="K78" i="12"/>
  <c r="L77" i="12"/>
  <c r="K77" i="12"/>
  <c r="L76" i="12"/>
  <c r="K76" i="12"/>
  <c r="L75" i="12"/>
  <c r="K75" i="12"/>
  <c r="L74" i="12"/>
  <c r="K74" i="12"/>
  <c r="L73" i="12"/>
  <c r="K73" i="12"/>
  <c r="L72" i="12"/>
  <c r="K72" i="12"/>
  <c r="L71" i="12"/>
  <c r="K71" i="12"/>
  <c r="L70" i="12"/>
  <c r="K70" i="12"/>
  <c r="L69" i="12"/>
  <c r="K69" i="12"/>
  <c r="L68" i="12"/>
  <c r="K68" i="12"/>
  <c r="L67" i="12"/>
  <c r="K67" i="12"/>
  <c r="L66" i="12"/>
  <c r="K66" i="12"/>
  <c r="L65" i="12"/>
  <c r="K65" i="12"/>
  <c r="L64" i="12"/>
  <c r="K64" i="12"/>
  <c r="L63" i="12"/>
  <c r="K63" i="12"/>
  <c r="L62" i="12"/>
  <c r="K62" i="12"/>
  <c r="L61" i="12"/>
  <c r="K61" i="12"/>
  <c r="L60" i="12"/>
  <c r="K60" i="12"/>
  <c r="L59" i="12"/>
  <c r="K59" i="12"/>
  <c r="L58" i="12"/>
  <c r="K58" i="12"/>
  <c r="L57" i="12"/>
  <c r="K57" i="12"/>
  <c r="L56" i="12"/>
  <c r="K56" i="12"/>
  <c r="L55" i="12"/>
  <c r="K55" i="12"/>
  <c r="L54" i="12"/>
  <c r="K54" i="12"/>
  <c r="L53" i="12"/>
  <c r="K53" i="12"/>
  <c r="L52" i="12"/>
  <c r="K52" i="12"/>
  <c r="L51" i="12"/>
  <c r="K51" i="12"/>
  <c r="L50" i="12"/>
  <c r="K50" i="12"/>
  <c r="L49" i="12"/>
  <c r="K49" i="12"/>
  <c r="L48" i="12"/>
  <c r="K48" i="12"/>
  <c r="L47" i="12"/>
  <c r="K47" i="12"/>
  <c r="L46" i="12"/>
  <c r="K46" i="12"/>
  <c r="L45" i="12"/>
  <c r="K45" i="12"/>
  <c r="L44" i="12"/>
  <c r="K44" i="12"/>
  <c r="L43" i="12"/>
  <c r="K43" i="12"/>
  <c r="L42" i="12"/>
  <c r="K42" i="12"/>
  <c r="L41" i="12"/>
  <c r="K41" i="12"/>
  <c r="L40" i="12"/>
  <c r="K40" i="12"/>
  <c r="L39" i="12"/>
  <c r="K39" i="12"/>
  <c r="L38" i="12"/>
  <c r="K38" i="12"/>
  <c r="L37" i="12"/>
  <c r="K37" i="12"/>
  <c r="L36" i="12"/>
  <c r="K36" i="12"/>
  <c r="L35" i="12"/>
  <c r="K35" i="12"/>
  <c r="L34" i="12"/>
  <c r="K34" i="12"/>
  <c r="L33" i="12"/>
  <c r="K33" i="12"/>
  <c r="L32" i="12"/>
  <c r="K32" i="12"/>
  <c r="L31" i="12"/>
  <c r="K31" i="12"/>
  <c r="L30" i="12"/>
  <c r="K30" i="12"/>
  <c r="L29" i="12"/>
  <c r="K29" i="12"/>
  <c r="L28" i="12"/>
  <c r="K28" i="12"/>
  <c r="L27" i="12"/>
  <c r="K27" i="12"/>
  <c r="L26" i="12"/>
  <c r="K26" i="12"/>
  <c r="L25" i="12"/>
  <c r="K25" i="12"/>
  <c r="L24" i="12"/>
  <c r="K24" i="12"/>
  <c r="L23" i="12"/>
  <c r="K23" i="12"/>
  <c r="L22" i="12"/>
  <c r="K22" i="12"/>
  <c r="L21" i="12"/>
  <c r="K21" i="12"/>
  <c r="L20" i="12"/>
  <c r="K20" i="12"/>
  <c r="L19" i="12"/>
  <c r="K19" i="12"/>
  <c r="L18" i="12"/>
  <c r="K18" i="12"/>
  <c r="L17" i="12"/>
  <c r="K17" i="12"/>
  <c r="L16" i="12"/>
  <c r="K16" i="12"/>
  <c r="J130" i="12"/>
  <c r="J129" i="12"/>
  <c r="J128" i="12"/>
  <c r="J127" i="12"/>
  <c r="J126" i="12"/>
  <c r="J125" i="12"/>
  <c r="J131" i="12" s="1"/>
  <c r="J124" i="12"/>
  <c r="J123" i="12"/>
  <c r="J122" i="12"/>
  <c r="J121" i="12"/>
  <c r="J120" i="12"/>
  <c r="J119" i="12"/>
  <c r="J117" i="12"/>
  <c r="J116" i="12"/>
  <c r="J115" i="12"/>
  <c r="J114" i="12"/>
  <c r="J113" i="12"/>
  <c r="J112" i="12"/>
  <c r="J111" i="12"/>
  <c r="J110" i="12"/>
  <c r="J109" i="12"/>
  <c r="J108" i="12"/>
  <c r="J107" i="12"/>
  <c r="J106" i="12"/>
  <c r="J105" i="12"/>
  <c r="J104" i="12"/>
  <c r="J103" i="12"/>
  <c r="J102" i="12"/>
  <c r="J101" i="12"/>
  <c r="J100" i="12"/>
  <c r="J99" i="12"/>
  <c r="J98" i="12"/>
  <c r="J97" i="12"/>
  <c r="J96" i="12"/>
  <c r="J95" i="12"/>
  <c r="J94" i="12"/>
  <c r="J93" i="12"/>
  <c r="J92" i="12"/>
  <c r="J91" i="12"/>
  <c r="J90" i="12"/>
  <c r="J89" i="12"/>
  <c r="J88" i="12"/>
  <c r="J87" i="12"/>
  <c r="J86" i="12"/>
  <c r="J85" i="12"/>
  <c r="J84" i="12"/>
  <c r="J83" i="12"/>
  <c r="J82" i="12"/>
  <c r="J81" i="12"/>
  <c r="J80" i="12"/>
  <c r="J79" i="12"/>
  <c r="J118" i="12" s="1"/>
  <c r="J77" i="12"/>
  <c r="J78" i="12" s="1"/>
  <c r="J76" i="12"/>
  <c r="J75" i="12"/>
  <c r="J74" i="12"/>
  <c r="J72" i="12"/>
  <c r="J71" i="12"/>
  <c r="J70" i="12"/>
  <c r="J69" i="12"/>
  <c r="J68" i="12"/>
  <c r="J67" i="12"/>
  <c r="J66" i="12"/>
  <c r="J65" i="12"/>
  <c r="J64" i="12"/>
  <c r="J63" i="12"/>
  <c r="J62" i="12"/>
  <c r="J61" i="12"/>
  <c r="J60" i="12"/>
  <c r="J59" i="12"/>
  <c r="J58" i="12"/>
  <c r="J57" i="12"/>
  <c r="J56" i="12"/>
  <c r="J55" i="12"/>
  <c r="J54" i="12"/>
  <c r="J53" i="12"/>
  <c r="J52" i="12"/>
  <c r="J51" i="12"/>
  <c r="J50" i="12"/>
  <c r="J49" i="12"/>
  <c r="J48" i="12"/>
  <c r="J47" i="12"/>
  <c r="J46" i="12"/>
  <c r="J45" i="12"/>
  <c r="J44" i="12"/>
  <c r="J43" i="12"/>
  <c r="J42" i="12"/>
  <c r="J41" i="12"/>
  <c r="J40" i="12"/>
  <c r="J73" i="12" s="1"/>
  <c r="J38" i="12"/>
  <c r="J37" i="12"/>
  <c r="J36" i="12"/>
  <c r="J35" i="12"/>
  <c r="J34" i="12"/>
  <c r="J33" i="12"/>
  <c r="J32" i="12"/>
  <c r="J31" i="12"/>
  <c r="J30" i="12"/>
  <c r="J29" i="12"/>
  <c r="J28" i="12"/>
  <c r="J27" i="12"/>
  <c r="J26" i="12"/>
  <c r="J25" i="12"/>
  <c r="J24" i="12"/>
  <c r="J23" i="12"/>
  <c r="J22" i="12"/>
  <c r="J21" i="12"/>
  <c r="J20" i="12"/>
  <c r="J19" i="12"/>
  <c r="J18" i="12"/>
  <c r="J17" i="12"/>
  <c r="J16" i="12"/>
  <c r="J39" i="12" s="1"/>
  <c r="J132" i="12" l="1"/>
  <c r="J135" i="12" l="1"/>
  <c r="J136" i="12" s="1"/>
  <c r="J134" i="12"/>
  <c r="J133" i="12"/>
  <c r="J137" i="12" s="1"/>
  <c r="I132" i="12"/>
  <c r="I137" i="12" s="1"/>
  <c r="J138" i="12" l="1"/>
  <c r="F44" i="3" l="1"/>
  <c r="F43" i="3"/>
  <c r="F42" i="3"/>
  <c r="F41" i="3"/>
  <c r="F39" i="3"/>
  <c r="F34" i="3"/>
  <c r="F33" i="3"/>
  <c r="L138" i="11"/>
  <c r="K138" i="11"/>
  <c r="K134" i="11"/>
  <c r="L134" i="11"/>
  <c r="K135" i="11"/>
  <c r="L135" i="11"/>
  <c r="L133" i="11"/>
  <c r="K133" i="11"/>
  <c r="K17" i="11" l="1"/>
  <c r="L17" i="11"/>
  <c r="K18" i="11"/>
  <c r="L18" i="11"/>
  <c r="K19" i="11"/>
  <c r="L19" i="11"/>
  <c r="K20" i="11"/>
  <c r="L20" i="11"/>
  <c r="K21" i="11"/>
  <c r="L21" i="11"/>
  <c r="K22" i="11"/>
  <c r="L22" i="11"/>
  <c r="K23" i="11"/>
  <c r="L23" i="11"/>
  <c r="K24" i="11"/>
  <c r="L24" i="11"/>
  <c r="K25" i="11"/>
  <c r="L25" i="11"/>
  <c r="K26" i="11"/>
  <c r="L26" i="11"/>
  <c r="K27" i="11"/>
  <c r="L27" i="11"/>
  <c r="K28" i="11"/>
  <c r="L28" i="11"/>
  <c r="K29" i="11"/>
  <c r="L29" i="11"/>
  <c r="K30" i="11"/>
  <c r="L30" i="11"/>
  <c r="K31" i="11"/>
  <c r="L31" i="11"/>
  <c r="K32" i="11"/>
  <c r="L32" i="11"/>
  <c r="K33" i="11"/>
  <c r="L33" i="11"/>
  <c r="K34" i="11"/>
  <c r="L34" i="11"/>
  <c r="K35" i="11"/>
  <c r="L35" i="11"/>
  <c r="K36" i="11"/>
  <c r="L36" i="11"/>
  <c r="K37" i="11"/>
  <c r="L37" i="11"/>
  <c r="K38" i="11"/>
  <c r="L38" i="11"/>
  <c r="K39" i="11"/>
  <c r="L39" i="11"/>
  <c r="K40" i="11"/>
  <c r="L40" i="11"/>
  <c r="K41" i="11"/>
  <c r="L41" i="11"/>
  <c r="K42" i="11"/>
  <c r="L42" i="11"/>
  <c r="K43" i="11"/>
  <c r="L43" i="11"/>
  <c r="K44" i="11"/>
  <c r="L44" i="11"/>
  <c r="K45" i="11"/>
  <c r="L45" i="11"/>
  <c r="K46" i="11"/>
  <c r="L46" i="11"/>
  <c r="K47" i="11"/>
  <c r="L47" i="11"/>
  <c r="K48" i="11"/>
  <c r="L48" i="11"/>
  <c r="K49" i="11"/>
  <c r="L49" i="11"/>
  <c r="K50" i="11"/>
  <c r="L50" i="11"/>
  <c r="K51" i="11"/>
  <c r="L51" i="11"/>
  <c r="K52" i="11"/>
  <c r="L52" i="11"/>
  <c r="K53" i="11"/>
  <c r="L53" i="11"/>
  <c r="K54" i="11"/>
  <c r="L54" i="11"/>
  <c r="K55" i="11"/>
  <c r="L55" i="11"/>
  <c r="K56" i="11"/>
  <c r="L56" i="11"/>
  <c r="K57" i="11"/>
  <c r="L57" i="11"/>
  <c r="K58" i="11"/>
  <c r="L58" i="11"/>
  <c r="K59" i="11"/>
  <c r="L59" i="11"/>
  <c r="K60" i="11"/>
  <c r="L60" i="11"/>
  <c r="K61" i="11"/>
  <c r="L61" i="11"/>
  <c r="K62" i="11"/>
  <c r="L62" i="11"/>
  <c r="K63" i="11"/>
  <c r="L63" i="11"/>
  <c r="K64" i="11"/>
  <c r="L64" i="11"/>
  <c r="K65" i="11"/>
  <c r="L65" i="11"/>
  <c r="K66" i="11"/>
  <c r="L66" i="11"/>
  <c r="K67" i="11"/>
  <c r="L67" i="11"/>
  <c r="K68" i="11"/>
  <c r="L68" i="11"/>
  <c r="K69" i="11"/>
  <c r="L69" i="11"/>
  <c r="K70" i="11"/>
  <c r="L70" i="11"/>
  <c r="K71" i="11"/>
  <c r="L71" i="11"/>
  <c r="K72" i="11"/>
  <c r="L72" i="11"/>
  <c r="K73" i="11"/>
  <c r="L73" i="11"/>
  <c r="K74" i="11"/>
  <c r="L74" i="11"/>
  <c r="K75" i="11"/>
  <c r="L75" i="11"/>
  <c r="K76" i="11"/>
  <c r="L76" i="11"/>
  <c r="K77" i="11"/>
  <c r="L77" i="11"/>
  <c r="K78" i="11"/>
  <c r="L78" i="11"/>
  <c r="K79" i="11"/>
  <c r="L79" i="11"/>
  <c r="K80" i="11"/>
  <c r="L80" i="11"/>
  <c r="K81" i="11"/>
  <c r="L81" i="11"/>
  <c r="K82" i="11"/>
  <c r="L82" i="11"/>
  <c r="K83" i="11"/>
  <c r="L83" i="11"/>
  <c r="K84" i="11"/>
  <c r="L84" i="11"/>
  <c r="K85" i="11"/>
  <c r="L85" i="11"/>
  <c r="K86" i="11"/>
  <c r="L86" i="11"/>
  <c r="K87" i="11"/>
  <c r="L87" i="11"/>
  <c r="K88" i="11"/>
  <c r="L88" i="11"/>
  <c r="K89" i="11"/>
  <c r="L89" i="11"/>
  <c r="K90" i="11"/>
  <c r="L90" i="11"/>
  <c r="K91" i="11"/>
  <c r="L91" i="11"/>
  <c r="K92" i="11"/>
  <c r="L92" i="11"/>
  <c r="K93" i="11"/>
  <c r="L93" i="11"/>
  <c r="K94" i="11"/>
  <c r="L94" i="11"/>
  <c r="K95" i="11"/>
  <c r="L95" i="11"/>
  <c r="K96" i="11"/>
  <c r="L96" i="11"/>
  <c r="K97" i="11"/>
  <c r="L97" i="11"/>
  <c r="K98" i="11"/>
  <c r="L98" i="11"/>
  <c r="K99" i="11"/>
  <c r="L99" i="11"/>
  <c r="K100" i="11"/>
  <c r="L100" i="11"/>
  <c r="K101" i="11"/>
  <c r="L101" i="11"/>
  <c r="K102" i="11"/>
  <c r="L102" i="11"/>
  <c r="K103" i="11"/>
  <c r="L103" i="11"/>
  <c r="K104" i="11"/>
  <c r="L104" i="11"/>
  <c r="K105" i="11"/>
  <c r="L105" i="11"/>
  <c r="K106" i="11"/>
  <c r="L106" i="11"/>
  <c r="K107" i="11"/>
  <c r="L107" i="11"/>
  <c r="K108" i="11"/>
  <c r="L108" i="11"/>
  <c r="K109" i="11"/>
  <c r="L109" i="11"/>
  <c r="K110" i="11"/>
  <c r="L110" i="11"/>
  <c r="K111" i="11"/>
  <c r="L111" i="11"/>
  <c r="K112" i="11"/>
  <c r="L112" i="11"/>
  <c r="K113" i="11"/>
  <c r="L113" i="11"/>
  <c r="K114" i="11"/>
  <c r="L114" i="11"/>
  <c r="K115" i="11"/>
  <c r="L115" i="11"/>
  <c r="K116" i="11"/>
  <c r="L116" i="11"/>
  <c r="K117" i="11"/>
  <c r="L117" i="11"/>
  <c r="K118" i="11"/>
  <c r="L118" i="11"/>
  <c r="K119" i="11"/>
  <c r="L119" i="11"/>
  <c r="K120" i="11"/>
  <c r="L120" i="11"/>
  <c r="K121" i="11"/>
  <c r="L121" i="11"/>
  <c r="K122" i="11"/>
  <c r="L122" i="11"/>
  <c r="K123" i="11"/>
  <c r="L123" i="11"/>
  <c r="K124" i="11"/>
  <c r="L124" i="11"/>
  <c r="K125" i="11"/>
  <c r="L125" i="11"/>
  <c r="K126" i="11"/>
  <c r="L126" i="11"/>
  <c r="K127" i="11"/>
  <c r="L127" i="11"/>
  <c r="K128" i="11"/>
  <c r="L128" i="11"/>
  <c r="K129" i="11"/>
  <c r="L129" i="11"/>
  <c r="K130" i="11"/>
  <c r="L130" i="11"/>
  <c r="K131" i="11"/>
  <c r="L131" i="11"/>
  <c r="L16" i="11"/>
  <c r="K16" i="11"/>
  <c r="N138" i="11" l="1"/>
  <c r="I135" i="11"/>
  <c r="I136" i="11" s="1"/>
  <c r="I134" i="11"/>
  <c r="I133" i="11"/>
  <c r="N131" i="11"/>
  <c r="N130" i="11"/>
  <c r="J130" i="11"/>
  <c r="N129" i="11"/>
  <c r="J129" i="11"/>
  <c r="N128" i="11"/>
  <c r="J128" i="11"/>
  <c r="N127" i="11"/>
  <c r="J127" i="11"/>
  <c r="N126" i="11"/>
  <c r="J126" i="11"/>
  <c r="N125" i="11"/>
  <c r="J125" i="11"/>
  <c r="N124" i="11"/>
  <c r="J124" i="11"/>
  <c r="N123" i="11"/>
  <c r="J123" i="11"/>
  <c r="N122" i="11"/>
  <c r="J122" i="11"/>
  <c r="J131" i="11" s="1"/>
  <c r="N121" i="11"/>
  <c r="J121" i="11"/>
  <c r="N120" i="11"/>
  <c r="J120" i="11"/>
  <c r="N119" i="11"/>
  <c r="J119" i="11"/>
  <c r="N118" i="11"/>
  <c r="N117" i="11"/>
  <c r="J117" i="11"/>
  <c r="N116" i="11"/>
  <c r="J116" i="11"/>
  <c r="N115" i="11"/>
  <c r="J115" i="11"/>
  <c r="N114" i="11"/>
  <c r="J114" i="11"/>
  <c r="N113" i="11"/>
  <c r="J113" i="11"/>
  <c r="N112" i="11"/>
  <c r="J112" i="11"/>
  <c r="N111" i="11"/>
  <c r="J111" i="11"/>
  <c r="N110" i="11"/>
  <c r="J110" i="11"/>
  <c r="N109" i="11"/>
  <c r="J109" i="11"/>
  <c r="N108" i="11"/>
  <c r="J108" i="11"/>
  <c r="N107" i="11"/>
  <c r="J107" i="11"/>
  <c r="N106" i="11"/>
  <c r="J106" i="11"/>
  <c r="N105" i="11"/>
  <c r="J105" i="11"/>
  <c r="N104" i="11"/>
  <c r="J104" i="11"/>
  <c r="N103" i="11"/>
  <c r="J103" i="11"/>
  <c r="N102" i="11"/>
  <c r="J102" i="11"/>
  <c r="N101" i="11"/>
  <c r="J101" i="11"/>
  <c r="N100" i="11"/>
  <c r="J100" i="11"/>
  <c r="N99" i="11"/>
  <c r="J99" i="11"/>
  <c r="N98" i="11"/>
  <c r="J98" i="11"/>
  <c r="N97" i="11"/>
  <c r="J97" i="11"/>
  <c r="N96" i="11"/>
  <c r="J96" i="11"/>
  <c r="N95" i="11"/>
  <c r="J95" i="11"/>
  <c r="N94" i="11"/>
  <c r="J94" i="11"/>
  <c r="N93" i="11"/>
  <c r="J93" i="11"/>
  <c r="N92" i="11"/>
  <c r="J92" i="11"/>
  <c r="N91" i="11"/>
  <c r="J91" i="11"/>
  <c r="N90" i="11"/>
  <c r="J90" i="11"/>
  <c r="N89" i="11"/>
  <c r="J89" i="11"/>
  <c r="N88" i="11"/>
  <c r="J88" i="11"/>
  <c r="N87" i="11"/>
  <c r="J87" i="11"/>
  <c r="N86" i="11"/>
  <c r="J86" i="11"/>
  <c r="N85" i="11"/>
  <c r="J85" i="11"/>
  <c r="N84" i="11"/>
  <c r="J84" i="11"/>
  <c r="N83" i="11"/>
  <c r="J83" i="11"/>
  <c r="N82" i="11"/>
  <c r="J82" i="11"/>
  <c r="J118" i="11" s="1"/>
  <c r="N81" i="11"/>
  <c r="J81" i="11"/>
  <c r="N80" i="11"/>
  <c r="J80" i="11"/>
  <c r="N79" i="11"/>
  <c r="J79" i="11"/>
  <c r="N78" i="11"/>
  <c r="N77" i="11"/>
  <c r="J77" i="11"/>
  <c r="N76" i="11"/>
  <c r="J76" i="11"/>
  <c r="N75" i="11"/>
  <c r="J75" i="11"/>
  <c r="N74" i="11"/>
  <c r="J74" i="11"/>
  <c r="J78" i="11" s="1"/>
  <c r="N73" i="11"/>
  <c r="N72" i="11"/>
  <c r="J72" i="11"/>
  <c r="N71" i="11"/>
  <c r="J71" i="11"/>
  <c r="N70" i="11"/>
  <c r="J70" i="11"/>
  <c r="N69" i="11"/>
  <c r="J69" i="11"/>
  <c r="N68" i="11"/>
  <c r="J68" i="11"/>
  <c r="N67" i="11"/>
  <c r="J67" i="11"/>
  <c r="N66" i="11"/>
  <c r="J66" i="11"/>
  <c r="N65" i="11"/>
  <c r="J65" i="11"/>
  <c r="N64" i="11"/>
  <c r="J64" i="11"/>
  <c r="N63" i="11"/>
  <c r="J63" i="11"/>
  <c r="N62" i="11"/>
  <c r="J62" i="11"/>
  <c r="N61" i="11"/>
  <c r="J61" i="11"/>
  <c r="N60" i="11"/>
  <c r="J60" i="11"/>
  <c r="N59" i="11"/>
  <c r="J59" i="11"/>
  <c r="N58" i="11"/>
  <c r="J58" i="11"/>
  <c r="N57" i="11"/>
  <c r="J57" i="11"/>
  <c r="N56" i="11"/>
  <c r="J56" i="11"/>
  <c r="N55" i="11"/>
  <c r="J55" i="11"/>
  <c r="N54" i="11"/>
  <c r="J54" i="11"/>
  <c r="N53" i="11"/>
  <c r="J53" i="11"/>
  <c r="N52" i="11"/>
  <c r="J52" i="11"/>
  <c r="N51" i="11"/>
  <c r="J51" i="11"/>
  <c r="N50" i="11"/>
  <c r="J50" i="11"/>
  <c r="N49" i="11"/>
  <c r="J49" i="11"/>
  <c r="N48" i="11"/>
  <c r="J48" i="11"/>
  <c r="N47" i="11"/>
  <c r="J47" i="11"/>
  <c r="N46" i="11"/>
  <c r="J46" i="11"/>
  <c r="N45" i="11"/>
  <c r="J45" i="11"/>
  <c r="N44" i="11"/>
  <c r="J44" i="11"/>
  <c r="N43" i="11"/>
  <c r="J43" i="11"/>
  <c r="N42" i="11"/>
  <c r="J42" i="11"/>
  <c r="N41" i="11"/>
  <c r="J41" i="11"/>
  <c r="N40" i="11"/>
  <c r="J40" i="11"/>
  <c r="J73" i="11" s="1"/>
  <c r="N39" i="11"/>
  <c r="N38" i="11"/>
  <c r="J38" i="11"/>
  <c r="N37" i="11"/>
  <c r="J37" i="11"/>
  <c r="N36" i="11"/>
  <c r="J36" i="11"/>
  <c r="N35" i="11"/>
  <c r="J35" i="11"/>
  <c r="N34" i="11"/>
  <c r="J34" i="11"/>
  <c r="N33" i="11"/>
  <c r="J33" i="11"/>
  <c r="N32" i="11"/>
  <c r="J32" i="11"/>
  <c r="N31" i="11"/>
  <c r="J31" i="11"/>
  <c r="N30" i="11"/>
  <c r="J30" i="11"/>
  <c r="N29" i="11"/>
  <c r="J29" i="11"/>
  <c r="N28" i="11"/>
  <c r="J28" i="11"/>
  <c r="N27" i="11"/>
  <c r="J27" i="11"/>
  <c r="N26" i="11"/>
  <c r="J26" i="11"/>
  <c r="N25" i="11"/>
  <c r="J25" i="11"/>
  <c r="N24" i="11"/>
  <c r="J24" i="11"/>
  <c r="N23" i="11"/>
  <c r="J23" i="11"/>
  <c r="N22" i="11"/>
  <c r="J22" i="11"/>
  <c r="N21" i="11"/>
  <c r="J21" i="11"/>
  <c r="N20" i="11"/>
  <c r="J20" i="11"/>
  <c r="N19" i="11"/>
  <c r="J19" i="11"/>
  <c r="N18" i="11"/>
  <c r="J18" i="11"/>
  <c r="J39" i="11" s="1"/>
  <c r="N17" i="11"/>
  <c r="J17" i="11"/>
  <c r="N16" i="11"/>
  <c r="J16" i="11"/>
  <c r="J132" i="11" l="1"/>
  <c r="J135" i="11" l="1"/>
  <c r="J136" i="11" s="1"/>
  <c r="J134" i="11"/>
  <c r="J133" i="11"/>
  <c r="J137" i="11" s="1"/>
  <c r="J138" i="11" s="1"/>
  <c r="L19" i="6" l="1"/>
  <c r="L13" i="6"/>
  <c r="L12" i="6"/>
  <c r="L11" i="6"/>
  <c r="C19" i="6" a="1"/>
  <c r="C19" i="6" s="1"/>
  <c r="C13" i="6" a="1"/>
  <c r="C13" i="6" s="1"/>
  <c r="C12" i="6" a="1"/>
  <c r="C12" i="6" s="1"/>
  <c r="C11" i="6" a="1"/>
  <c r="C11" i="6" s="1"/>
  <c r="C10" i="6"/>
  <c r="D44" i="10"/>
  <c r="D32" i="10"/>
  <c r="D43" i="9"/>
  <c r="D31" i="9"/>
  <c r="D43" i="8"/>
  <c r="D31" i="8"/>
  <c r="D44" i="7"/>
  <c r="D32" i="7"/>
  <c r="G29" i="3"/>
  <c r="F29" i="3"/>
  <c r="D43" i="3"/>
  <c r="D31" i="3"/>
  <c r="L10" i="6"/>
  <c r="B44" i="10"/>
  <c r="B42" i="10"/>
  <c r="J38" i="10"/>
  <c r="M38" i="10" s="1"/>
  <c r="I36" i="10"/>
  <c r="J36" i="10" s="1"/>
  <c r="M36" i="10" s="1"/>
  <c r="I34" i="10"/>
  <c r="J34" i="10" s="1"/>
  <c r="M34" i="10" s="1"/>
  <c r="B34" i="10"/>
  <c r="B36" i="10" s="1"/>
  <c r="B38" i="10" s="1"/>
  <c r="I32" i="10"/>
  <c r="O26" i="10"/>
  <c r="J26" i="10" s="1"/>
  <c r="M26" i="10" s="1"/>
  <c r="O25" i="10"/>
  <c r="J25" i="10" s="1"/>
  <c r="M25" i="10" s="1"/>
  <c r="O24" i="10"/>
  <c r="J24" i="10" s="1"/>
  <c r="M24" i="10" s="1"/>
  <c r="O19" i="10"/>
  <c r="J19" i="10" s="1"/>
  <c r="M19" i="10" s="1"/>
  <c r="O18" i="10"/>
  <c r="J18" i="10" s="1"/>
  <c r="M18" i="10" s="1"/>
  <c r="O17" i="10"/>
  <c r="J17" i="10" s="1"/>
  <c r="M17" i="10" s="1"/>
  <c r="O13" i="10"/>
  <c r="J13" i="10"/>
  <c r="M13" i="10" s="1"/>
  <c r="O12" i="10"/>
  <c r="J12" i="10" s="1"/>
  <c r="M12" i="10" s="1"/>
  <c r="O11" i="10"/>
  <c r="J11" i="10" s="1"/>
  <c r="M11" i="10" s="1"/>
  <c r="N11" i="10"/>
  <c r="D5" i="10"/>
  <c r="D4" i="10"/>
  <c r="D3" i="10"/>
  <c r="B43" i="9"/>
  <c r="I43" i="9"/>
  <c r="B41" i="9"/>
  <c r="I41" i="9"/>
  <c r="J41" i="9" s="1"/>
  <c r="M41" i="9" s="1"/>
  <c r="I37" i="9"/>
  <c r="J37" i="9" s="1"/>
  <c r="M37" i="9" s="1"/>
  <c r="I35" i="9"/>
  <c r="J35" i="9" s="1"/>
  <c r="M35" i="9" s="1"/>
  <c r="B35" i="9"/>
  <c r="B37" i="9" s="1"/>
  <c r="I33" i="9"/>
  <c r="J33" i="9" s="1"/>
  <c r="M33" i="9" s="1"/>
  <c r="B33" i="9"/>
  <c r="I31" i="9"/>
  <c r="O25" i="9"/>
  <c r="M25" i="9"/>
  <c r="O24" i="9"/>
  <c r="M24" i="9"/>
  <c r="O23" i="9"/>
  <c r="M23" i="9"/>
  <c r="O18" i="9"/>
  <c r="J18" i="9" s="1"/>
  <c r="M18" i="9" s="1"/>
  <c r="O17" i="9"/>
  <c r="J17" i="9" s="1"/>
  <c r="M17" i="9" s="1"/>
  <c r="O16" i="9"/>
  <c r="J16" i="9" s="1"/>
  <c r="M16" i="9" s="1"/>
  <c r="O12" i="9"/>
  <c r="J12" i="9" s="1"/>
  <c r="M12" i="9" s="1"/>
  <c r="O11" i="9"/>
  <c r="J11" i="9" s="1"/>
  <c r="M11" i="9" s="1"/>
  <c r="O10" i="9"/>
  <c r="J10" i="9" s="1"/>
  <c r="M10" i="9" s="1"/>
  <c r="N10" i="9"/>
  <c r="D5" i="9"/>
  <c r="D4" i="9"/>
  <c r="D3" i="9"/>
  <c r="B43" i="8"/>
  <c r="I43" i="8"/>
  <c r="B41" i="8"/>
  <c r="I41" i="8"/>
  <c r="J41" i="8" s="1"/>
  <c r="M41" i="8" s="1"/>
  <c r="I37" i="8"/>
  <c r="J37" i="8" s="1"/>
  <c r="M37" i="8" s="1"/>
  <c r="I35" i="8"/>
  <c r="J35" i="8" s="1"/>
  <c r="M35" i="8" s="1"/>
  <c r="B35" i="8"/>
  <c r="B37" i="8" s="1"/>
  <c r="I33" i="8"/>
  <c r="J33" i="8" s="1"/>
  <c r="M33" i="8" s="1"/>
  <c r="B33" i="8"/>
  <c r="I31" i="8"/>
  <c r="O25" i="8"/>
  <c r="M25" i="8"/>
  <c r="O24" i="8"/>
  <c r="M24" i="8"/>
  <c r="O23" i="8"/>
  <c r="M23" i="8"/>
  <c r="O18" i="8"/>
  <c r="J18" i="8" s="1"/>
  <c r="M18" i="8" s="1"/>
  <c r="O17" i="8"/>
  <c r="J17" i="8" s="1"/>
  <c r="M17" i="8" s="1"/>
  <c r="O16" i="8"/>
  <c r="J16" i="8" s="1"/>
  <c r="M16" i="8" s="1"/>
  <c r="O12" i="8"/>
  <c r="J12" i="8"/>
  <c r="M12" i="8" s="1"/>
  <c r="O11" i="8"/>
  <c r="J11" i="8" s="1"/>
  <c r="M11" i="8" s="1"/>
  <c r="O10" i="8"/>
  <c r="N10" i="8"/>
  <c r="J10" i="8"/>
  <c r="M10" i="8" s="1"/>
  <c r="D5" i="8"/>
  <c r="D4" i="8"/>
  <c r="D3" i="8"/>
  <c r="B44" i="7"/>
  <c r="B42" i="7"/>
  <c r="I38" i="7"/>
  <c r="J38" i="7" s="1"/>
  <c r="M38" i="7" s="1"/>
  <c r="I36" i="7"/>
  <c r="J36" i="7" s="1"/>
  <c r="M36" i="7" s="1"/>
  <c r="I34" i="7"/>
  <c r="J34" i="7" s="1"/>
  <c r="M34" i="7" s="1"/>
  <c r="B34" i="7"/>
  <c r="B36" i="7" s="1"/>
  <c r="B38" i="7" s="1"/>
  <c r="I32" i="7"/>
  <c r="O26" i="7"/>
  <c r="M26" i="7"/>
  <c r="O25" i="7"/>
  <c r="M25" i="7"/>
  <c r="O24" i="7"/>
  <c r="M24" i="7"/>
  <c r="O19" i="7"/>
  <c r="J19" i="7"/>
  <c r="M19" i="7" s="1"/>
  <c r="O18" i="7"/>
  <c r="J18" i="7"/>
  <c r="M18" i="7" s="1"/>
  <c r="O17" i="7"/>
  <c r="J17" i="7" s="1"/>
  <c r="M17" i="7" s="1"/>
  <c r="O13" i="7"/>
  <c r="J13" i="7" s="1"/>
  <c r="M13" i="7" s="1"/>
  <c r="O12" i="7"/>
  <c r="J12" i="7" s="1"/>
  <c r="M12" i="7" s="1"/>
  <c r="O11" i="7"/>
  <c r="J11" i="7" s="1"/>
  <c r="M11" i="7" s="1"/>
  <c r="N11" i="7"/>
  <c r="D5" i="7"/>
  <c r="D4" i="7"/>
  <c r="D3" i="7"/>
  <c r="D5" i="3"/>
  <c r="D4" i="3"/>
  <c r="D3" i="3"/>
  <c r="I42" i="10" l="1"/>
  <c r="J42" i="10" s="1"/>
  <c r="M42" i="10" s="1"/>
  <c r="I44" i="10"/>
  <c r="J44" i="10" s="1"/>
  <c r="M44" i="10" s="1"/>
  <c r="I42" i="7"/>
  <c r="J42" i="7" s="1"/>
  <c r="M42" i="7" s="1"/>
  <c r="I44" i="7"/>
  <c r="J44" i="7" s="1"/>
  <c r="M44" i="7" s="1"/>
  <c r="J43" i="9"/>
  <c r="M43" i="9" s="1"/>
  <c r="J32" i="7"/>
  <c r="M32" i="7" s="1"/>
  <c r="J31" i="9"/>
  <c r="M31" i="9" s="1"/>
  <c r="J31" i="8"/>
  <c r="M31" i="8" s="1"/>
  <c r="J43" i="8"/>
  <c r="M43" i="8" s="1"/>
  <c r="J32" i="10"/>
  <c r="M32" i="10" s="1"/>
  <c r="I40" i="10"/>
  <c r="J40" i="10" s="1"/>
  <c r="M40" i="10" s="1"/>
  <c r="I39" i="9"/>
  <c r="J39" i="9" s="1"/>
  <c r="M39" i="9" s="1"/>
  <c r="I39" i="8"/>
  <c r="J39" i="8" s="1"/>
  <c r="M39" i="8" s="1"/>
  <c r="I40" i="7"/>
  <c r="J40" i="7" s="1"/>
  <c r="M40" i="7" s="1"/>
  <c r="M46" i="10" l="1"/>
  <c r="I46" i="10" s="1"/>
  <c r="M19" i="6" s="1"/>
  <c r="M46" i="7"/>
  <c r="I46" i="7" s="1"/>
  <c r="M11" i="6" s="1"/>
  <c r="M45" i="9"/>
  <c r="I45" i="9" s="1"/>
  <c r="M13" i="6" s="1"/>
  <c r="M45" i="8"/>
  <c r="I45" i="8" s="1"/>
  <c r="M12" i="6" s="1"/>
  <c r="O10" i="6"/>
  <c r="K10" i="6"/>
  <c r="J10" i="6"/>
  <c r="I10" i="6"/>
  <c r="H10" i="6"/>
  <c r="G10" i="6"/>
  <c r="F10" i="6"/>
  <c r="E10" i="6"/>
  <c r="I31" i="3"/>
  <c r="I35" i="3"/>
  <c r="J35" i="3" s="1"/>
  <c r="M35" i="3" s="1"/>
  <c r="B43" i="3"/>
  <c r="B41" i="3"/>
  <c r="I37" i="3"/>
  <c r="J37" i="3" s="1"/>
  <c r="M37" i="3" s="1"/>
  <c r="B35" i="3"/>
  <c r="B37" i="3" s="1"/>
  <c r="B33" i="3"/>
  <c r="O25" i="3"/>
  <c r="M25" i="3"/>
  <c r="O24" i="3"/>
  <c r="M24" i="3"/>
  <c r="O23" i="3"/>
  <c r="M23" i="3"/>
  <c r="O18" i="3"/>
  <c r="J18" i="3"/>
  <c r="M18" i="3" s="1"/>
  <c r="O17" i="3"/>
  <c r="J17" i="3"/>
  <c r="M17" i="3" s="1"/>
  <c r="O16" i="3"/>
  <c r="J16" i="3"/>
  <c r="M16" i="3" s="1"/>
  <c r="O12" i="3"/>
  <c r="J12" i="3"/>
  <c r="M12" i="3" s="1"/>
  <c r="O11" i="3"/>
  <c r="J11" i="3" s="1"/>
  <c r="M11" i="3" s="1"/>
  <c r="O10" i="3"/>
  <c r="J10" i="3" s="1"/>
  <c r="M10" i="3" s="1"/>
  <c r="N10" i="3"/>
  <c r="J31" i="3" l="1"/>
  <c r="M31" i="3" s="1"/>
  <c r="I43" i="3"/>
  <c r="J43" i="3" s="1"/>
  <c r="M43" i="3" s="1"/>
  <c r="I33" i="3"/>
  <c r="J33" i="3" s="1"/>
  <c r="M33" i="3" s="1"/>
  <c r="I41" i="3"/>
  <c r="J41" i="3" s="1"/>
  <c r="M41" i="3" s="1"/>
  <c r="I39" i="3"/>
  <c r="J39" i="3" s="1"/>
  <c r="M39" i="3" s="1"/>
  <c r="M45" i="3" l="1"/>
  <c r="I45" i="3" s="1"/>
  <c r="M10" i="6"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<sst xmlns="http://schemas.openxmlformats.org/spreadsheetml/2006/main" count="4568" uniqueCount="336">
  <si>
    <t>EVALUACION FINANCIERA Y ECONOMICA PRELIMINAR</t>
  </si>
  <si>
    <t>CONSOLIDADO VERIFICACIÓN FINANCIERA</t>
  </si>
  <si>
    <t>OBJETO PROCESO</t>
  </si>
  <si>
    <t>REALIZAR LAS REPARACIONES LOCATIVAS DE LA INFRAESTRUCTURA FÍSICA DE LA SEDE PRINCIPAL - CNA DEL FONDO NACIONAL DEL AHORRO S.A.</t>
  </si>
  <si>
    <t>NUMERO DE PROCESO</t>
  </si>
  <si>
    <t>FNA-VGHA-CP-015-2024</t>
  </si>
  <si>
    <t>PRESUPUESTO TOTAL</t>
  </si>
  <si>
    <t>N°</t>
  </si>
  <si>
    <t>Proponente</t>
  </si>
  <si>
    <t xml:space="preserve">Capital de Trabajo </t>
  </si>
  <si>
    <t xml:space="preserve">Índice de Liquidez </t>
  </si>
  <si>
    <t xml:space="preserve">Nivel de Endeudamiento </t>
  </si>
  <si>
    <t xml:space="preserve">Razón de Cobertura de Intereses </t>
  </si>
  <si>
    <t xml:space="preserve">Rentabilidad sobre Patrimonio </t>
  </si>
  <si>
    <t xml:space="preserve">Rentabilidad sobre Activo </t>
  </si>
  <si>
    <t xml:space="preserve">Patrimonio </t>
  </si>
  <si>
    <t xml:space="preserve">Observaciones  </t>
  </si>
  <si>
    <t>RESULTADOS DE INDICADORES FINANCIEROS  Y CAPACIDAD ORGANIZACIONAL</t>
  </si>
  <si>
    <t>Observaciones</t>
  </si>
  <si>
    <t>RESULTADOS OFERTA ECONOMICA</t>
  </si>
  <si>
    <t>El proponente cumple con lo establecido en el numeral 4.3.3. OFERTA ECONÓMICA de las reglas de partipación.</t>
  </si>
  <si>
    <t>Se realiza la corrección aritmetica según lo establecido en el numeral 4.3.3. OFERTA ECONÓMICA de las reglas de partipación; el porponente dio respuesta afirmativa y acepto los valores unitarios y el valor total segun la correccion aritmetica realizada por la entidad.</t>
  </si>
  <si>
    <r>
      <rPr>
        <sz val="18"/>
        <color theme="1"/>
        <rFont val="Arial Narrow"/>
        <family val="2"/>
      </rPr>
      <t xml:space="preserve">
En respuesta a la observacion presentada por el proponente </t>
    </r>
    <r>
      <rPr>
        <i/>
        <sz val="18"/>
        <color theme="1"/>
        <rFont val="Arial Narrow"/>
        <family val="2"/>
      </rPr>
      <t>"Solicitamos sea habilitada nuestra propuesta economica</t>
    </r>
    <r>
      <rPr>
        <sz val="18"/>
        <color theme="1"/>
        <rFont val="Arial Narrow"/>
        <family val="2"/>
      </rPr>
      <t>"</t>
    </r>
    <r>
      <rPr>
        <sz val="18"/>
        <color rgb="FFFF0000"/>
        <rFont val="Arial Narrow"/>
        <family val="2"/>
      </rPr>
      <t xml:space="preserve"> </t>
    </r>
    <r>
      <rPr>
        <sz val="18"/>
        <color theme="1"/>
        <rFont val="Arial Narrow"/>
        <family val="2"/>
      </rPr>
      <t>el comité evaluador indica: 
Como se indica en las reglas de participacion en el numeral 13 de las causales de rechazo "</t>
    </r>
    <r>
      <rPr>
        <i/>
        <sz val="18"/>
        <color theme="1"/>
        <rFont val="Arial Narrow"/>
        <family val="2"/>
      </rPr>
      <t>Cuando el Oferente, en la OFERTA ECONÓMICA, no diligencie los valores unitarios de la oferta según corresponda en la casilla determinada de uno o varios ítems, en el formato de OFERTA ECONÓMICA", adicional no siguio las instrucciones dadas para el diligenciamiento del formato No 9 numeral 2 "Asignar valor en las casillas "VALOR UNITARIO SIN IVA"  y  el porcentaje en "Administración", "Imprevistos" y "Utilidad". El valor del IVA se aplica sobre la Utilidad corresponde"</t>
    </r>
    <r>
      <rPr>
        <sz val="18"/>
        <rFont val="Arial Narrow"/>
        <family val="2"/>
      </rPr>
      <t xml:space="preserve">
Asi mismo, conforme a lo indicado en el literal g del numeral 4.3.3. OFERTA ECONÓMICA, de las reglas de participacion </t>
    </r>
    <r>
      <rPr>
        <i/>
        <sz val="18"/>
        <rFont val="Arial Narrow"/>
        <family val="2"/>
      </rPr>
      <t>"Deberá diligenciar la totalidad de las casillas indicadas en el FORMATO No. 9."</t>
    </r>
    <r>
      <rPr>
        <sz val="18"/>
        <rFont val="Arial Narrow"/>
        <family val="2"/>
      </rPr>
      <t xml:space="preserve">
Dicho lo anterior no se acepta su observacion.</t>
    </r>
  </si>
  <si>
    <t>RECHAZADO</t>
  </si>
  <si>
    <t>El proponente no diligencio las casillas correspondientes al porcentaje de AIU y esta inmerso en las causales de rechazo No.13 y no siguio las instrucciones dadas para el diligenciamiento del formato de oferta economica No. 9 numeral 2 Asignar valor en las casillas "VALOR UNITARIO SIN IVA"  y  el porcentaje en "Administración", "Imprevistos" y "Utilidad". El valor del IVA se aplica sobre la Utilidad corresponde. Adicionalmente el numeral 8.El oferente no podrá cambiar, eliminar la formulación.</t>
  </si>
  <si>
    <t>El proponente NO cumple con lo establecido en el numeral 4.3.3. OFERTA ECONÓMICA de las reglas de partipación y esta inmerso en la causal de rechazo No. 16 con los items refrencia en la evaluacion preliminar financiera.</t>
  </si>
  <si>
    <t xml:space="preserve">
</t>
  </si>
  <si>
    <r>
      <rPr>
        <b/>
        <sz val="18"/>
        <rFont val="Arial Narrow"/>
        <family val="2"/>
      </rPr>
      <t xml:space="preserve">
Diana Ximena Diaz Ramirez
Comité Evaluador Financiero
Gerencia De Contratacion </t>
    </r>
    <r>
      <rPr>
        <sz val="18"/>
        <rFont val="Arial Narrow"/>
        <family val="2"/>
      </rPr>
      <t xml:space="preserve">
</t>
    </r>
  </si>
  <si>
    <r>
      <rPr>
        <b/>
        <sz val="18"/>
        <rFont val="Arial Narrow"/>
        <family val="2"/>
      </rPr>
      <t>Elaboró:Lina Andrea Bastidas
Profesional 02
Gerencia Contratación Fondo Nacional del Ahorro SA</t>
    </r>
    <r>
      <rPr>
        <sz val="18"/>
        <rFont val="Arial Narrow"/>
        <family val="2"/>
      </rPr>
      <t xml:space="preserve">
</t>
    </r>
  </si>
  <si>
    <t>FONDO NACIONAL DEL AHORRO</t>
  </si>
  <si>
    <t>PROPONENTE</t>
  </si>
  <si>
    <t>VERIFICACION EXPEDICIÓN REGISTRO UNICO DE PROPONENTES</t>
  </si>
  <si>
    <t>LIMACOR MY S.A.S. 
900126632 1</t>
  </si>
  <si>
    <t>FECHA CIERRE PROCESO</t>
  </si>
  <si>
    <t>FECHA EXPEDICION RUP</t>
  </si>
  <si>
    <t>mm / dd / aa</t>
  </si>
  <si>
    <t>30 días anteriores</t>
  </si>
  <si>
    <t>FECHA ULTIMA RENOVACION</t>
  </si>
  <si>
    <t>10 días hábiles</t>
  </si>
  <si>
    <t>FECHA DE LOS ESTADOS FINANCIEROS</t>
  </si>
  <si>
    <t>VERIFICACIÓN REQUISITOS HABILITANTES  FINANCIEROS</t>
  </si>
  <si>
    <t>NUMERAL</t>
  </si>
  <si>
    <t>VERIFICACIÓN DE LA CAPACIDAD FINANCIERA</t>
  </si>
  <si>
    <t xml:space="preserve">DESCRIPCION </t>
  </si>
  <si>
    <t>CRITERIO</t>
  </si>
  <si>
    <t>ITEM</t>
  </si>
  <si>
    <t>INDICADOR</t>
  </si>
  <si>
    <t>RESULTADO VERIFICACION</t>
  </si>
  <si>
    <t>DOCUMENTO ELECTRONICO</t>
  </si>
  <si>
    <t>OBSERVACIONES</t>
  </si>
  <si>
    <t>4.3.1</t>
  </si>
  <si>
    <t>4.3.1 CAPACIDAD FINANCIERA</t>
  </si>
  <si>
    <t>Capital de Trabajo &gt;= 25% POE</t>
  </si>
  <si>
    <t>Activo Corriente</t>
  </si>
  <si>
    <t>Registro Único de Proponentes</t>
  </si>
  <si>
    <t xml:space="preserve">El proponente cumple con  los indicadores  establecidos en las reglas de  participación  de conformidad con lo estabecido en el numeral 4.3 4.3. REQUISITOS MÍNIMOS HABILITANTES FINANCIEROS Y CAPACIDAD ORGANIZACIONAL de las reglas de participación </t>
  </si>
  <si>
    <t>Pasivo Corriente</t>
  </si>
  <si>
    <t>Pasivo Total</t>
  </si>
  <si>
    <t>Activo Total</t>
  </si>
  <si>
    <t xml:space="preserve">Utilidad Operacional </t>
  </si>
  <si>
    <t>Gastos de Intereses</t>
  </si>
  <si>
    <t>4.3.2</t>
  </si>
  <si>
    <t>4.3.2 capacidad Organizacional</t>
  </si>
  <si>
    <t>Utilidad Operacional</t>
  </si>
  <si>
    <t>Patrimonio</t>
  </si>
  <si>
    <t>Rentabilidad sobre Activo</t>
  </si>
  <si>
    <t>Activo total</t>
  </si>
  <si>
    <t>Patrimonio ≥ 30% POE</t>
  </si>
  <si>
    <t>Pasivo total</t>
  </si>
  <si>
    <t>RESULTADO</t>
  </si>
  <si>
    <t xml:space="preserve">FONDO NACIONAL DEL AHORRO S.A. </t>
  </si>
  <si>
    <t>FORMATO  No. 9 - PROPUESTA ECONOMICA</t>
  </si>
  <si>
    <t>Número del Proceso</t>
  </si>
  <si>
    <t>Descripción del Proceso:</t>
  </si>
  <si>
    <t>REALIZAR LAS REPARACIONES LOCATIVAS DE LA INFRAESTRUCTURA FÍSICA DE LA SEDE PRINCIPAL – CNA DEL FONDO NACIONAL DEL AHORRO S.A.</t>
  </si>
  <si>
    <t>Nombre del Oferente</t>
  </si>
  <si>
    <t>LIMACOR MY S.A.S.</t>
  </si>
  <si>
    <t>NIT</t>
  </si>
  <si>
    <t>900126632-1</t>
  </si>
  <si>
    <t>Representante Legal</t>
  </si>
  <si>
    <t>MÓNICA MARCELA CORONADO RODRÍGUEZ</t>
  </si>
  <si>
    <t>C.C</t>
  </si>
  <si>
    <r>
      <rPr>
        <sz val="11"/>
        <color rgb="FF000000"/>
        <rFont val="Arial"/>
        <family val="2"/>
      </rPr>
      <t xml:space="preserve">1. El valor de la oferta económica deber ser expresado en PESOS COLOMBIANOS.
2.  Asignar valor en las casillas </t>
    </r>
    <r>
      <rPr>
        <b/>
        <sz val="11"/>
        <color rgb="FF000000"/>
        <rFont val="Arial"/>
        <family val="2"/>
      </rPr>
      <t xml:space="preserve">"VALOR UNITARIO SIN IVA" </t>
    </r>
    <r>
      <rPr>
        <sz val="11"/>
        <color rgb="FF000000"/>
        <rFont val="Arial"/>
        <family val="2"/>
      </rPr>
      <t xml:space="preserve"> y  el porcentaje en</t>
    </r>
    <r>
      <rPr>
        <b/>
        <sz val="11"/>
        <color rgb="FF000000"/>
        <rFont val="Arial"/>
        <family val="2"/>
      </rPr>
      <t xml:space="preserve"> "Administración", "Imprevistos"</t>
    </r>
    <r>
      <rPr>
        <sz val="11"/>
        <color rgb="FF000000"/>
        <rFont val="Arial"/>
        <family val="2"/>
      </rPr>
      <t xml:space="preserve"> y</t>
    </r>
    <r>
      <rPr>
        <b/>
        <sz val="11"/>
        <color rgb="FF000000"/>
        <rFont val="Arial"/>
        <family val="2"/>
      </rPr>
      <t xml:space="preserve"> "Utilidad"</t>
    </r>
    <r>
      <rPr>
        <sz val="11"/>
        <color rgb="FF000000"/>
        <rFont val="Arial"/>
        <family val="2"/>
      </rPr>
      <t>. El valor del IVA se aplica sobre la Utilidad corresponde con la regulación tributaria vigente.
3. El oferente deberá tener en cuenta todos los gravámenes, impuestos tasas y demás contribuciones para la estimación del presupuesto.
4. No modificar, agregar o quitar ningún ítem o sub-ítem, so pena de encontrarse inmerso en causal de rechazo.
5. Todos los valores deberán estar ajustados al peso, es decir, sin decimales. Para el efecto, se aplicará la formula redondeo de Excel.
6. No podrá superar los VALORES UNITARIO SIN IVA REFERENCIA establecidos por la entidad ni tampoco podra ser cero (0) so pena de rechazo por encontrarse inmerso en causal de rechazo.                                                                                                                                                                                                                                                                                                 7. No podrá superar el  Presupuesto Oficial Estimado so pena de encontrarse inmerso en causal de rechazo.
8.El oferente no podrá cambiar, eliminar la formulación.
NOTA                        
• El contratista deberá prever la proyección del presupuesto para el plazo de ejecución del contrato. El FNA no asumirán los costos adicionales generados por el IPC de los años subsiguientes o cualquier otro sistema de actualización de precios; en el caso que exista reglamentación gubernamental de incrementos salariales durante la ejecución del contrato, éstos deben ser contemplados por el contratista dentro del valor de la ofertado.
• Tiempo estimado de ejecución: 12 meses
• Los precios ofertados se deberán mantener durante la ejecución del contrato independientemente de la fecha de inicio de ejecución del contrato.</t>
    </r>
  </si>
  <si>
    <t>ÍTEM</t>
  </si>
  <si>
    <t>ACTIVIDAD</t>
  </si>
  <si>
    <t>UNIDAD DE MEDIDA</t>
  </si>
  <si>
    <t>CANTIDAD</t>
  </si>
  <si>
    <r>
      <t xml:space="preserve">VALOR UNITARIO SIN IVA </t>
    </r>
    <r>
      <rPr>
        <b/>
        <sz val="12"/>
        <color rgb="FFFF0000"/>
        <rFont val="Aptos Narrow"/>
        <family val="2"/>
      </rPr>
      <t>(NO MODIFICAR)</t>
    </r>
  </si>
  <si>
    <t>VALORES OFERTADOS</t>
  </si>
  <si>
    <t>VALOR UNITARIO SIN IVA</t>
  </si>
  <si>
    <t>VALOR TOTAL</t>
  </si>
  <si>
    <t>VERIFICACION PRECIOS TECHO</t>
  </si>
  <si>
    <t>VERIFICACION PRCIOS ARTIFIALMENTE BAJOS</t>
  </si>
  <si>
    <t>1.1.</t>
  </si>
  <si>
    <t>Retiro, reparación y reposicion puntual de junta entre laminas (junta con factor forma 2cmx1cm), mediante el uso de fondo de junta tipo sika rod y sello elastomérico de poliuretano en color negro, con alta resistencia a la intemperie incluye andamio colgante o toda instalación provisional que permita el cumplimiento de la actividad.</t>
  </si>
  <si>
    <t>ml</t>
  </si>
  <si>
    <t>1.2.</t>
  </si>
  <si>
    <t>Pintura exterior tipo coraza para muros sobre pañete incluye toda instalación provisional que permita el cumplimiento de la actividad.</t>
  </si>
  <si>
    <t>m2</t>
  </si>
  <si>
    <t>2.1.</t>
  </si>
  <si>
    <t>Retiro de impermeabilización existente y mortero de nivelación. Incluye el retiro y disposición final de escombros (Edificio Convenciones y Edificio CNA zona "L").</t>
  </si>
  <si>
    <t>2.2.</t>
  </si>
  <si>
    <t>Instalación de mortero de nivelación con materiales de SIKA o similares características, previo a la instalación de la impermeabilización  (Edificio Convenciones y Edificio CNA zona "L").</t>
  </si>
  <si>
    <t>2.3.</t>
  </si>
  <si>
    <t>Impermeabilización de placa de cubierta plana transitable, no ventilada, con piso fijo, tipo convencional, para tráfico peatonal privado. Tipo Sika o de similares características con uso de mantos asfálticos, tipo bicapa   (Edificio Convenciones y Edificio CNA zona "L").</t>
  </si>
  <si>
    <t>2.4.</t>
  </si>
  <si>
    <t>Desmonte de ventaneria con vidrios en celosía ubicados en culata de cubierta en el edificio CNA.</t>
  </si>
  <si>
    <t>2.5.</t>
  </si>
  <si>
    <t>Suministro e instalación de sistema de ventanas en vidrio fijas (sin básculante) en reemplazo de las ventanas en vidrio retiradas, ubicados en culata de cubierta en el edificio CNA.</t>
  </si>
  <si>
    <t>2.6.</t>
  </si>
  <si>
    <t>Retiro de canaletas existentes y suministro e instalación de canaletas metálicas de sección trapezoidal elaboradas en acero galvanizado calibre 16 de acuerdo con las necesidades técnicas de la cubierta de aguas lluvia, incluye la instalación de la soportería para el anclaje de la canaleta en el edificio CNA.</t>
  </si>
  <si>
    <t>2.7.</t>
  </si>
  <si>
    <t>Retiro de instalación existente y suministro e instalación de soscos para la bajante de agua lluvia ø 4" en PVC con su respectivo sifón para evitar malos olores, incluye la instalación de la soportería para el anclaje  en el edificio CNA.</t>
  </si>
  <si>
    <t>und</t>
  </si>
  <si>
    <t>2.8.</t>
  </si>
  <si>
    <t>Limpieza y mantenimientos de tubería bajante de agua lluvia ø 4" en PVC,  en el edificio CNA.</t>
  </si>
  <si>
    <t>3.1.</t>
  </si>
  <si>
    <t>Desmonte de cielo raso en fibra mineral o en drywall incluye desmonte luminarias, retiro y disposición final de escombros.</t>
  </si>
  <si>
    <t>3.2.</t>
  </si>
  <si>
    <t>Mantenimiento de cielo raso en fibra mineral. Incluye cambio, pintura y/o reutilización de láminas en fibra mineral, instalación de anclajes y arreglo de perfilería descolgada y colocación de soportes.</t>
  </si>
  <si>
    <t>3.3.</t>
  </si>
  <si>
    <t>Suministro e instalación cielo raso PVC de 10 mm de espesor, incluye estructura, perforaciones para las luminarias. A todo costo.</t>
  </si>
  <si>
    <t>3.4.</t>
  </si>
  <si>
    <t>Suministro e instalación cielo raso en drywall de 1/2" de espesor a una sola cara, incluye estructura, perforaciones luminarias. A todo costo.</t>
  </si>
  <si>
    <t>4.1.</t>
  </si>
  <si>
    <t>Cambio de válvula antivandálica de empotrar tipo push para sanitarios institucionales de consumo de agua 4.85 lpf (1.28 gpf) tipo corona o similar. Incluye desmonte y reinstalación de aparatos sanitarios. A todo costo  con la instalación de un enchape de similares caracteristicas a las originales.</t>
  </si>
  <si>
    <t>4.2.</t>
  </si>
  <si>
    <t>Cambio de grifería para lavamanos de empotrar a muro tipo push aplicación institucional de consumo 0,4 - 1.9 litros, tipo corona o similar incluye desmonte y reinstalación de aparatos. A todo costo con la instalación de un enchape de similares caracteristicas a las originales.</t>
  </si>
  <si>
    <t>4.3.</t>
  </si>
  <si>
    <t>Cambio de válvula antivandálica de empotrar tipo push para orinales institucionales de consumo de agua 0.5 a 1.9 lpf (0.13 a 0.5 gpf). tipo corona o similar. Incluye desmonte y reinstalación de aparatos sanitarios. A todo costo  con la instalación de un enchape de similares caracteristicas a las originales.</t>
  </si>
  <si>
    <t>4.4.</t>
  </si>
  <si>
    <t>Desmonte de divisiones metálicas para baños. Incluye soportería, tornillos, herrajes, retiro y disposición final.</t>
  </si>
  <si>
    <t>4.5.</t>
  </si>
  <si>
    <t>Suministro e instalación de divisiones de baño en acero inoxidable por ambas caras calibre 22, aleación 304 acabado satinado tipo SOCODA o similar. Con puerta, anclajes y accesorios necesarios para su instalación y correcto funcionamiento.</t>
  </si>
  <si>
    <t>4.6.</t>
  </si>
  <si>
    <t>Limpieza con sonda de tubería sanitaria en diferentes diámetros, actividad para ejecutar por punto.</t>
  </si>
  <si>
    <t>5.1.</t>
  </si>
  <si>
    <t>Desmonte de puerta en madera de 1.44 m x2.47 m, incluye marco y retiro.</t>
  </si>
  <si>
    <t>5.2.</t>
  </si>
  <si>
    <t>Suministro e instalación de puerta de acceso a cubierta en aluminio de dos hojas: una de 0.90 m x 2.47 m y otra de 0.54 m x 2.47 m. Incluye bisagras cerradura, cantonera marco y accesorios necesarios para su funcionamiento.</t>
  </si>
  <si>
    <t>6.1.</t>
  </si>
  <si>
    <t>Resanes y pintura vinilo primera calidad tipo 1 a tres manos, aplica para muros interiores color blanco sobre pañete o repello liso. A todo costo.</t>
  </si>
  <si>
    <t>TOTAL REPARACIONES LOCATIVAS GENERALES SEDE PRINCIPAL</t>
  </si>
  <si>
    <t>Demolición muros Drywall incluye la disposición final de los escombros.</t>
  </si>
  <si>
    <t>Desmonte de divisiones y puertas en vidrio incluye la disposición final o la disposición que el fondo Nacional del Ahorro indique.</t>
  </si>
  <si>
    <t>1.3.</t>
  </si>
  <si>
    <t>1.4.</t>
  </si>
  <si>
    <t>Desmonte de redes eléctricas existentes. Incluye la disposición final de los escombros o la disposición que el fondo Nacional del Ahorro indique.</t>
  </si>
  <si>
    <t>glb</t>
  </si>
  <si>
    <t>1.5.</t>
  </si>
  <si>
    <t>Desmonte de puestos de trabajo tales como divisiones metálicas, superficies, cajoneras etc. Adicionalmente, incluye la disposición final de los escombros o la disposición que el fondo Nacional del Ahorro indique.</t>
  </si>
  <si>
    <t>1.6.</t>
  </si>
  <si>
    <t>Suministro e instalación  de muro provisional en Drywall de 1/2" a una sola cara, incluye estructura, cinta, estuco. A todo costo.</t>
  </si>
  <si>
    <t>Suministro e instalación de columnetas metálicas en tubería cuadrada estructural de 100mmx100mm, calibre 12 acabado en pintura color negro semi-mate. Incluye platina soldada a la base y anclajes a placa de piso y retiro de escombros.</t>
  </si>
  <si>
    <t>Suministro e instalación de viguetas metálicas en tubería cuadrada estructural de 100mmx100mm, calibre12 acabado en pintura color negro semi-mate. Incluye soldadura a columnetas y retiro de escombros.</t>
  </si>
  <si>
    <t>Suministro e instalación de muro en Superboard de 8 mm, altura 2.40 m a dos caras. Incluye estructura metálica, anclaje, cinta, estuco y fondeo de acabado en pintura en vinilo tipo 1.</t>
  </si>
  <si>
    <t xml:space="preserve">Suministro e instalación de cielorraso en Drywall de 1/2" a una sola cara, incluye estructura, cinta, estuco, capa fondeo y pintura. A todo costo. </t>
  </si>
  <si>
    <t xml:space="preserve">Suministro e instalación de Frescasa Eco Sin Papel 3 1/2″ para cielorraso en Drywall. A todo costo. </t>
  </si>
  <si>
    <t>Suministro e instalación de piso laminado de alto tráfico de alta densidad (HDF) de 890 a 900 Kgms x cm3 y resistencia a la humedad.  Incluye plástico aislante y yumbolon de acuerdo a las características técnicas y el guardaescobas.</t>
  </si>
  <si>
    <t>Suministro e instalación de alimentador 1N°12 Fase+1N°12 Neutro+1N°12 Puesta a tierra. Cable de cobre LSHF, AWG. A todo costo, cumpliendo norma RETIE.</t>
  </si>
  <si>
    <t>6.2.</t>
  </si>
  <si>
    <t>Suministro e instalación de alimentador a tableros en 3N°2/0 Fase+1N°2/0 Neutro+1N°2 Puesta a tierra. Cable de cobre LSHF, AWG. A todo costo, cumpliendo norma RETIE.</t>
  </si>
  <si>
    <t>6.3.</t>
  </si>
  <si>
    <t>Suministro e instalación de salida de alumbrado 3m prom en cable No 12 LSHF AWG y Tubería PVC SCH 40 3/4", elementos de fijación, conductores y tomacorriente doble, cumpliendo norma RETIE.</t>
  </si>
  <si>
    <t>6.4.</t>
  </si>
  <si>
    <t>Suministro e instalación de salida interruptor sencillo o doble 3m prom en cable No 12 LSHF AWG y Tubería PVC SCH40 3/4", elementos de fijación y conductores. Cumpliendo norma RETIE.</t>
  </si>
  <si>
    <t>6.5.</t>
  </si>
  <si>
    <t>Suministro e instalación de lámpara de techo colgante lineal estilo cortina de luz, acabado negro y luz neutra. Dimensiones: 120x4x7cm. Largo de la guaya: 100cm, incluye acometida eléctrica y accesorios.</t>
  </si>
  <si>
    <t>6.6.</t>
  </si>
  <si>
    <t>Suministro e instalación de panel LED de incrustar redondo acabado blanco, 24 w, luz neutra 4000K,  dimensiones : diámetro 30 cm. Incluye acometida eléctrica y accesorios.</t>
  </si>
  <si>
    <t>6.7.</t>
  </si>
  <si>
    <t>Suministro e instalación de panel LED de gran formato redondo de 24W, luz neutra 4000K, dimensiones 100 cm. Incluye acometida eléctrica y accesorios.</t>
  </si>
  <si>
    <t>6.8.</t>
  </si>
  <si>
    <t>Suministro e instalación de luminaria de emergencia con autonomía de 90 minutos certificada RETILAP.</t>
  </si>
  <si>
    <t>6.9.</t>
  </si>
  <si>
    <t>Suministro e instalación de luminaria de emergencia de aviso de evacuación con autonomía de 90 minutos certificada RETILAP.</t>
  </si>
  <si>
    <t>6.10.</t>
  </si>
  <si>
    <t>Suministro e instalación de salida tomacorriente doble polo a tierra (red normal), monofásico 120V 15A, 3m prom en cable No 12 LSHF AWG, elementos de fijación y conductores.</t>
  </si>
  <si>
    <t>6.11.</t>
  </si>
  <si>
    <t>Suministro e instalación de canalización en tubería conduit PVC SCH40 ø 3/4" oculta sobre cielo o en muros. Cumpliendo norma RETIE.</t>
  </si>
  <si>
    <t>m</t>
  </si>
  <si>
    <t>6.12.</t>
  </si>
  <si>
    <t>Suministro e instalación de canalización en tubería conduit EMT ø 3" oculta sobre cielo o en muros.</t>
  </si>
  <si>
    <t>6.13.</t>
  </si>
  <si>
    <t xml:space="preserve">Suministro e instalación de ducto cerrado de 40X8 galvanizado o con pintura electrostática. </t>
  </si>
  <si>
    <t>6.14.</t>
  </si>
  <si>
    <t>Suministro e instalación de tablero de 42 circuitos trifásico tetrafilar con espacio para totalizador y barraje neutro y tierra. Incluye totalizador y protecciones.</t>
  </si>
  <si>
    <t>7.1.</t>
  </si>
  <si>
    <t>Suministro e instalación de Vidrios Templado 8 mm para divisiones de oficina incluye accesorios en aluminio para su correcto funcionamiento. A todo costo.</t>
  </si>
  <si>
    <t>7.2.</t>
  </si>
  <si>
    <t>Suministro e instalación de Puerta en Vidrio Templado 8 mm con Pivote, incluye topes de piso, accesorios en aluminio para su correcto funcionamiento a todo costo.</t>
  </si>
  <si>
    <t>7.3.</t>
  </si>
  <si>
    <t>Suministro e instalación de película de sandblasting mate traslucido solido de 1.2 m de ancho a todo costo de uso interior y exterior.</t>
  </si>
  <si>
    <t>7.4.</t>
  </si>
  <si>
    <t>Suministro e instalación de película de sandblasting mate traslucido solido de 1.2 m de ancho de uso interior y exterior, con corte de letras para identificar las oficinas en vidrio. A todo costo.</t>
  </si>
  <si>
    <t>8.1.</t>
  </si>
  <si>
    <t>Suministro e instalación de Puerta en madecor entamborada de  0,90 m de ancho por 2.20 m de alto, incluye marcos, chapa, cantonera y todo lo necesario para su instalación y funcionamiento.</t>
  </si>
  <si>
    <t>9.1.</t>
  </si>
  <si>
    <t>Pintura vinilo primera calidad tipo uno tres manos muros interiores blancos. A todo costo, incluye lineales.</t>
  </si>
  <si>
    <t>9.2.</t>
  </si>
  <si>
    <t>Pintura vinilo primera calidad tipo uno tres manos cielo falsos blanco. A todo costo, incluye lineales.</t>
  </si>
  <si>
    <t>TOTAL REPARACIONES LOCATIVAS - EDIFICIO CNA - PISO 2</t>
  </si>
  <si>
    <t>5.5.</t>
  </si>
  <si>
    <t>Suministro e instalación de piso laminado de alto tráfico de alta densidad (HDF) de 890 a 900 Kgms x cm3 y resistencia a la humedad, para la zona de mesas del restaurante Incluye nivelación en zonas puntuales, plástico aislante, yumbolon de acuerdo con las características técnicas y el guardaescobas.</t>
  </si>
  <si>
    <t>Suministro e instalación de estructura decorativa para plantas colgantes de 6,85m ancho x 1,00 m de profundo con viguetas cada 0,76 m en tubería metálica cuadrada 50x50x2.0mm con acabado en  pintura electrostática negro mate incluye 6 puntos de apoyo en guaya de tipo colgante. incluye 3 lamparas segun imagen.</t>
  </si>
  <si>
    <t>Suministro e instalación de estructura para microondas con módulos de 0,71 m de largo 0,56 m de profundo y 0,40 m de alto en tubería metálica cuadrada 50x50x3.0mm  en  pintura electrostática negro mate incluye 2 superficies en madera tipo madecor RH de 1" cada módulo y  anclajes a la pared no visibles.</t>
  </si>
  <si>
    <t>11.1.</t>
  </si>
  <si>
    <t>Resanes y pintura vinilo primera calidad tipo 1 a tres manos, aplica para muros interiores color blanco sobre pañete o repello liso. Incluyen andamios, escaleras y sistemas de seguridad de operación. A todo costo.</t>
  </si>
  <si>
    <t xml:space="preserve">TOTAL REPARACIONES LOCATIVAS CASINO - EDIFICIO CONVENCIONES </t>
  </si>
  <si>
    <t>Desmonte de cielo raso en fibra mineral o en drywall incluye desmonte luminarias, retiro y disposición final de escombros</t>
  </si>
  <si>
    <t>Desmonte puestos de trabajo tales como divisiones metálicas, superficies, cajoneras etc. Adicionalmente, incluye la disposición final de los escombros o la disposición que el Fondo Nacional del Ahorro S.A. indique.</t>
  </si>
  <si>
    <t>Suministro e instalación  de muro provisional en Drywall de 1/2" a una sola cara, incluye estructura, cinta, estuco. A todo costo</t>
  </si>
  <si>
    <t>Suministro e instalación perfiles WPC textura madera. Para instalar en muros divisorios de dimensiones 10 cm x 5 cm. Incluye estructura anclajes y retiro de escombros.</t>
  </si>
  <si>
    <t>Suministro e instalación de muro en Superboard, altura 2.40 m. a dos caras incluye estructura, anclaje, cinta, estuco y fondeo de acabado en pintura en vinilo tipo 1.</t>
  </si>
  <si>
    <t>Suministro e instalación  de cielo raso en Drywall de 1/2"  en diferentes niveles a una sola cara, incluye estructura, cinta, estuco, capa fondeo y pintura a 3 manos. A todo costo.</t>
  </si>
  <si>
    <t>Suministro e instalación de piso laminado de alto tráfico de alta densidad (HDF) de 890 a 900 Kgms x cm3 y resistencia a la humedad  Incluye plastico aislante y yumbolon, de acuerdo a las caracteristicas técnicas y el guardaescobas.</t>
  </si>
  <si>
    <t>Suministro e instalación de salida de alumbrado 3m prom en cable No 12 LSHF AWG y Tubería PVC SCH 40 3/4", elementos de fijación, conductores y tomacorriente doble. A todo costo, cumpliendo norma RETIE.</t>
  </si>
  <si>
    <t>Suministro e instalacióin de salida interruptor sencillo o doble 3m prom en cable No 12 LSHF AWG y Tubería PVC SCH40 3/4", elementos de fijación y conductores. A todo costo, cumpliendo norma RETIE.</t>
  </si>
  <si>
    <t>Suministro e instalación de Lámpara de techo colgante lineal estilo cortina de luz, acabado negro y luz neutra. Dimensiones: 120x4x7cm. Largo de la guaya: 100cm incluye acometida eléctrica y accesorios.</t>
  </si>
  <si>
    <t xml:space="preserve">Reinstalación de panel LED cuadrado de dimensiones 60x60 cm preexistentes. A todo costo, cumpliendo norma RETIE.  </t>
  </si>
  <si>
    <t>6..7</t>
  </si>
  <si>
    <t>Suministro e instalación de luminaria de emergencia aviso de evacuación con autonomía de 90 minutos certificada RETILAP.</t>
  </si>
  <si>
    <t>Suministro e instalación Salida tomacorriente doble polo a tierra (red normal), monofásico 120V 15A, 3m prom en cable No 12 LSHF AWG, elementos de fijación y conductores. A todo costo, cumpliendo norma RETIE.</t>
  </si>
  <si>
    <t>Suministro e instalación de canalización en tubería conduit PVC SCH40 ø 3/4" oculta sobre cielo o en muros. A todo costo, cumpliendo norma RETIE.</t>
  </si>
  <si>
    <t>Suministro e instalación de canalización en tubería conduit EMT ø 3" oculta sobre cielo o en muros. A todo costo, cumpliendo norma RETIE.</t>
  </si>
  <si>
    <t>Suministro e instalación de ducto cerrado de 40X8 galvanizado o con pintura electrostática. A todo costo, cumpliendo norma RETIE.</t>
  </si>
  <si>
    <t>Suministro e instalación de tablero de 42 circuitos trifásico tetrafilar con espacio para totalizador y barraje neutro y tierra, incluye totalizador y proteccione. A todo costo, cumpliendo norma RETIE.</t>
  </si>
  <si>
    <t xml:space="preserve">Suministro e Instalación de barra de comida en acero inoxidable calibre 22. de 45 cms de ancho incluye soporte en estructura metálica a pared. </t>
  </si>
  <si>
    <t xml:space="preserve">Suministro e instalación de mueble de cocina de 1.60x0.60x0.90m en madera RH y en acero inoxidable, incluye gríferia y accesorios de desagüe. </t>
  </si>
  <si>
    <t>Suministro e instalación de vidrio templado 8 mm para divisiones de oficina incluye accesorios en aluminio para su correcto funcionamiento. A todo costo.</t>
  </si>
  <si>
    <t>8.2.</t>
  </si>
  <si>
    <t>Suministro e instalación de puerta en vidrio templado 8 mm con pivote, incluye topes de piso, accesorios en aluminio para su correcto funcionamiento a todo costo.</t>
  </si>
  <si>
    <t>8.3.</t>
  </si>
  <si>
    <t>Suministro e instalación de puerta en vidrio templado de 8 mm con sistema antipanico. Incluye topes de piso y accesorios para su correcto funcionamiento. A todo costo.</t>
  </si>
  <si>
    <t>8.4.</t>
  </si>
  <si>
    <t>Suministro e instalación de película de sandblasting mate traslucido solido de 1.2 m de ancho, de uso interior y exterior. A todo costo.</t>
  </si>
  <si>
    <t>8.5.</t>
  </si>
  <si>
    <t>Suministro e instalación de película de sandblasting mate traslucido solido de 1.2 m de ancho, de uso interior y exterior, con corte de letras para identificar las oficinas en vidrio. A todo costo.</t>
  </si>
  <si>
    <t>Suministro e instalación de puerta en madecor entamborada de  0,90 m de ancho por 2.20 m de alto, incluye marcos chapa,  cantonera y todo lo necesario para su instalación y funcionamiento.</t>
  </si>
  <si>
    <t xml:space="preserve">Suministro e instalación de superficie de madera  ancho 40cm y 3 cm de espesor, para instalar en muros bajos, correspondientes a la barra para computadores y zonas de estancia.  </t>
  </si>
  <si>
    <t>10.1.</t>
  </si>
  <si>
    <t>Pintura vinilo primera calidad tipo uno a tres manos en muros interiores blanco.  A todo costo, incluye lineales.</t>
  </si>
  <si>
    <t>10.2.</t>
  </si>
  <si>
    <t>Pintura vinilo primera calidad tipo uno a tres manos cielo falsos blanco. A todo costo, incluye lineales.</t>
  </si>
  <si>
    <t>10.3.</t>
  </si>
  <si>
    <t>Pintura vinilo primera calidad tipo uno a tres manos en muros interiores azul institucional. A todo costo, incluye lineales.</t>
  </si>
  <si>
    <t>10.4.</t>
  </si>
  <si>
    <t>Pintura vinilo primera calidad tipo uno a tres manos en muros interiores verde institucional. A todo costo, incluye lineales.</t>
  </si>
  <si>
    <t>TOTAL REPARACIONES LOCATIVAS - EDIFICIO CONVENCIONES - PISO 4</t>
  </si>
  <si>
    <t>Desmonte de cielo raso en fibra mineral o en drywall, incluye desmonte de 113 luminarias tipo panel Led  de 60 x 60 luz neutra 4000K y retiro con su disposición final de escombros.</t>
  </si>
  <si>
    <t xml:space="preserve">Suministro e instalación de cielorraso en Drywall de 1/2" a una sola cara, incluye estructura, cinta, estuco y capa fondeo pintura. A todo costo. </t>
  </si>
  <si>
    <t xml:space="preserve">Reinstalación de panel LED cuadrado de dimensiones 60x60 cm luz neutra 4000K preexistentes. A todo costo, cumpliendo norma RETIE. </t>
  </si>
  <si>
    <t>TOTAL REPARACIONES LOCATIVAS - TORRE DE TECNOLOGÍA - PISO 2</t>
  </si>
  <si>
    <t>BOLSA DE ITEMS NO PREVISTOS (10%)</t>
  </si>
  <si>
    <t>ADMINISTRACIÓN</t>
  </si>
  <si>
    <t>IMPREVISTOS</t>
  </si>
  <si>
    <t>UTILIDAD</t>
  </si>
  <si>
    <t>IVA SOBRE UTILIDAD</t>
  </si>
  <si>
    <t>TOTAL + AIU + IVA SOBRE LA UTILIDAD</t>
  </si>
  <si>
    <t>VALOR OFERTA ECONOMICA</t>
  </si>
  <si>
    <t>Adicionalmente, declaro:
a) Que los valores registrados en la presente oferta económica incluyen todos los costos, impuestos, gastos y erogaciones en los que incurra para el cumplimiento, cabal e íntegro cumplimiento de la presente propuesta, y por lo tanto EL FONDO NACIONAL DEL AHORRO SA no deberá reconocernos ningún valor adicional al que hemos registrado en la presente oferta, y por ningún concepto y no serán aumentados en ninguna forma durante la ejecución del contrato.
b) Que he leído cuidadosamente los documentos del FNA y elaboré mi propuesta ajustada a los mismos.
c) Que nos comprometemos a proveer al FONDO NACIONAL DEL AHORRO SA, en caso de resultar aceptada la presente, todos los servicios que hacen parte de la ofertar, la justificación de la necesidad y a garantizar la calidad de estos.
d) Manifestamos que hemos realizado el examen completo y cuidadoso, y que hemos investigado plenamente las condiciones del contrato que nos comprometemos a ejecutar, así como los riesgos que del mismo se derivan y declaramos que se encuentra bajo nuestra responsabilidad y es nuestra especialidad técnica el conocimiento detallado de los servicios objeto de la presente contratación y en general que conocemos todos los factores determinantes de los costos de ejecución del contrato a suscribir, los cuales se encuentran incluidos en los términos de nuestra propuesta.
e) Que los valores registrados en la presente oferta económica contienen las condiciones y especificaciones técnicas descritas en los documentos del proceso.
f) Que durante la ejecución del contrato no se incrementaran los valores o tasas ofertadas
g) Autorizo al FONDO NACIONAL DEL AHORRO SA a efectuar la verificación aritmética de las operaciones que se registran en la presente oferta económica, y en caso de presentarse error, le solicito que para todos los efectos legales asuma el valor corregido como valor propuesto.
h) Que los valores aquí contemplados, obedecen a una estructura de costos y proyecciones estimadas para las vigencias requeridas (años estimados de ejecución: 2024 y 2025), teniendo en cuenta todas las variables que pueden afectar los precios, tales como los índices de inflación (IPC), salarios, TRM, cambios en la reglamentación gubernamental, entre otros, según aplique.</t>
  </si>
  <si>
    <t>Firma Representante legal</t>
  </si>
  <si>
    <t>Nombre:</t>
  </si>
  <si>
    <t>MÓNICA MARCELA CORONADO RODRIGUEZ</t>
  </si>
  <si>
    <t>UNIÓN TEMPORAL AMF-ELATIN</t>
  </si>
  <si>
    <t>MARULANDA FERNANDEZ ARMANDO
NIT:14565656-7</t>
  </si>
  <si>
    <t>ELATIN S.A.S
NIT:900424944-2</t>
  </si>
  <si>
    <t>N/A</t>
  </si>
  <si>
    <t>JUAN DAVID TRUJILLO POTES</t>
  </si>
  <si>
    <r>
      <t xml:space="preserve">1. El valor de la oferta económica deber ser expresado en PESOS COLOMBIANOS.
2.  Asignar valor en las casillas </t>
    </r>
    <r>
      <rPr>
        <b/>
        <sz val="11"/>
        <color rgb="FF000000"/>
        <rFont val="Arial"/>
        <family val="2"/>
      </rPr>
      <t xml:space="preserve">"VALOR UNITARIO SIN IVA" </t>
    </r>
    <r>
      <rPr>
        <sz val="11"/>
        <color rgb="FF000000"/>
        <rFont val="Arial"/>
        <family val="2"/>
      </rPr>
      <t xml:space="preserve"> y  el porcentaje en</t>
    </r>
    <r>
      <rPr>
        <b/>
        <sz val="11"/>
        <color rgb="FF000000"/>
        <rFont val="Arial"/>
        <family val="2"/>
      </rPr>
      <t xml:space="preserve"> "Administración", "Imprevistos"</t>
    </r>
    <r>
      <rPr>
        <sz val="11"/>
        <color rgb="FF000000"/>
        <rFont val="Arial"/>
        <family val="2"/>
      </rPr>
      <t xml:space="preserve"> y</t>
    </r>
    <r>
      <rPr>
        <b/>
        <sz val="11"/>
        <color rgb="FF000000"/>
        <rFont val="Arial"/>
        <family val="2"/>
      </rPr>
      <t xml:space="preserve"> "Utilidad"</t>
    </r>
    <r>
      <rPr>
        <sz val="11"/>
        <color rgb="FF000000"/>
        <rFont val="Arial"/>
        <family val="2"/>
      </rPr>
      <t>. El valor del IVA se aplica sobre la Utilidad corresponde con la regulación tributaria vigente.
3. El oferente deberá tener en cuenta todos los gravámenes, impuestos tasas y demás contribuciones para la estimación del presupuesto.
4. No modificar, agregar o quitar ningún ítem o sub-ítem, so pena de encontrarse inmerso en causal de rechazo.
5. Todos los valores deberán estar ajustados al peso, es decir, sin decimales. Para el efecto, se aplicará la formula redondeo de Excel.
6. No podrá superar los VALORES UNITARIO SIN IVA REFERENCIA establecidos por la entidad ni tampoco podra ser cero (0) so pena de rechazo por encontrarse inmerso en causal de rechazo.
7. No podrá superar el  Presupuesto Oficial Estimado so pena de encontrarse inmerso en causal de rechazo.
8.El oferente no podrá cambiar, eliminar la formulación.
NOTA                        
• El contratista deberá prever la proyección del presupuesto para el plazo de ejecución del contrato. El FNA no asumirán los costos adicionales generados por el IPC de los años subsiguientes o cualquier otro sistema de actualización de precios; en el caso que exista reglamentación gubernamental de incrementos salariales durante la ejecución del contrato, éstos deben ser contemplados por el contratista dentro del valor de la ofertado.
• Tiempo estimado de ejecución: 12 meses
• Los precios ofertados se deberán mantener durante la ejecución del contrato independientemente de la fecha de inicio de ejecución del contrato.</t>
    </r>
  </si>
  <si>
    <t>Atentamente,</t>
  </si>
  <si>
    <t>Firma _________________________________________________________</t>
  </si>
  <si>
    <r>
      <t xml:space="preserve">Nombre o Razón Social del Oferente </t>
    </r>
    <r>
      <rPr>
        <u/>
        <sz val="11"/>
        <color theme="1"/>
        <rFont val="Arial Narrow"/>
        <family val="2"/>
      </rPr>
      <t>UNIÓN TEMPORAL AMF-ELATIN</t>
    </r>
  </si>
  <si>
    <r>
      <t xml:space="preserve">Nombre del Representante Legal </t>
    </r>
    <r>
      <rPr>
        <u/>
        <sz val="11"/>
        <color theme="1"/>
        <rFont val="Arial Narrow"/>
        <family val="2"/>
      </rPr>
      <t>JUAN DAVID TRUJILLO POTES</t>
    </r>
  </si>
  <si>
    <r>
      <t>Nit o Cédula de Ciudadanía No</t>
    </r>
    <r>
      <rPr>
        <u/>
        <sz val="11"/>
        <color theme="1"/>
        <rFont val="Arial Narrow"/>
        <family val="2"/>
      </rPr>
      <t>18.511.653</t>
    </r>
  </si>
  <si>
    <t>Dirección Carrera 16 BIS # 11-34</t>
  </si>
  <si>
    <r>
      <t xml:space="preserve">Ciudad </t>
    </r>
    <r>
      <rPr>
        <u/>
        <sz val="11"/>
        <color theme="1"/>
        <rFont val="Arial Narrow"/>
        <family val="2"/>
      </rPr>
      <t>Pereira - Risaralda</t>
    </r>
  </si>
  <si>
    <r>
      <t xml:space="preserve">Teléfono </t>
    </r>
    <r>
      <rPr>
        <u/>
        <sz val="11"/>
        <color theme="1"/>
        <rFont val="Arial Narrow"/>
        <family val="2"/>
      </rPr>
      <t>3122371175</t>
    </r>
  </si>
  <si>
    <t>Fax N/A Correo electrónico jdtrujillo@elatin.co</t>
  </si>
  <si>
    <t>DIARQCO CONSTRUCTORES SAS
NIT: 900185357 2</t>
  </si>
  <si>
    <t xml:space="preserve"> FNA-VGHA-CP-015-2024 </t>
  </si>
  <si>
    <t>DIARQCO CONSTRUCTORES S.A.S</t>
  </si>
  <si>
    <t>900.185.357-2</t>
  </si>
  <si>
    <t>Carmen Elisa Rodriguez Gonzalez</t>
  </si>
  <si>
    <t>39.620.686 de Fusagasugá</t>
  </si>
  <si>
    <t>Nombre: Carmen Elisa Rodriguez Gonzalez</t>
  </si>
  <si>
    <t>INGENIERIA Y SOLUCIONES INSOL SAS
N.I.T: 900.139.747-6</t>
  </si>
  <si>
    <t xml:space="preserve">INGENERIA Y SOLUCIONES INSOL </t>
  </si>
  <si>
    <t>900139747-6</t>
  </si>
  <si>
    <t>LUIS ALBERTO RAMIREZ RIVERA</t>
  </si>
  <si>
    <t>CORRECCION ARITMETICA</t>
  </si>
  <si>
    <t>VERIFICACION PRECIO TECHO</t>
  </si>
  <si>
    <t>Nombre: LUIS ALBERTO RAMIREZ R/L INSOL S.A.S</t>
  </si>
  <si>
    <t xml:space="preserve">CONSTRUCCION Y MANTENIMIENTO CASTILLA Y LEON G&amp;G S.L </t>
  </si>
  <si>
    <t>CONSTRUCCION Y MANTENIMIENTO CASTILLA Y LEON G&amp;G S.L    NIT:830.108.787 - 4</t>
  </si>
  <si>
    <t xml:space="preserve">El proponente cumple con  los indicadores  establecidos en las reglas de  participación  de conformidad con lo estabecido en el numeral 4.3 REQUISITOS MÍNIMOS HABILITANTES FINANCIEROS Y CAPACIDAD ORGANIZACIONAL de las reglas de participación </t>
  </si>
  <si>
    <t>VERIFICACION PRECIOS ARTIFIALMENTE BAJOS</t>
  </si>
  <si>
    <t>Avalado,</t>
  </si>
  <si>
    <t>JASDIVI GUTIÉRREZ CARVAJAL</t>
  </si>
  <si>
    <t>Nombre:Andres Felipe Guevara Rojas</t>
  </si>
  <si>
    <t>C.C 51,995,616</t>
  </si>
  <si>
    <t>Cedula: 88,308,362 de Los Patios Nte Santander</t>
  </si>
  <si>
    <t>T.P No 2520263123CND</t>
  </si>
  <si>
    <t>UNINGECOL</t>
  </si>
  <si>
    <t>UNINGECOL S A    NIT: 900.176.059 - 4</t>
  </si>
  <si>
    <t>INDETERMINADO</t>
  </si>
  <si>
    <t>UNINGECOL S.A.</t>
  </si>
  <si>
    <t>900.176.059-4</t>
  </si>
  <si>
    <t>DANIEL AGUILAR GUERRERO</t>
  </si>
  <si>
    <t>80.152.561 DE BOGOTA</t>
  </si>
  <si>
    <t>Firma Representante legal de UNINGECOL S.A.</t>
  </si>
  <si>
    <t>Nombre: DANIEL AGUILAR GUERRERO</t>
  </si>
  <si>
    <t xml:space="preserve">CONSORCIO FONDO NACIONAL </t>
  </si>
  <si>
    <t>GCI GRUPO DE CONSTRUCCIONES E INGENIERIA SAS ZOMAC   NIT:901.340.726-5</t>
  </si>
  <si>
    <t>INDUSTRIAS Y TRANSPORTE SAS ZESE - INTRASP SAS ZESE   NIT: 901.598.212-1</t>
  </si>
  <si>
    <t>GEOESTRUCTURAL E INGENIERIA S.A.S.  NIT:901.490.779 - 8</t>
  </si>
  <si>
    <t>4.1.3.1 CAPACIDAD FINANCIERA</t>
  </si>
  <si>
    <t>4.1.3.2 capacidad Organizacional</t>
  </si>
  <si>
    <t xml:space="preserve"> FNA-VGHA-CP-015-2024</t>
  </si>
  <si>
    <t xml:space="preserve">SANTIAGO MARTINEZ OSPINA </t>
  </si>
  <si>
    <t>CC. 1.088.260.821</t>
  </si>
  <si>
    <t>R. LEGAL CONSORCIO 2024 FNA</t>
  </si>
  <si>
    <t>CONSORCIO 2024 FNA</t>
  </si>
  <si>
    <t>MARTINEZ OSPINA SOCIEDAD POR ACCIONES SIMPLIFICADA   NIT:900.105.523 7</t>
  </si>
  <si>
    <t>JORGE ENRIQUE MARTINEZ FONSECA  NIT: 19.169.883-2</t>
  </si>
  <si>
    <t>INGEBYP SAS</t>
  </si>
  <si>
    <t>INGEBYP SAS  NIT:830.121.507 - 2</t>
  </si>
  <si>
    <t>830.121.507-2</t>
  </si>
  <si>
    <t xml:space="preserve">JEFFERSON ODILIO BOHORQUEZ LESMES </t>
  </si>
  <si>
    <t>79.894.001 DE BOGOTA</t>
  </si>
  <si>
    <t xml:space="preserve">JEFFERSON ODILIO BOHORQUEZ LESMES 
</t>
  </si>
  <si>
    <t>CONSORCIO OMNIA</t>
  </si>
  <si>
    <t>GESTIÓN RURAL Y URBANA S.A.S.</t>
  </si>
  <si>
    <t>REDES, CONSTRUCCIONES E INGENIERIA S.A.S.</t>
  </si>
  <si>
    <t>INGINIUS S.A.S.</t>
  </si>
  <si>
    <t>Nombre: DANIEL ALEXANDER CRISTANCHO RUIZ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</si>
</sst>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quot;\ * #,##0.00_-;\-&quot;$&quot;\ * #,##0.00_-;_-&quot;$&quot;\ * &quot;-&quot;??_-;_-@_-"/>
    <numFmt numFmtId="43" formatCode="_-* #,##0.00_-;\-* #,##0.00_-;_-* &quot;-&quot;??_-;_-@_-"/>
    <numFmt numFmtId="164" formatCode="[$-240A]dddd\ d&quot; de &quot;mmmm&quot; de &quot;yyyy;@"/>
    <numFmt numFmtId="165" formatCode="&quot;$&quot;\ #,##0"/>
    <numFmt numFmtId="166" formatCode="_(&quot;$&quot;\ * #,##0.00_);_(&quot;$&quot;\ * \(#,##0.00\);_(&quot;$&quot;\ * &quot;-&quot;??_);_(@_)"/>
    <numFmt numFmtId="167" formatCode="_(&quot;$&quot;\ * #,##0_);_(&quot;$&quot;\ * \(#,##0\);_(&quot;$&quot;\ * &quot;-&quot;??_);_(@_)"/>
    <numFmt numFmtId="168" formatCode="_(* #,##0.00_);_(* \(#,##0.00\);_(* &quot;-&quot;??_);_(@_)"/>
    <numFmt numFmtId="169" formatCode="[$$-240A]\ #,##0"/>
    <numFmt numFmtId="170" formatCode="0.0"/>
    <numFmt numFmtId="171" formatCode="_(* #,##0.0_);_(* \(#,##0.0\);_(* &quot;-&quot;??_);_(@_)"/>
    <numFmt numFmtId="172" formatCode="&quot;$&quot;\ #,##0.00"/>
    <numFmt numFmtId="173" formatCode="&quot;$&quot;\ #,##0.0"/>
    <numFmt numFmtId="174" formatCode="_(* #,##0_);_(* \(#,##0\);_(* &quot;-&quot;??_);_(@_)"/>
    <numFmt numFmtId="175" formatCode="_-&quot;$&quot;\ * #,##0_-;\-&quot;$&quot;\ * #,##0_-;_-&quot;$&quot;\ * &quot;-&quot;??_-;_-@_-"/>
    <numFmt numFmtId="176" formatCode="0.000%"/>
    <numFmt numFmtId="177" formatCode="0.0000%"/>
    <numFmt numFmtId="178" formatCode="0.0%"/>
  </numFmts>
  <fonts count="68">
    <font>
      <sz val="11"/>
      <color theme="1"/>
      <name val="Calibri"/>
      <family val="2"/>
      <scheme val="minor"/>
    </font>
    <font>
      <sz val="11"/>
      <color theme="1"/>
      <name val="Calibri"/>
      <family val="2"/>
      <scheme val="minor"/>
    </font>
    <font>
      <sz val="10"/>
      <name val="Arial"/>
      <family val="2"/>
    </font>
    <font>
      <b/>
      <sz val="13"/>
      <name val="Arial"/>
      <family val="2"/>
    </font>
    <font>
      <sz val="13"/>
      <name val="Arial"/>
      <family val="2"/>
    </font>
    <font>
      <b/>
      <sz val="13"/>
      <color theme="0"/>
      <name val="Arial"/>
      <family val="2"/>
    </font>
    <font>
      <sz val="13"/>
      <color theme="0"/>
      <name val="Arial"/>
      <family val="2"/>
    </font>
    <font>
      <b/>
      <sz val="13"/>
      <color indexed="9"/>
      <name val="Arial"/>
      <family val="2"/>
    </font>
    <font>
      <sz val="12"/>
      <name val="Arial"/>
      <family val="2"/>
    </font>
    <font>
      <sz val="13"/>
      <name val="Arial Narrow"/>
      <family val="2"/>
    </font>
    <font>
      <sz val="13"/>
      <color theme="3"/>
      <name val="Arial"/>
      <family val="2"/>
    </font>
    <font>
      <sz val="14"/>
      <color theme="1"/>
      <name val="Arial"/>
      <family val="2"/>
    </font>
    <font>
      <sz val="13"/>
      <color theme="1"/>
      <name val="Arial Narrow"/>
      <family val="2"/>
    </font>
    <font>
      <sz val="13"/>
      <color theme="1"/>
      <name val="Arial"/>
      <family val="2"/>
    </font>
    <font>
      <sz val="14"/>
      <name val="Arial"/>
      <family val="2"/>
    </font>
    <font>
      <sz val="13"/>
      <color theme="0"/>
      <name val="Arial Narrow"/>
      <family val="2"/>
    </font>
    <font>
      <b/>
      <sz val="13"/>
      <name val="Arial Narrow"/>
      <family val="2"/>
    </font>
    <font>
      <b/>
      <sz val="13"/>
      <color theme="1"/>
      <name val="Arial"/>
      <family val="2"/>
    </font>
    <font>
      <b/>
      <sz val="18"/>
      <name val="Arial Narrow"/>
      <family val="2"/>
    </font>
    <font>
      <b/>
      <sz val="18"/>
      <color theme="1"/>
      <name val="Arial Narrow"/>
      <family val="2"/>
    </font>
    <font>
      <sz val="18"/>
      <color theme="1"/>
      <name val="Arial Narrow"/>
      <family val="2"/>
    </font>
    <font>
      <sz val="18"/>
      <name val="Arial Narrow"/>
      <family val="2"/>
    </font>
    <font>
      <b/>
      <sz val="18"/>
      <color indexed="9"/>
      <name val="Arial Narrow"/>
      <family val="2"/>
    </font>
    <font>
      <b/>
      <sz val="18"/>
      <color theme="0"/>
      <name val="Arial Narrow"/>
      <family val="2"/>
    </font>
    <font>
      <sz val="18"/>
      <color theme="0"/>
      <name val="Arial Narrow"/>
      <family val="2"/>
    </font>
    <font>
      <sz val="18"/>
      <color rgb="FFFF0000"/>
      <name val="Arial Narrow"/>
      <family val="2"/>
    </font>
    <font>
      <sz val="20"/>
      <color theme="1"/>
      <name val="Arial Narrow"/>
      <family val="2"/>
    </font>
    <font>
      <b/>
      <sz val="11"/>
      <color theme="1"/>
      <name val="Calibri"/>
      <family val="2"/>
      <scheme val="minor"/>
    </font>
    <font>
      <sz val="11"/>
      <color theme="0"/>
      <name val="Calibri"/>
      <family val="2"/>
      <scheme val="minor"/>
    </font>
    <font>
      <sz val="11"/>
      <name val="Arial"/>
      <family val="2"/>
    </font>
    <font>
      <b/>
      <sz val="14"/>
      <name val="Arial"/>
      <family val="2"/>
    </font>
    <font>
      <b/>
      <sz val="11"/>
      <color theme="0"/>
      <name val="Arial"/>
      <family val="2"/>
    </font>
    <font>
      <b/>
      <sz val="11"/>
      <color theme="1"/>
      <name val="Arial Narrow"/>
      <family val="2"/>
    </font>
    <font>
      <sz val="11"/>
      <name val="Arial Narrow"/>
      <family val="2"/>
    </font>
    <font>
      <sz val="11"/>
      <color rgb="FF000000"/>
      <name val="Arial"/>
      <family val="2"/>
    </font>
    <font>
      <b/>
      <sz val="11"/>
      <color rgb="FF000000"/>
      <name val="Arial"/>
      <family val="2"/>
    </font>
    <font>
      <b/>
      <sz val="11"/>
      <color theme="0"/>
      <name val="Arial Narrow"/>
      <family val="2"/>
    </font>
    <font>
      <b/>
      <sz val="12"/>
      <color rgb="FFFF0000"/>
      <name val="Aptos Narrow"/>
      <family val="2"/>
    </font>
    <font>
      <b/>
      <sz val="12"/>
      <color theme="0"/>
      <name val="Aptos Narrow"/>
      <family val="2"/>
    </font>
    <font>
      <b/>
      <sz val="11"/>
      <name val="Arial"/>
      <family val="2"/>
    </font>
    <font>
      <b/>
      <sz val="12"/>
      <name val="Aptos Narrow"/>
      <family val="2"/>
    </font>
    <font>
      <sz val="11"/>
      <color theme="1"/>
      <name val="Arial"/>
      <family val="2"/>
    </font>
    <font>
      <sz val="12"/>
      <color theme="1"/>
      <name val="Arial"/>
      <family val="2"/>
    </font>
    <font>
      <sz val="12"/>
      <color theme="1"/>
      <name val="DIN 2014"/>
      <family val="2"/>
    </font>
    <font>
      <b/>
      <sz val="10"/>
      <color theme="0"/>
      <name val="Arial Narrow"/>
      <family val="2"/>
    </font>
    <font>
      <b/>
      <sz val="10"/>
      <color theme="0"/>
      <name val="Arial"/>
      <family val="2"/>
    </font>
    <font>
      <b/>
      <sz val="11"/>
      <color theme="0"/>
      <name val="Arial monospaced for SAP"/>
      <family val="3"/>
    </font>
    <font>
      <b/>
      <sz val="14"/>
      <color theme="1"/>
      <name val="Calibri"/>
      <family val="2"/>
      <scheme val="minor"/>
    </font>
    <font>
      <b/>
      <sz val="12"/>
      <name val="Calibri"/>
      <family val="2"/>
      <scheme val="minor"/>
    </font>
    <font>
      <sz val="12"/>
      <name val=" Arial Narrow"/>
    </font>
    <font>
      <b/>
      <sz val="12"/>
      <name val=" Arial Narrow"/>
    </font>
    <font>
      <b/>
      <sz val="16"/>
      <color theme="1"/>
      <name val="Calibri"/>
      <family val="2"/>
      <scheme val="minor"/>
    </font>
    <font>
      <b/>
      <sz val="16"/>
      <name val=" Arial Narrow"/>
    </font>
    <font>
      <sz val="11"/>
      <name val="Arial Nova"/>
      <family val="2"/>
    </font>
    <font>
      <b/>
      <sz val="11"/>
      <name val="Arial Nova"/>
      <family val="2"/>
    </font>
    <font>
      <sz val="11"/>
      <color theme="1"/>
      <name val="Arial Nova"/>
      <family val="2"/>
    </font>
    <font>
      <sz val="11"/>
      <color theme="0"/>
      <name val="Arial Nova"/>
      <family val="2"/>
    </font>
    <font>
      <sz val="9"/>
      <name val="Arial"/>
      <family val="2"/>
    </font>
    <font>
      <u/>
      <sz val="11"/>
      <color theme="10"/>
      <name val="Calibri"/>
      <family val="2"/>
      <scheme val="minor"/>
    </font>
    <font>
      <b/>
      <sz val="12"/>
      <name val="Arial"/>
      <family val="2"/>
    </font>
    <font>
      <sz val="12"/>
      <name val="Arial Narrow"/>
      <family val="2"/>
    </font>
    <font>
      <sz val="11"/>
      <color theme="1"/>
      <name val="Arial Narrow"/>
      <family val="2"/>
    </font>
    <font>
      <u/>
      <sz val="11"/>
      <color theme="1"/>
      <name val="Arial Narrow"/>
      <family val="2"/>
    </font>
    <font>
      <b/>
      <sz val="11"/>
      <color theme="0"/>
      <name val="Arial Nova"/>
      <family val="2"/>
    </font>
    <font>
      <b/>
      <sz val="12"/>
      <color theme="1"/>
      <name val="Calibri"/>
      <family val="2"/>
      <scheme val="minor"/>
    </font>
    <font>
      <sz val="11"/>
      <color theme="1"/>
      <name val="Arial "/>
    </font>
    <font>
      <i/>
      <sz val="18"/>
      <color theme="1"/>
      <name val="Arial Narrow"/>
      <family val="2"/>
    </font>
    <font>
      <i/>
      <sz val="18"/>
      <name val="Arial Narrow"/>
      <family val="2"/>
    </font>
  </fonts>
  <fills count="2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bgColor indexed="9"/>
      </patternFill>
    </fill>
    <fill>
      <patternFill patternType="solid">
        <fgColor theme="0"/>
        <bgColor indexed="9"/>
      </patternFill>
    </fill>
    <fill>
      <patternFill patternType="solid">
        <fgColor rgb="FFFFFFCC"/>
        <bgColor indexed="64"/>
      </patternFill>
    </fill>
    <fill>
      <patternFill patternType="solid">
        <fgColor rgb="FFCCFFFF"/>
        <bgColor indexed="64"/>
      </patternFill>
    </fill>
    <fill>
      <patternFill patternType="solid">
        <fgColor theme="7" tint="0.79998168889431442"/>
        <bgColor indexed="64"/>
      </patternFill>
    </fill>
    <fill>
      <patternFill patternType="solid">
        <fgColor theme="4" tint="-0.249977111117893"/>
        <bgColor indexed="9"/>
      </patternFill>
    </fill>
    <fill>
      <patternFill patternType="solid">
        <fgColor theme="0" tint="-0.34998626667073579"/>
        <bgColor indexed="9"/>
      </patternFill>
    </fill>
    <fill>
      <patternFill patternType="solid">
        <fgColor theme="0" tint="-0.34998626667073579"/>
        <bgColor indexed="64"/>
      </patternFill>
    </fill>
    <fill>
      <patternFill patternType="solid">
        <fgColor theme="4"/>
        <bgColor indexed="64"/>
      </patternFill>
    </fill>
    <fill>
      <patternFill patternType="solid">
        <fgColor theme="4" tint="-0.249977111117893"/>
        <bgColor indexed="64"/>
      </patternFill>
    </fill>
    <fill>
      <patternFill patternType="solid">
        <fgColor theme="9" tint="-0.499984740745262"/>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3"/>
        <bgColor indexed="64"/>
      </patternFill>
    </fill>
    <fill>
      <patternFill patternType="solid">
        <fgColor theme="3" tint="9.9978637043366805E-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FFFFFF"/>
        <bgColor rgb="FF000000"/>
      </patternFill>
    </fill>
    <fill>
      <patternFill patternType="solid">
        <fgColor rgb="FFFF000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top/>
      <bottom/>
      <diagonal/>
    </border>
    <border>
      <left style="medium">
        <color indexed="64"/>
      </left>
      <right/>
      <top/>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0">
    <xf numFmtId="0" fontId="0" fillId="0" borderId="0"/>
    <xf numFmtId="9" fontId="1" fillId="0" borderId="0" applyFont="0" applyFill="0" applyBorder="0" applyAlignment="0" applyProtection="0"/>
    <xf numFmtId="0" fontId="2" fillId="0" borderId="0"/>
    <xf numFmtId="0" fontId="8" fillId="0" borderId="0"/>
    <xf numFmtId="0" fontId="1" fillId="0" borderId="0"/>
    <xf numFmtId="166" fontId="1" fillId="0" borderId="0" applyFont="0" applyFill="0" applyBorder="0" applyAlignment="0" applyProtection="0"/>
    <xf numFmtId="168"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58" fillId="0" borderId="0" applyNumberFormat="0" applyFill="0" applyBorder="0" applyAlignment="0" applyProtection="0"/>
  </cellStyleXfs>
  <cellXfs count="404">
    <xf numFmtId="0" fontId="0" fillId="0" borderId="0" xfId="0"/>
    <xf numFmtId="0" fontId="3" fillId="0" borderId="1" xfId="2" applyFont="1" applyBorder="1" applyAlignment="1">
      <alignment horizontal="center" vertical="center"/>
    </xf>
    <xf numFmtId="0" fontId="4" fillId="0" borderId="0" xfId="2" applyFont="1" applyAlignment="1">
      <alignment vertical="center"/>
    </xf>
    <xf numFmtId="0" fontId="6" fillId="0" borderId="0" xfId="2" applyFont="1" applyAlignment="1">
      <alignment horizontal="center" vertical="center"/>
    </xf>
    <xf numFmtId="0" fontId="4" fillId="2" borderId="0" xfId="2" applyFont="1" applyFill="1" applyAlignment="1">
      <alignment vertical="center"/>
    </xf>
    <xf numFmtId="0" fontId="3" fillId="2" borderId="0" xfId="2" applyFont="1" applyFill="1" applyAlignment="1" applyProtection="1">
      <alignment horizontal="center" vertical="center" wrapText="1"/>
      <protection hidden="1"/>
    </xf>
    <xf numFmtId="0" fontId="7" fillId="4" borderId="5" xfId="2" applyFont="1" applyFill="1" applyBorder="1" applyAlignment="1">
      <alignment horizontal="center" vertical="center" wrapText="1"/>
    </xf>
    <xf numFmtId="0" fontId="7" fillId="4" borderId="8" xfId="2" applyFont="1" applyFill="1" applyBorder="1" applyAlignment="1">
      <alignment horizontal="center" vertical="center" wrapText="1"/>
    </xf>
    <xf numFmtId="0" fontId="7" fillId="4" borderId="10" xfId="2" applyFont="1" applyFill="1" applyBorder="1" applyAlignment="1">
      <alignment horizontal="center" vertical="center" wrapText="1"/>
    </xf>
    <xf numFmtId="0" fontId="7" fillId="5" borderId="0" xfId="2" applyFont="1" applyFill="1" applyAlignment="1">
      <alignment horizontal="center" vertical="center" wrapText="1"/>
    </xf>
    <xf numFmtId="0" fontId="4" fillId="2" borderId="0" xfId="2" applyFont="1" applyFill="1" applyAlignment="1" applyProtection="1">
      <alignment horizontal="center" vertical="center" wrapText="1"/>
      <protection hidden="1"/>
    </xf>
    <xf numFmtId="0" fontId="6" fillId="0" borderId="0" xfId="2" applyFont="1" applyAlignment="1">
      <alignment horizontal="center" vertical="center" wrapText="1"/>
    </xf>
    <xf numFmtId="164" fontId="6" fillId="0" borderId="0" xfId="2" applyNumberFormat="1" applyFont="1" applyAlignment="1">
      <alignment horizontal="center" vertical="center"/>
    </xf>
    <xf numFmtId="14" fontId="6" fillId="0" borderId="0" xfId="2" applyNumberFormat="1" applyFont="1" applyAlignment="1">
      <alignment horizontal="center" vertical="center"/>
    </xf>
    <xf numFmtId="0" fontId="6" fillId="0" borderId="0" xfId="2" applyFont="1" applyAlignment="1">
      <alignment vertical="center"/>
    </xf>
    <xf numFmtId="0" fontId="7" fillId="2" borderId="0" xfId="2" applyFont="1" applyFill="1" applyAlignment="1">
      <alignment horizontal="center" vertical="center" wrapText="1"/>
    </xf>
    <xf numFmtId="164" fontId="4" fillId="2" borderId="0" xfId="2" applyNumberFormat="1" applyFont="1" applyFill="1" applyAlignment="1" applyProtection="1">
      <alignment horizontal="center" vertical="center" wrapText="1"/>
      <protection hidden="1"/>
    </xf>
    <xf numFmtId="165" fontId="4" fillId="2" borderId="0" xfId="2" applyNumberFormat="1" applyFont="1" applyFill="1" applyAlignment="1" applyProtection="1">
      <alignment horizontal="center" vertical="center" wrapText="1"/>
      <protection hidden="1"/>
    </xf>
    <xf numFmtId="2" fontId="4" fillId="2" borderId="0" xfId="2" applyNumberFormat="1" applyFont="1" applyFill="1" applyAlignment="1" applyProtection="1">
      <alignment horizontal="center" vertical="center" wrapText="1"/>
      <protection hidden="1"/>
    </xf>
    <xf numFmtId="2" fontId="4" fillId="2" borderId="0" xfId="2" applyNumberFormat="1" applyFont="1" applyFill="1" applyAlignment="1" applyProtection="1">
      <alignment horizontal="justify" vertical="center" wrapText="1"/>
      <protection hidden="1"/>
    </xf>
    <xf numFmtId="165" fontId="3" fillId="2" borderId="0" xfId="2" applyNumberFormat="1" applyFont="1" applyFill="1" applyAlignment="1" applyProtection="1">
      <alignment horizontal="center" vertical="center" wrapText="1"/>
      <protection hidden="1"/>
    </xf>
    <xf numFmtId="0" fontId="3" fillId="2" borderId="0" xfId="2" applyFont="1" applyFill="1" applyAlignment="1" applyProtection="1">
      <alignment horizontal="justify" vertical="center" wrapText="1"/>
      <protection hidden="1"/>
    </xf>
    <xf numFmtId="0" fontId="7" fillId="4" borderId="1" xfId="2" applyFont="1" applyFill="1" applyBorder="1" applyAlignment="1">
      <alignment horizontal="center" vertical="center" wrapText="1"/>
    </xf>
    <xf numFmtId="165" fontId="7" fillId="4" borderId="1" xfId="2" applyNumberFormat="1" applyFont="1" applyFill="1" applyBorder="1" applyAlignment="1">
      <alignment horizontal="center" vertical="center" wrapText="1"/>
    </xf>
    <xf numFmtId="0" fontId="4" fillId="0" borderId="0" xfId="2" applyFont="1" applyAlignment="1">
      <alignment horizontal="center" vertical="center"/>
    </xf>
    <xf numFmtId="9" fontId="7" fillId="4" borderId="1" xfId="1" applyFont="1" applyFill="1" applyBorder="1" applyAlignment="1">
      <alignment horizontal="center" vertical="center" wrapText="1"/>
    </xf>
    <xf numFmtId="9" fontId="7" fillId="4" borderId="1" xfId="2" applyNumberFormat="1" applyFont="1" applyFill="1" applyBorder="1" applyAlignment="1">
      <alignment horizontal="center" vertical="center" wrapText="1"/>
    </xf>
    <xf numFmtId="9" fontId="4" fillId="0" borderId="1" xfId="2" applyNumberFormat="1" applyFont="1" applyBorder="1" applyAlignment="1">
      <alignment horizontal="center" vertical="center" wrapText="1"/>
    </xf>
    <xf numFmtId="165" fontId="4" fillId="6" borderId="1" xfId="6" applyNumberFormat="1" applyFont="1" applyFill="1" applyBorder="1" applyAlignment="1">
      <alignment horizontal="center" vertical="center" wrapText="1"/>
    </xf>
    <xf numFmtId="43" fontId="6" fillId="0" borderId="0" xfId="2" applyNumberFormat="1" applyFont="1" applyAlignment="1">
      <alignment horizontal="center" vertical="center"/>
    </xf>
    <xf numFmtId="2" fontId="13" fillId="0" borderId="1" xfId="0" applyNumberFormat="1" applyFont="1" applyBorder="1" applyAlignment="1">
      <alignment horizontal="center" vertical="center" wrapText="1"/>
    </xf>
    <xf numFmtId="0" fontId="15" fillId="0" borderId="0" xfId="2" applyFont="1" applyAlignment="1">
      <alignment horizontal="center" vertical="center"/>
    </xf>
    <xf numFmtId="0" fontId="9" fillId="3" borderId="0" xfId="2" applyFont="1" applyFill="1" applyAlignment="1">
      <alignment vertical="center"/>
    </xf>
    <xf numFmtId="169" fontId="4" fillId="6" borderId="1" xfId="6" applyNumberFormat="1" applyFont="1" applyFill="1" applyBorder="1" applyAlignment="1">
      <alignment horizontal="center" vertical="center" wrapText="1"/>
    </xf>
    <xf numFmtId="0" fontId="10" fillId="0" borderId="0" xfId="2" applyFont="1" applyAlignment="1">
      <alignment vertical="center"/>
    </xf>
    <xf numFmtId="169" fontId="4" fillId="2" borderId="1" xfId="6" applyNumberFormat="1" applyFont="1" applyFill="1" applyBorder="1" applyAlignment="1">
      <alignment horizontal="center" vertical="center" wrapText="1"/>
    </xf>
    <xf numFmtId="43" fontId="15" fillId="0" borderId="0" xfId="2" applyNumberFormat="1" applyFont="1" applyAlignment="1">
      <alignment horizontal="center" vertical="center"/>
    </xf>
    <xf numFmtId="0" fontId="9" fillId="0" borderId="0" xfId="2" applyFont="1" applyAlignment="1">
      <alignment vertical="center"/>
    </xf>
    <xf numFmtId="0" fontId="3" fillId="2" borderId="0" xfId="2" applyFont="1" applyFill="1" applyAlignment="1">
      <alignment horizontal="center" vertical="center"/>
    </xf>
    <xf numFmtId="0" fontId="3" fillId="2" borderId="0" xfId="2" applyFont="1" applyFill="1" applyAlignment="1" applyProtection="1">
      <alignment vertical="center" wrapText="1"/>
      <protection hidden="1"/>
    </xf>
    <xf numFmtId="0" fontId="4" fillId="2" borderId="0" xfId="2" applyFont="1" applyFill="1" applyAlignment="1" applyProtection="1">
      <alignment vertical="center" wrapText="1"/>
      <protection hidden="1"/>
    </xf>
    <xf numFmtId="0" fontId="6" fillId="2" borderId="0" xfId="2" applyFont="1" applyFill="1" applyAlignment="1" applyProtection="1">
      <alignment vertical="center" wrapText="1"/>
      <protection hidden="1"/>
    </xf>
    <xf numFmtId="2" fontId="6" fillId="0" borderId="0" xfId="2" applyNumberFormat="1" applyFont="1" applyAlignment="1">
      <alignment horizontal="center" vertical="center" wrapText="1"/>
    </xf>
    <xf numFmtId="165" fontId="4" fillId="2" borderId="1" xfId="6" applyNumberFormat="1" applyFont="1" applyFill="1" applyBorder="1" applyAlignment="1">
      <alignment horizontal="center" vertical="center" wrapText="1"/>
    </xf>
    <xf numFmtId="2" fontId="13" fillId="0" borderId="18" xfId="0" applyNumberFormat="1" applyFont="1" applyBorder="1" applyAlignment="1">
      <alignment horizontal="center" vertical="center" wrapText="1"/>
    </xf>
    <xf numFmtId="2" fontId="6" fillId="0" borderId="0" xfId="2" applyNumberFormat="1" applyFont="1" applyAlignment="1">
      <alignment horizontal="center" vertical="center"/>
    </xf>
    <xf numFmtId="165" fontId="4" fillId="0" borderId="0" xfId="2" applyNumberFormat="1" applyFont="1" applyAlignment="1">
      <alignment vertical="center"/>
    </xf>
    <xf numFmtId="0" fontId="20" fillId="0" borderId="0" xfId="0" applyFont="1" applyAlignment="1">
      <alignment horizontal="center" vertical="center"/>
    </xf>
    <xf numFmtId="0" fontId="21" fillId="0" borderId="25" xfId="0" applyFont="1" applyBorder="1" applyAlignment="1">
      <alignment horizontal="center" vertical="center"/>
    </xf>
    <xf numFmtId="0" fontId="21" fillId="0" borderId="0" xfId="0" applyFont="1" applyAlignment="1">
      <alignment horizontal="center" vertical="center"/>
    </xf>
    <xf numFmtId="0" fontId="20" fillId="0" borderId="0" xfId="0" applyFont="1" applyAlignment="1">
      <alignment horizontal="center" vertical="center" wrapText="1"/>
    </xf>
    <xf numFmtId="0" fontId="20" fillId="0" borderId="26" xfId="0" applyFont="1" applyBorder="1" applyAlignment="1">
      <alignment horizontal="center" vertical="center"/>
    </xf>
    <xf numFmtId="0" fontId="21" fillId="0" borderId="19" xfId="0" applyFont="1" applyBorder="1" applyAlignment="1">
      <alignment horizontal="center" vertical="center"/>
    </xf>
    <xf numFmtId="0" fontId="20" fillId="0" borderId="22" xfId="0" applyFont="1" applyBorder="1" applyAlignment="1">
      <alignment horizontal="center" vertical="center" wrapText="1"/>
    </xf>
    <xf numFmtId="0" fontId="20" fillId="0" borderId="22" xfId="0" applyFont="1" applyBorder="1" applyAlignment="1">
      <alignment horizontal="center" vertical="center"/>
    </xf>
    <xf numFmtId="0" fontId="23" fillId="9" borderId="1" xfId="2" applyFont="1" applyFill="1" applyBorder="1" applyAlignment="1">
      <alignment horizontal="center" vertical="center" wrapText="1"/>
    </xf>
    <xf numFmtId="44" fontId="20" fillId="0" borderId="15" xfId="5" applyNumberFormat="1" applyFont="1" applyBorder="1" applyAlignment="1">
      <alignment vertical="center"/>
    </xf>
    <xf numFmtId="44" fontId="20" fillId="0" borderId="16" xfId="5" applyNumberFormat="1" applyFont="1" applyBorder="1" applyAlignment="1">
      <alignment vertical="center"/>
    </xf>
    <xf numFmtId="44" fontId="20" fillId="0" borderId="17" xfId="5" applyNumberFormat="1" applyFont="1" applyBorder="1" applyAlignment="1">
      <alignment vertical="center"/>
    </xf>
    <xf numFmtId="172" fontId="20" fillId="0" borderId="0" xfId="0" applyNumberFormat="1" applyFont="1" applyAlignment="1">
      <alignment horizontal="center" vertical="center"/>
    </xf>
    <xf numFmtId="0" fontId="24" fillId="0" borderId="1" xfId="0" applyFont="1" applyBorder="1" applyAlignment="1">
      <alignment horizontal="center" vertical="center"/>
    </xf>
    <xf numFmtId="0" fontId="23" fillId="10" borderId="1" xfId="2" applyFont="1" applyFill="1" applyBorder="1" applyAlignment="1">
      <alignment horizontal="center" vertical="center" wrapText="1"/>
    </xf>
    <xf numFmtId="0" fontId="24" fillId="0" borderId="0" xfId="0" applyFont="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173" fontId="20" fillId="0" borderId="1" xfId="6" applyNumberFormat="1" applyFont="1" applyFill="1" applyBorder="1" applyAlignment="1">
      <alignment horizontal="center" vertical="center"/>
    </xf>
    <xf numFmtId="168" fontId="20" fillId="0" borderId="1" xfId="6" applyFont="1" applyBorder="1" applyAlignment="1">
      <alignment horizontal="center" vertical="center"/>
    </xf>
    <xf numFmtId="10" fontId="20" fillId="0" borderId="1" xfId="1" applyNumberFormat="1" applyFont="1" applyBorder="1" applyAlignment="1">
      <alignment horizontal="center" vertical="center"/>
    </xf>
    <xf numFmtId="173" fontId="20" fillId="0" borderId="1" xfId="0" applyNumberFormat="1" applyFont="1" applyBorder="1" applyAlignment="1">
      <alignment horizontal="center" vertical="center"/>
    </xf>
    <xf numFmtId="0" fontId="18" fillId="11" borderId="1" xfId="0" applyFont="1" applyFill="1" applyBorder="1" applyAlignment="1">
      <alignment horizontal="center" vertical="center"/>
    </xf>
    <xf numFmtId="2" fontId="21" fillId="0" borderId="1" xfId="6" applyNumberFormat="1" applyFont="1" applyFill="1" applyBorder="1" applyAlignment="1">
      <alignment horizontal="left" vertical="center" wrapText="1"/>
    </xf>
    <xf numFmtId="0" fontId="25" fillId="0" borderId="0" xfId="0" applyFont="1" applyAlignment="1">
      <alignment horizontal="center" vertical="center"/>
    </xf>
    <xf numFmtId="0" fontId="20" fillId="0" borderId="19" xfId="0" applyFont="1" applyBorder="1" applyAlignment="1">
      <alignment horizontal="center" vertical="center"/>
    </xf>
    <xf numFmtId="174" fontId="20" fillId="0" borderId="0" xfId="6" applyNumberFormat="1" applyFont="1" applyAlignment="1">
      <alignment horizontal="center" vertical="center"/>
    </xf>
    <xf numFmtId="44" fontId="4" fillId="0" borderId="1" xfId="7" applyFont="1" applyFill="1" applyBorder="1" applyAlignment="1">
      <alignment horizontal="center" vertical="center" wrapText="1"/>
    </xf>
    <xf numFmtId="44" fontId="4" fillId="8" borderId="1" xfId="7" applyFont="1" applyFill="1" applyBorder="1" applyAlignment="1">
      <alignment horizontal="center" vertical="center" wrapText="1"/>
    </xf>
    <xf numFmtId="44" fontId="4" fillId="8" borderId="18" xfId="7" applyFont="1" applyFill="1" applyBorder="1" applyAlignment="1">
      <alignment horizontal="center" vertical="center" wrapText="1"/>
    </xf>
    <xf numFmtId="0" fontId="26" fillId="0" borderId="1" xfId="0" applyFont="1" applyBorder="1" applyAlignment="1">
      <alignment horizontal="justify" vertical="center" wrapText="1"/>
    </xf>
    <xf numFmtId="0" fontId="21" fillId="0" borderId="33" xfId="0" applyFont="1" applyBorder="1" applyAlignment="1">
      <alignment horizontal="center" vertical="center"/>
    </xf>
    <xf numFmtId="0" fontId="20" fillId="0" borderId="34" xfId="0" applyFont="1" applyBorder="1" applyAlignment="1">
      <alignment horizontal="center" vertical="center"/>
    </xf>
    <xf numFmtId="0" fontId="7" fillId="4" borderId="36" xfId="2" applyFont="1" applyFill="1" applyBorder="1" applyAlignment="1">
      <alignment horizontal="center" vertical="center" wrapText="1"/>
    </xf>
    <xf numFmtId="2" fontId="4" fillId="0" borderId="0" xfId="2" applyNumberFormat="1" applyFont="1" applyAlignment="1">
      <alignment horizontal="center" vertical="center"/>
    </xf>
    <xf numFmtId="0" fontId="30" fillId="0" borderId="0" xfId="2" applyFont="1" applyAlignment="1">
      <alignment horizontal="center" vertical="center" wrapText="1"/>
    </xf>
    <xf numFmtId="0" fontId="31" fillId="12" borderId="0" xfId="2" applyFont="1" applyFill="1" applyAlignment="1">
      <alignment horizontal="center" vertical="center"/>
    </xf>
    <xf numFmtId="0" fontId="39" fillId="0" borderId="0" xfId="0" applyFont="1" applyAlignment="1">
      <alignment horizontal="center" vertical="center" wrapText="1"/>
    </xf>
    <xf numFmtId="0" fontId="40" fillId="15" borderId="1" xfId="0" applyFont="1" applyFill="1" applyBorder="1" applyAlignment="1">
      <alignment horizontal="center" vertical="center" wrapText="1"/>
    </xf>
    <xf numFmtId="0" fontId="41" fillId="0" borderId="1" xfId="0" applyFont="1" applyBorder="1" applyAlignment="1">
      <alignment horizontal="center" vertical="center" wrapText="1"/>
    </xf>
    <xf numFmtId="4" fontId="41" fillId="0" borderId="1" xfId="0" applyNumberFormat="1" applyFont="1" applyBorder="1" applyAlignment="1">
      <alignment horizontal="center" vertical="center"/>
    </xf>
    <xf numFmtId="44" fontId="0" fillId="0" borderId="1" xfId="0" applyNumberFormat="1" applyBorder="1" applyAlignment="1">
      <alignment horizontal="center" vertical="center"/>
    </xf>
    <xf numFmtId="165" fontId="39" fillId="0" borderId="0" xfId="0" applyNumberFormat="1" applyFont="1" applyAlignment="1">
      <alignment horizontal="center" vertical="center" wrapText="1"/>
    </xf>
    <xf numFmtId="10" fontId="0" fillId="0" borderId="0" xfId="1" applyNumberFormat="1" applyFont="1" applyFill="1" applyBorder="1" applyAlignment="1">
      <alignment horizontal="center" vertical="center"/>
    </xf>
    <xf numFmtId="44" fontId="0" fillId="0" borderId="0" xfId="0" applyNumberFormat="1" applyAlignment="1">
      <alignment horizontal="center" vertical="center"/>
    </xf>
    <xf numFmtId="44" fontId="0" fillId="0" borderId="0" xfId="7" applyFont="1" applyBorder="1" applyAlignment="1">
      <alignment horizontal="center" vertical="center"/>
    </xf>
    <xf numFmtId="10" fontId="0" fillId="0" borderId="0" xfId="1" applyNumberFormat="1" applyFont="1" applyBorder="1" applyAlignment="1">
      <alignment horizontal="center" vertical="center"/>
    </xf>
    <xf numFmtId="0" fontId="42" fillId="0" borderId="1" xfId="0" applyFont="1" applyBorder="1" applyAlignment="1">
      <alignment horizontal="center" vertical="center"/>
    </xf>
    <xf numFmtId="4" fontId="42" fillId="0" borderId="1" xfId="0" applyNumberFormat="1" applyFont="1" applyBorder="1" applyAlignment="1">
      <alignment horizontal="center" vertical="center"/>
    </xf>
    <xf numFmtId="44" fontId="31" fillId="18" borderId="1" xfId="0" applyNumberFormat="1" applyFont="1" applyFill="1" applyBorder="1" applyAlignment="1">
      <alignment vertical="center" wrapText="1"/>
    </xf>
    <xf numFmtId="0" fontId="43" fillId="0" borderId="1" xfId="0" applyFont="1" applyBorder="1" applyAlignment="1">
      <alignment horizontal="center" vertical="center"/>
    </xf>
    <xf numFmtId="4" fontId="43" fillId="0" borderId="1" xfId="0" applyNumberFormat="1" applyFont="1" applyBorder="1" applyAlignment="1">
      <alignment horizontal="center" vertical="center"/>
    </xf>
    <xf numFmtId="44" fontId="36" fillId="18" borderId="1" xfId="0" applyNumberFormat="1" applyFont="1" applyFill="1" applyBorder="1" applyAlignment="1">
      <alignment vertical="center" wrapText="1"/>
    </xf>
    <xf numFmtId="44" fontId="44" fillId="18" borderId="1" xfId="0" applyNumberFormat="1" applyFont="1" applyFill="1" applyBorder="1" applyAlignment="1">
      <alignment vertical="center" wrapText="1"/>
    </xf>
    <xf numFmtId="44" fontId="45" fillId="18" borderId="1" xfId="0" applyNumberFormat="1" applyFont="1" applyFill="1" applyBorder="1" applyAlignment="1">
      <alignment vertical="center" wrapText="1"/>
    </xf>
    <xf numFmtId="2" fontId="42" fillId="0" borderId="1" xfId="0" applyNumberFormat="1" applyFont="1" applyBorder="1" applyAlignment="1">
      <alignment horizontal="center" vertical="center"/>
    </xf>
    <xf numFmtId="0" fontId="46" fillId="19" borderId="44" xfId="0" applyFont="1" applyFill="1" applyBorder="1" applyAlignment="1">
      <alignment horizontal="center" vertical="center"/>
    </xf>
    <xf numFmtId="44" fontId="45" fillId="19" borderId="1" xfId="0" applyNumberFormat="1" applyFont="1" applyFill="1" applyBorder="1" applyAlignment="1">
      <alignment vertical="center" wrapText="1"/>
    </xf>
    <xf numFmtId="44" fontId="48" fillId="20" borderId="1" xfId="7" applyFont="1" applyFill="1" applyBorder="1" applyAlignment="1">
      <alignment horizontal="center" vertical="center" wrapText="1"/>
    </xf>
    <xf numFmtId="10" fontId="49" fillId="0" borderId="1" xfId="0" applyNumberFormat="1" applyFont="1" applyBorder="1" applyAlignment="1">
      <alignment horizontal="center" vertical="center" wrapText="1"/>
    </xf>
    <xf numFmtId="10" fontId="49" fillId="0" borderId="20" xfId="0" applyNumberFormat="1" applyFont="1" applyBorder="1" applyAlignment="1">
      <alignment horizontal="center" vertical="center" wrapText="1"/>
    </xf>
    <xf numFmtId="44" fontId="49" fillId="0" borderId="1" xfId="7" applyFont="1" applyBorder="1" applyAlignment="1">
      <alignment horizontal="center" vertical="center" wrapText="1"/>
    </xf>
    <xf numFmtId="44" fontId="50" fillId="21" borderId="1" xfId="7" applyFont="1" applyFill="1" applyBorder="1" applyAlignment="1">
      <alignment horizontal="center" vertical="center" wrapText="1"/>
    </xf>
    <xf numFmtId="0" fontId="51" fillId="22" borderId="1" xfId="0" applyFont="1" applyFill="1" applyBorder="1" applyAlignment="1">
      <alignment horizontal="center" vertical="center"/>
    </xf>
    <xf numFmtId="44" fontId="52" fillId="22" borderId="1" xfId="7" applyFont="1" applyFill="1" applyBorder="1" applyAlignment="1">
      <alignment horizontal="center" vertical="center" wrapText="1"/>
    </xf>
    <xf numFmtId="0" fontId="53" fillId="0" borderId="0" xfId="0" applyFont="1" applyAlignment="1">
      <alignment vertical="center"/>
    </xf>
    <xf numFmtId="172" fontId="54" fillId="0" borderId="0" xfId="0" applyNumberFormat="1" applyFont="1" applyAlignment="1">
      <alignment horizontal="center" vertical="center"/>
    </xf>
    <xf numFmtId="0" fontId="0" fillId="2" borderId="38" xfId="0" applyFill="1" applyBorder="1" applyProtection="1">
      <protection locked="0"/>
    </xf>
    <xf numFmtId="0" fontId="0" fillId="2" borderId="16" xfId="0" applyFill="1" applyBorder="1" applyProtection="1">
      <protection locked="0"/>
    </xf>
    <xf numFmtId="0" fontId="29" fillId="2" borderId="16" xfId="2" applyFont="1" applyFill="1" applyBorder="1"/>
    <xf numFmtId="0" fontId="53" fillId="0" borderId="13" xfId="0" applyFont="1" applyBorder="1" applyAlignment="1">
      <alignment vertical="center"/>
    </xf>
    <xf numFmtId="0" fontId="53" fillId="0" borderId="14" xfId="0" applyFont="1" applyBorder="1" applyAlignment="1">
      <alignment vertical="center"/>
    </xf>
    <xf numFmtId="0" fontId="0" fillId="2" borderId="25" xfId="0" applyFill="1" applyBorder="1" applyProtection="1">
      <protection locked="0"/>
    </xf>
    <xf numFmtId="0" fontId="32" fillId="2" borderId="0" xfId="0" applyFont="1" applyFill="1" applyAlignment="1">
      <alignment horizontal="left" vertical="center" wrapText="1"/>
    </xf>
    <xf numFmtId="0" fontId="29" fillId="2" borderId="0" xfId="2" applyFont="1" applyFill="1" applyAlignment="1">
      <alignment horizontal="center"/>
    </xf>
    <xf numFmtId="0" fontId="54" fillId="23" borderId="0" xfId="0" applyFont="1" applyFill="1" applyAlignment="1">
      <alignment horizontal="left" vertical="center" wrapText="1"/>
    </xf>
    <xf numFmtId="0" fontId="53" fillId="0" borderId="26" xfId="0" applyFont="1" applyBorder="1" applyAlignment="1">
      <alignment vertical="center"/>
    </xf>
    <xf numFmtId="0" fontId="0" fillId="2" borderId="39" xfId="0" applyFill="1" applyBorder="1" applyProtection="1">
      <protection locked="0"/>
    </xf>
    <xf numFmtId="0" fontId="32" fillId="2" borderId="40" xfId="0" applyFont="1" applyFill="1" applyBorder="1" applyAlignment="1">
      <alignment vertical="center" wrapText="1"/>
    </xf>
    <xf numFmtId="0" fontId="29" fillId="0" borderId="40" xfId="0" applyFont="1" applyBorder="1" applyAlignment="1">
      <alignment vertical="center"/>
    </xf>
    <xf numFmtId="0" fontId="55" fillId="23" borderId="40" xfId="0" applyFont="1" applyFill="1" applyBorder="1" applyAlignment="1">
      <alignment vertical="center" wrapText="1"/>
    </xf>
    <xf numFmtId="0" fontId="56" fillId="0" borderId="40" xfId="0" applyFont="1" applyBorder="1" applyAlignment="1">
      <alignment vertical="center"/>
    </xf>
    <xf numFmtId="0" fontId="56" fillId="0" borderId="41" xfId="0" applyFont="1" applyBorder="1" applyAlignment="1">
      <alignment vertical="center"/>
    </xf>
    <xf numFmtId="0" fontId="29" fillId="0" borderId="25" xfId="2" applyFont="1" applyBorder="1"/>
    <xf numFmtId="0" fontId="29" fillId="0" borderId="0" xfId="2" applyFont="1"/>
    <xf numFmtId="0" fontId="57" fillId="22" borderId="1" xfId="0" applyFont="1" applyFill="1" applyBorder="1" applyAlignment="1">
      <alignment horizontal="center" vertical="center" wrapText="1"/>
    </xf>
    <xf numFmtId="44" fontId="29" fillId="0" borderId="1" xfId="0" applyNumberFormat="1" applyFont="1" applyBorder="1" applyAlignment="1">
      <alignment vertical="center"/>
    </xf>
    <xf numFmtId="10" fontId="29" fillId="0" borderId="1" xfId="1" applyNumberFormat="1" applyFont="1" applyBorder="1" applyAlignment="1">
      <alignment vertical="center"/>
    </xf>
    <xf numFmtId="10" fontId="29" fillId="0" borderId="1" xfId="0" applyNumberFormat="1" applyFont="1" applyBorder="1" applyAlignment="1">
      <alignment vertical="center"/>
    </xf>
    <xf numFmtId="44" fontId="0" fillId="0" borderId="0" xfId="0" applyNumberFormat="1"/>
    <xf numFmtId="43" fontId="29" fillId="0" borderId="1" xfId="8" applyFont="1" applyBorder="1" applyAlignment="1">
      <alignment vertical="center"/>
    </xf>
    <xf numFmtId="0" fontId="29" fillId="2" borderId="0" xfId="2" applyFont="1" applyFill="1" applyAlignment="1">
      <alignment vertical="center" wrapText="1"/>
    </xf>
    <xf numFmtId="0" fontId="53" fillId="0" borderId="25" xfId="0" applyFont="1" applyBorder="1" applyAlignment="1">
      <alignment vertical="center"/>
    </xf>
    <xf numFmtId="172" fontId="54" fillId="0" borderId="26" xfId="0" applyNumberFormat="1" applyFont="1" applyBorder="1" applyAlignment="1">
      <alignment horizontal="center" vertical="center"/>
    </xf>
    <xf numFmtId="0" fontId="0" fillId="0" borderId="25" xfId="0" applyBorder="1"/>
    <xf numFmtId="0" fontId="61" fillId="0" borderId="25" xfId="0" applyFont="1" applyBorder="1" applyAlignment="1">
      <alignment horizontal="justify" vertical="center"/>
    </xf>
    <xf numFmtId="0" fontId="32" fillId="2" borderId="0" xfId="0" applyFont="1" applyFill="1" applyAlignment="1">
      <alignment vertical="center" wrapText="1"/>
    </xf>
    <xf numFmtId="0" fontId="29" fillId="0" borderId="0" xfId="0" applyFont="1" applyAlignment="1">
      <alignment vertical="center"/>
    </xf>
    <xf numFmtId="0" fontId="55" fillId="23" borderId="0" xfId="0" applyFont="1" applyFill="1" applyAlignment="1">
      <alignment vertical="center" wrapText="1"/>
    </xf>
    <xf numFmtId="0" fontId="56" fillId="0" borderId="0" xfId="0" applyFont="1" applyAlignment="1">
      <alignment vertical="center"/>
    </xf>
    <xf numFmtId="0" fontId="56" fillId="0" borderId="26" xfId="0" applyFont="1" applyBorder="1" applyAlignment="1">
      <alignment vertical="center"/>
    </xf>
    <xf numFmtId="0" fontId="0" fillId="0" borderId="26" xfId="0" applyBorder="1"/>
    <xf numFmtId="0" fontId="61" fillId="0" borderId="39" xfId="0" applyFont="1" applyBorder="1" applyAlignment="1">
      <alignment horizontal="justify" vertical="center"/>
    </xf>
    <xf numFmtId="0" fontId="32" fillId="0" borderId="0" xfId="0" applyFont="1" applyAlignment="1">
      <alignment horizontal="center" vertical="center"/>
    </xf>
    <xf numFmtId="10" fontId="0" fillId="0" borderId="0" xfId="0" applyNumberFormat="1"/>
    <xf numFmtId="0" fontId="32" fillId="2" borderId="0" xfId="0" applyFont="1" applyFill="1" applyAlignment="1">
      <alignment vertical="center"/>
    </xf>
    <xf numFmtId="0" fontId="32" fillId="2" borderId="40" xfId="0" applyFont="1" applyFill="1" applyBorder="1" applyAlignment="1">
      <alignment vertical="center"/>
    </xf>
    <xf numFmtId="0" fontId="28" fillId="0" borderId="0" xfId="0" applyFont="1"/>
    <xf numFmtId="10" fontId="28" fillId="0" borderId="0" xfId="0" applyNumberFormat="1" applyFont="1"/>
    <xf numFmtId="44" fontId="28" fillId="0" borderId="0" xfId="7" applyFont="1"/>
    <xf numFmtId="172" fontId="63" fillId="0" borderId="0" xfId="0" applyNumberFormat="1" applyFont="1" applyAlignment="1">
      <alignment horizontal="center" vertical="center"/>
    </xf>
    <xf numFmtId="0" fontId="56" fillId="0" borderId="13" xfId="0" applyFont="1" applyBorder="1" applyAlignment="1">
      <alignment vertical="center"/>
    </xf>
    <xf numFmtId="0" fontId="56" fillId="0" borderId="14" xfId="0" applyFont="1" applyBorder="1" applyAlignment="1">
      <alignment vertical="center"/>
    </xf>
    <xf numFmtId="0" fontId="29" fillId="0" borderId="0" xfId="2" applyFont="1" applyAlignment="1">
      <alignment horizontal="center" vertical="center" wrapText="1"/>
    </xf>
    <xf numFmtId="0" fontId="33" fillId="0" borderId="0" xfId="2" applyFont="1" applyAlignment="1">
      <alignment horizontal="left" vertical="center" wrapText="1"/>
    </xf>
    <xf numFmtId="0" fontId="29" fillId="0" borderId="0" xfId="0" applyFont="1" applyAlignment="1">
      <alignment horizontal="left" vertical="center" wrapText="1"/>
    </xf>
    <xf numFmtId="0" fontId="38" fillId="14" borderId="0" xfId="0" applyFont="1" applyFill="1" applyAlignment="1">
      <alignment horizontal="center" vertical="center" wrapText="1"/>
    </xf>
    <xf numFmtId="44" fontId="0" fillId="0" borderId="0" xfId="7" applyFont="1" applyAlignment="1">
      <alignment horizontal="center" vertical="center"/>
    </xf>
    <xf numFmtId="44" fontId="64" fillId="0" borderId="0" xfId="0" applyNumberFormat="1" applyFont="1" applyAlignment="1">
      <alignment horizontal="center" vertical="center"/>
    </xf>
    <xf numFmtId="10" fontId="27" fillId="0" borderId="0" xfId="1" applyNumberFormat="1" applyFont="1" applyFill="1" applyAlignment="1">
      <alignment horizontal="center" vertical="center"/>
    </xf>
    <xf numFmtId="0" fontId="32" fillId="2" borderId="0" xfId="0" applyFont="1" applyFill="1" applyAlignment="1">
      <alignment horizontal="left" vertical="center"/>
    </xf>
    <xf numFmtId="10" fontId="52" fillId="0" borderId="0" xfId="7" applyNumberFormat="1" applyFont="1" applyFill="1" applyBorder="1" applyAlignment="1">
      <alignment vertical="center" wrapText="1"/>
    </xf>
    <xf numFmtId="176" fontId="29" fillId="0" borderId="1" xfId="1" applyNumberFormat="1" applyFont="1" applyBorder="1" applyAlignment="1">
      <alignment vertical="center"/>
    </xf>
    <xf numFmtId="177" fontId="29" fillId="0" borderId="1" xfId="1" applyNumberFormat="1" applyFont="1" applyBorder="1" applyAlignment="1">
      <alignment vertical="center"/>
    </xf>
    <xf numFmtId="0" fontId="18" fillId="24" borderId="1" xfId="0" applyFont="1" applyFill="1" applyBorder="1" applyAlignment="1">
      <alignment horizontal="center" vertical="center"/>
    </xf>
    <xf numFmtId="9" fontId="28" fillId="0" borderId="0" xfId="1" applyFont="1"/>
    <xf numFmtId="0" fontId="40" fillId="22" borderId="1" xfId="0" applyFont="1" applyFill="1" applyBorder="1" applyAlignment="1">
      <alignment horizontal="center" vertical="center" wrapText="1"/>
    </xf>
    <xf numFmtId="44" fontId="48" fillId="20" borderId="7" xfId="7" applyFont="1" applyFill="1" applyBorder="1" applyAlignment="1">
      <alignment horizontal="center" vertical="center" wrapText="1"/>
    </xf>
    <xf numFmtId="44" fontId="45" fillId="19" borderId="44" xfId="0" applyNumberFormat="1" applyFont="1" applyFill="1" applyBorder="1" applyAlignment="1">
      <alignment vertical="center" wrapText="1"/>
    </xf>
    <xf numFmtId="44" fontId="49" fillId="0" borderId="9" xfId="7" applyFont="1" applyBorder="1" applyAlignment="1">
      <alignment horizontal="center" vertical="center" wrapText="1"/>
    </xf>
    <xf numFmtId="44" fontId="49" fillId="0" borderId="44" xfId="7" applyFont="1" applyBorder="1" applyAlignment="1">
      <alignment horizontal="center" vertical="center" wrapText="1"/>
    </xf>
    <xf numFmtId="44" fontId="49" fillId="0" borderId="12" xfId="7" applyFont="1" applyBorder="1" applyAlignment="1">
      <alignment horizontal="center" vertical="center" wrapText="1"/>
    </xf>
    <xf numFmtId="44" fontId="50" fillId="21" borderId="19" xfId="7" applyFont="1" applyFill="1" applyBorder="1" applyAlignment="1">
      <alignment horizontal="center" vertical="center" wrapText="1"/>
    </xf>
    <xf numFmtId="0" fontId="53" fillId="0" borderId="40" xfId="0" applyFont="1" applyBorder="1" applyAlignment="1">
      <alignment vertical="center"/>
    </xf>
    <xf numFmtId="44" fontId="4" fillId="2" borderId="1" xfId="7" applyFont="1" applyFill="1" applyBorder="1" applyAlignment="1">
      <alignment horizontal="center" vertical="center" wrapText="1"/>
    </xf>
    <xf numFmtId="0" fontId="65" fillId="0" borderId="0" xfId="0" applyFont="1"/>
    <xf numFmtId="9" fontId="29" fillId="0" borderId="1" xfId="1" applyFont="1" applyBorder="1" applyAlignment="1">
      <alignment vertical="center"/>
    </xf>
    <xf numFmtId="0" fontId="0" fillId="0" borderId="0" xfId="0" applyAlignment="1">
      <alignment horizontal="center"/>
    </xf>
    <xf numFmtId="0" fontId="18" fillId="0" borderId="27" xfId="2" applyFont="1" applyBorder="1" applyAlignment="1">
      <alignment vertical="center" wrapText="1"/>
    </xf>
    <xf numFmtId="0" fontId="21" fillId="0" borderId="30" xfId="2" applyFont="1" applyBorder="1" applyAlignment="1">
      <alignment vertical="center" wrapText="1"/>
    </xf>
    <xf numFmtId="0" fontId="21" fillId="0" borderId="0" xfId="2" applyFont="1" applyAlignment="1">
      <alignment vertical="center" wrapText="1"/>
    </xf>
    <xf numFmtId="0" fontId="23" fillId="9" borderId="10" xfId="2" applyFont="1" applyFill="1" applyBorder="1" applyAlignment="1">
      <alignment horizontal="center" vertical="center" wrapText="1"/>
    </xf>
    <xf numFmtId="0" fontId="23" fillId="9" borderId="35" xfId="2" applyFont="1" applyFill="1" applyBorder="1" applyAlignment="1">
      <alignment horizontal="center" vertical="center" wrapText="1"/>
    </xf>
    <xf numFmtId="0" fontId="18" fillId="0" borderId="32" xfId="0" applyFont="1" applyBorder="1" applyAlignment="1">
      <alignment horizontal="center" vertical="center"/>
    </xf>
    <xf numFmtId="0" fontId="18" fillId="0" borderId="21" xfId="0" applyFont="1" applyBorder="1" applyAlignment="1">
      <alignment horizontal="center" vertical="center"/>
    </xf>
    <xf numFmtId="0" fontId="21" fillId="0" borderId="27" xfId="2" applyFont="1" applyBorder="1" applyAlignment="1">
      <alignment horizontal="center" vertical="center" wrapText="1"/>
    </xf>
    <xf numFmtId="0" fontId="21" fillId="0" borderId="28" xfId="2" applyFont="1" applyBorder="1" applyAlignment="1">
      <alignment horizontal="center" vertical="center" wrapText="1"/>
    </xf>
    <xf numFmtId="0" fontId="21" fillId="0" borderId="30" xfId="2" applyFont="1" applyBorder="1" applyAlignment="1">
      <alignment horizontal="center" vertical="center" wrapText="1"/>
    </xf>
    <xf numFmtId="0" fontId="21" fillId="0" borderId="21" xfId="2" applyFont="1" applyBorder="1" applyAlignment="1">
      <alignment horizontal="center" vertical="center" wrapText="1"/>
    </xf>
    <xf numFmtId="0" fontId="21" fillId="0" borderId="1" xfId="2" applyFont="1" applyBorder="1" applyAlignment="1">
      <alignment horizontal="center" vertical="center" wrapText="1"/>
    </xf>
    <xf numFmtId="0" fontId="23" fillId="9" borderId="8" xfId="2" applyFont="1" applyFill="1" applyBorder="1" applyAlignment="1">
      <alignment horizontal="center" vertical="center" wrapText="1"/>
    </xf>
    <xf numFmtId="0" fontId="23" fillId="9" borderId="20" xfId="2" applyFont="1" applyFill="1" applyBorder="1" applyAlignment="1">
      <alignment horizontal="center" vertical="center" wrapText="1"/>
    </xf>
    <xf numFmtId="0" fontId="21" fillId="2" borderId="2" xfId="2" applyFont="1" applyFill="1" applyBorder="1" applyAlignment="1" applyProtection="1">
      <alignment horizontal="center" vertical="center" wrapText="1"/>
      <protection hidden="1"/>
    </xf>
    <xf numFmtId="0" fontId="21" fillId="2" borderId="3" xfId="2" applyFont="1" applyFill="1" applyBorder="1" applyAlignment="1" applyProtection="1">
      <alignment horizontal="center" vertical="center" wrapText="1"/>
      <protection hidden="1"/>
    </xf>
    <xf numFmtId="0" fontId="21" fillId="2" borderId="4" xfId="2" applyFont="1" applyFill="1" applyBorder="1" applyAlignment="1" applyProtection="1">
      <alignment horizontal="center" vertical="center" wrapText="1"/>
      <protection hidden="1"/>
    </xf>
    <xf numFmtId="0" fontId="18" fillId="0" borderId="15" xfId="0" applyFont="1" applyBorder="1" applyAlignment="1">
      <alignment horizontal="center" vertical="center" wrapText="1"/>
    </xf>
    <xf numFmtId="0" fontId="18"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0" xfId="0" applyFont="1" applyAlignment="1">
      <alignment horizontal="center" vertical="center" wrapText="1"/>
    </xf>
    <xf numFmtId="0" fontId="22" fillId="9" borderId="2" xfId="2" applyFont="1" applyFill="1" applyBorder="1" applyAlignment="1">
      <alignment horizontal="center" vertical="center" wrapText="1"/>
    </xf>
    <xf numFmtId="0" fontId="22" fillId="9" borderId="3" xfId="2" applyFont="1" applyFill="1" applyBorder="1" applyAlignment="1">
      <alignment horizontal="center" vertical="center" wrapText="1"/>
    </xf>
    <xf numFmtId="0" fontId="22" fillId="9" borderId="4" xfId="2" applyFont="1" applyFill="1" applyBorder="1" applyAlignment="1">
      <alignment horizontal="center" vertical="center" wrapText="1"/>
    </xf>
    <xf numFmtId="0" fontId="4" fillId="2" borderId="6" xfId="2" applyFont="1" applyFill="1" applyBorder="1" applyAlignment="1" applyProtection="1">
      <alignment horizontal="center" vertical="center" wrapText="1"/>
      <protection hidden="1"/>
    </xf>
    <xf numFmtId="0" fontId="4" fillId="2" borderId="7" xfId="2" applyFont="1" applyFill="1" applyBorder="1" applyAlignment="1" applyProtection="1">
      <alignment horizontal="center" vertical="center" wrapText="1"/>
      <protection hidden="1"/>
    </xf>
    <xf numFmtId="0" fontId="21" fillId="2" borderId="15" xfId="2" applyFont="1" applyFill="1" applyBorder="1" applyAlignment="1" applyProtection="1">
      <alignment horizontal="center" vertical="center" wrapText="1"/>
      <protection hidden="1"/>
    </xf>
    <xf numFmtId="0" fontId="21" fillId="2" borderId="16" xfId="2" applyFont="1" applyFill="1" applyBorder="1" applyAlignment="1" applyProtection="1">
      <alignment horizontal="center" vertical="center" wrapText="1"/>
      <protection hidden="1"/>
    </xf>
    <xf numFmtId="0" fontId="21" fillId="2" borderId="17" xfId="2" applyFont="1" applyFill="1" applyBorder="1" applyAlignment="1" applyProtection="1">
      <alignment horizontal="center" vertical="center" wrapText="1"/>
      <protection hidden="1"/>
    </xf>
    <xf numFmtId="0" fontId="3" fillId="2" borderId="2" xfId="2" applyFont="1" applyFill="1" applyBorder="1" applyAlignment="1" applyProtection="1">
      <alignment horizontal="center" vertical="center" wrapText="1"/>
      <protection hidden="1"/>
    </xf>
    <xf numFmtId="0" fontId="3" fillId="2" borderId="3" xfId="2" applyFont="1" applyFill="1" applyBorder="1" applyAlignment="1" applyProtection="1">
      <alignment horizontal="center" vertical="center" wrapText="1"/>
      <protection hidden="1"/>
    </xf>
    <xf numFmtId="0" fontId="3" fillId="2" borderId="4" xfId="2" applyFont="1" applyFill="1" applyBorder="1" applyAlignment="1" applyProtection="1">
      <alignment horizontal="center" vertical="center" wrapText="1"/>
      <protection hidden="1"/>
    </xf>
    <xf numFmtId="0" fontId="4" fillId="0" borderId="15" xfId="2" applyFont="1" applyBorder="1" applyAlignment="1">
      <alignment horizontal="center" vertical="center"/>
    </xf>
    <xf numFmtId="0" fontId="4" fillId="0" borderId="16" xfId="2" applyFont="1" applyBorder="1" applyAlignment="1">
      <alignment horizontal="center" vertical="center"/>
    </xf>
    <xf numFmtId="0" fontId="4" fillId="0" borderId="17" xfId="2" applyFont="1" applyBorder="1" applyAlignment="1">
      <alignment horizontal="center" vertical="center"/>
    </xf>
    <xf numFmtId="0" fontId="4" fillId="2" borderId="19" xfId="2" applyFont="1" applyFill="1" applyBorder="1" applyAlignment="1" applyProtection="1">
      <alignment horizontal="center" vertical="center" wrapText="1"/>
      <protection hidden="1"/>
    </xf>
    <xf numFmtId="0" fontId="4" fillId="2" borderId="37" xfId="2" applyFont="1" applyFill="1" applyBorder="1" applyAlignment="1" applyProtection="1">
      <alignment horizontal="center" vertical="center" wrapText="1"/>
      <protection hidden="1"/>
    </xf>
    <xf numFmtId="172" fontId="3" fillId="2" borderId="11" xfId="7" applyNumberFormat="1" applyFont="1" applyFill="1" applyBorder="1" applyAlignment="1" applyProtection="1">
      <alignment horizontal="center" vertical="center" wrapText="1"/>
      <protection hidden="1"/>
    </xf>
    <xf numFmtId="172" fontId="3" fillId="2" borderId="12" xfId="7" applyNumberFormat="1" applyFont="1" applyFill="1" applyBorder="1" applyAlignment="1" applyProtection="1">
      <alignment horizontal="center" vertical="center" wrapText="1"/>
      <protection hidden="1"/>
    </xf>
    <xf numFmtId="0" fontId="3" fillId="2" borderId="2" xfId="3" applyFont="1" applyFill="1" applyBorder="1" applyAlignment="1">
      <alignment horizontal="center" vertical="center" wrapText="1"/>
    </xf>
    <xf numFmtId="0" fontId="3" fillId="2" borderId="3"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17" fillId="5" borderId="15" xfId="2" applyFont="1" applyFill="1" applyBorder="1" applyAlignment="1">
      <alignment horizontal="center" vertical="center" wrapText="1"/>
    </xf>
    <xf numFmtId="0" fontId="17" fillId="5" borderId="16" xfId="2" applyFont="1" applyFill="1" applyBorder="1" applyAlignment="1">
      <alignment horizontal="center" vertical="center" wrapText="1"/>
    </xf>
    <xf numFmtId="0" fontId="17" fillId="5" borderId="17" xfId="2" applyFont="1" applyFill="1" applyBorder="1" applyAlignment="1">
      <alignment horizontal="center" vertical="center" wrapText="1"/>
    </xf>
    <xf numFmtId="164" fontId="4" fillId="6" borderId="11" xfId="2" applyNumberFormat="1" applyFont="1" applyFill="1" applyBorder="1" applyAlignment="1" applyProtection="1">
      <alignment horizontal="center" vertical="center" wrapText="1"/>
      <protection hidden="1"/>
    </xf>
    <xf numFmtId="2" fontId="9" fillId="2" borderId="11" xfId="2" applyNumberFormat="1" applyFont="1" applyFill="1" applyBorder="1" applyAlignment="1" applyProtection="1">
      <alignment horizontal="center" vertical="center" wrapText="1"/>
      <protection hidden="1"/>
    </xf>
    <xf numFmtId="2" fontId="9" fillId="2" borderId="12" xfId="2" applyNumberFormat="1" applyFont="1" applyFill="1" applyBorder="1" applyAlignment="1" applyProtection="1">
      <alignment horizontal="center" vertical="center" wrapText="1"/>
      <protection hidden="1"/>
    </xf>
    <xf numFmtId="0" fontId="3" fillId="2" borderId="0" xfId="3" applyFont="1" applyFill="1" applyAlignment="1">
      <alignment horizontal="center" vertical="center" wrapText="1"/>
    </xf>
    <xf numFmtId="164" fontId="4" fillId="2" borderId="6" xfId="2" applyNumberFormat="1" applyFont="1" applyFill="1" applyBorder="1" applyAlignment="1" applyProtection="1">
      <alignment horizontal="center" vertical="center" wrapText="1"/>
      <protection hidden="1"/>
    </xf>
    <xf numFmtId="0" fontId="4" fillId="2" borderId="13" xfId="2" applyFont="1" applyFill="1" applyBorder="1" applyAlignment="1">
      <alignment horizontal="center" vertical="center"/>
    </xf>
    <xf numFmtId="0" fontId="4" fillId="2" borderId="14" xfId="2" applyFont="1" applyFill="1" applyBorder="1" applyAlignment="1">
      <alignment horizontal="center" vertical="center"/>
    </xf>
    <xf numFmtId="2" fontId="9" fillId="2" borderId="1" xfId="2" applyNumberFormat="1" applyFont="1" applyFill="1" applyBorder="1" applyAlignment="1" applyProtection="1">
      <alignment horizontal="center" vertical="center" wrapText="1"/>
      <protection hidden="1"/>
    </xf>
    <xf numFmtId="2" fontId="9" fillId="2" borderId="9" xfId="2" applyNumberFormat="1" applyFont="1" applyFill="1" applyBorder="1" applyAlignment="1" applyProtection="1">
      <alignment horizontal="center" vertical="center" wrapText="1"/>
      <protection hidden="1"/>
    </xf>
    <xf numFmtId="164" fontId="4" fillId="6" borderId="1" xfId="2" applyNumberFormat="1" applyFont="1" applyFill="1" applyBorder="1" applyAlignment="1" applyProtection="1">
      <alignment horizontal="center" vertical="center" wrapText="1"/>
      <protection hidden="1"/>
    </xf>
    <xf numFmtId="165" fontId="4" fillId="6" borderId="1" xfId="2" applyNumberFormat="1" applyFont="1" applyFill="1" applyBorder="1" applyAlignment="1" applyProtection="1">
      <alignment horizontal="center" vertical="center" wrapText="1"/>
      <protection hidden="1"/>
    </xf>
    <xf numFmtId="0" fontId="3" fillId="2" borderId="15" xfId="3" applyFont="1" applyFill="1" applyBorder="1" applyAlignment="1">
      <alignment horizontal="center" vertical="center" wrapText="1"/>
    </xf>
    <xf numFmtId="0" fontId="3" fillId="2" borderId="16" xfId="3" applyFont="1" applyFill="1" applyBorder="1" applyAlignment="1">
      <alignment horizontal="center" vertical="center" wrapText="1"/>
    </xf>
    <xf numFmtId="165" fontId="3" fillId="2" borderId="16" xfId="3" applyNumberFormat="1" applyFont="1" applyFill="1" applyBorder="1" applyAlignment="1">
      <alignment horizontal="center" vertical="center" wrapText="1"/>
    </xf>
    <xf numFmtId="0" fontId="3" fillId="2" borderId="17" xfId="3" applyFont="1" applyFill="1" applyBorder="1" applyAlignment="1">
      <alignment horizontal="justify" vertical="center" wrapText="1"/>
    </xf>
    <xf numFmtId="0" fontId="7" fillId="4" borderId="1" xfId="2" applyFont="1" applyFill="1" applyBorder="1" applyAlignment="1">
      <alignment horizontal="center" vertical="center" wrapText="1"/>
    </xf>
    <xf numFmtId="0" fontId="5" fillId="4" borderId="1" xfId="2" applyFont="1" applyFill="1" applyBorder="1" applyAlignment="1">
      <alignment horizontal="center" vertical="center" wrapText="1"/>
    </xf>
    <xf numFmtId="0" fontId="10" fillId="0" borderId="1" xfId="4" applyFont="1" applyBorder="1" applyAlignment="1">
      <alignment horizontal="center" vertical="center" wrapText="1"/>
    </xf>
    <xf numFmtId="0" fontId="10" fillId="0" borderId="1" xfId="2" applyFont="1" applyBorder="1" applyAlignment="1">
      <alignment horizontal="center" vertical="center" wrapText="1"/>
    </xf>
    <xf numFmtId="0" fontId="9" fillId="0" borderId="1" xfId="2" applyFont="1" applyBorder="1" applyAlignment="1">
      <alignment horizontal="center" vertical="center" wrapText="1"/>
    </xf>
    <xf numFmtId="175" fontId="9" fillId="8" borderId="1" xfId="5" applyNumberFormat="1" applyFont="1" applyFill="1" applyBorder="1" applyAlignment="1">
      <alignment horizontal="left" vertical="center" wrapText="1"/>
    </xf>
    <xf numFmtId="166" fontId="11" fillId="7" borderId="1" xfId="5" applyFont="1" applyFill="1" applyBorder="1" applyAlignment="1">
      <alignment vertical="center" wrapText="1"/>
    </xf>
    <xf numFmtId="0" fontId="9" fillId="0" borderId="1" xfId="2" applyFont="1" applyBorder="1" applyAlignment="1">
      <alignment horizontal="center" vertical="center"/>
    </xf>
    <xf numFmtId="0" fontId="4" fillId="0" borderId="1" xfId="2" applyFont="1" applyBorder="1" applyAlignment="1">
      <alignment horizontal="justify" vertical="center" wrapText="1"/>
    </xf>
    <xf numFmtId="0" fontId="9" fillId="0" borderId="18" xfId="2" applyFont="1" applyBorder="1" applyAlignment="1" applyProtection="1">
      <alignment horizontal="center" vertical="center" wrapText="1"/>
      <protection hidden="1"/>
    </xf>
    <xf numFmtId="0" fontId="9" fillId="0" borderId="22" xfId="2" applyFont="1" applyBorder="1" applyAlignment="1" applyProtection="1">
      <alignment horizontal="center" vertical="center" wrapText="1"/>
      <protection hidden="1"/>
    </xf>
    <xf numFmtId="0" fontId="9" fillId="0" borderId="19" xfId="2" applyFont="1" applyBorder="1" applyAlignment="1" applyProtection="1">
      <alignment horizontal="center" vertical="center" wrapText="1"/>
      <protection hidden="1"/>
    </xf>
    <xf numFmtId="0" fontId="4" fillId="0" borderId="1" xfId="2" applyFont="1" applyBorder="1" applyAlignment="1">
      <alignment horizontal="center" vertical="center" wrapText="1"/>
    </xf>
    <xf numFmtId="0" fontId="4" fillId="0" borderId="1" xfId="2" applyFont="1" applyBorder="1" applyAlignment="1">
      <alignment horizontal="left" vertical="center" wrapText="1"/>
    </xf>
    <xf numFmtId="0" fontId="9" fillId="0" borderId="1" xfId="2" applyFont="1" applyBorder="1" applyAlignment="1">
      <alignment horizontal="left" vertical="center" wrapText="1"/>
    </xf>
    <xf numFmtId="0" fontId="9" fillId="0" borderId="18" xfId="2" applyFont="1" applyBorder="1" applyAlignment="1">
      <alignment horizontal="left" vertical="center" wrapText="1"/>
    </xf>
    <xf numFmtId="0" fontId="4" fillId="0" borderId="0" xfId="2" applyFont="1" applyAlignment="1">
      <alignment horizontal="center" vertical="center" wrapText="1"/>
    </xf>
    <xf numFmtId="170" fontId="12" fillId="8" borderId="1" xfId="0" applyNumberFormat="1" applyFont="1" applyFill="1" applyBorder="1" applyAlignment="1">
      <alignment horizontal="center" vertical="center" wrapText="1"/>
    </xf>
    <xf numFmtId="171" fontId="11" fillId="7" borderId="1" xfId="6" applyNumberFormat="1" applyFont="1" applyFill="1" applyBorder="1" applyAlignment="1">
      <alignment vertical="center" wrapText="1"/>
    </xf>
    <xf numFmtId="0" fontId="6" fillId="0" borderId="1" xfId="2" applyFont="1" applyBorder="1" applyAlignment="1">
      <alignment horizontal="center" vertical="center"/>
    </xf>
    <xf numFmtId="2" fontId="9" fillId="8" borderId="1" xfId="1" applyNumberFormat="1" applyFont="1" applyFill="1" applyBorder="1" applyAlignment="1">
      <alignment horizontal="center" vertical="center" wrapText="1"/>
    </xf>
    <xf numFmtId="168" fontId="14" fillId="7" borderId="1" xfId="6" applyFont="1" applyFill="1" applyBorder="1" applyAlignment="1">
      <alignment vertical="center" wrapText="1"/>
    </xf>
    <xf numFmtId="9" fontId="9" fillId="8" borderId="1" xfId="1" applyFont="1" applyFill="1" applyBorder="1" applyAlignment="1">
      <alignment horizontal="center" vertical="center" wrapText="1"/>
    </xf>
    <xf numFmtId="9" fontId="14" fillId="7" borderId="1" xfId="1" applyFont="1" applyFill="1" applyBorder="1" applyAlignment="1">
      <alignment vertical="center" wrapText="1"/>
    </xf>
    <xf numFmtId="0" fontId="12" fillId="0" borderId="1" xfId="0" applyFont="1" applyBorder="1" applyAlignment="1">
      <alignment horizontal="center" vertical="center" wrapText="1"/>
    </xf>
    <xf numFmtId="2" fontId="12" fillId="8" borderId="1" xfId="0" applyNumberFormat="1" applyFont="1" applyFill="1" applyBorder="1" applyAlignment="1">
      <alignment horizontal="center" vertical="center" wrapText="1"/>
    </xf>
    <xf numFmtId="168" fontId="11" fillId="7" borderId="1" xfId="6" applyFont="1" applyFill="1" applyBorder="1" applyAlignment="1">
      <alignment vertical="center" wrapText="1"/>
    </xf>
    <xf numFmtId="0" fontId="3" fillId="2" borderId="15" xfId="2" applyFont="1" applyFill="1" applyBorder="1" applyAlignment="1">
      <alignment horizontal="center" vertical="center"/>
    </xf>
    <xf numFmtId="0" fontId="3" fillId="2" borderId="16" xfId="2" applyFont="1" applyFill="1" applyBorder="1" applyAlignment="1">
      <alignment horizontal="center" vertical="center"/>
    </xf>
    <xf numFmtId="0" fontId="3" fillId="2" borderId="17" xfId="2" applyFont="1" applyFill="1" applyBorder="1" applyAlignment="1">
      <alignment horizontal="center" vertical="center"/>
    </xf>
    <xf numFmtId="0" fontId="16" fillId="2" borderId="15" xfId="2" applyFont="1" applyFill="1" applyBorder="1" applyAlignment="1">
      <alignment horizontal="center" vertical="center"/>
    </xf>
    <xf numFmtId="0" fontId="16" fillId="2" borderId="16" xfId="2" applyFont="1" applyFill="1" applyBorder="1" applyAlignment="1">
      <alignment horizontal="center" vertical="center"/>
    </xf>
    <xf numFmtId="0" fontId="16" fillId="2" borderId="17" xfId="2" applyFont="1" applyFill="1" applyBorder="1" applyAlignment="1">
      <alignment horizontal="center" vertical="center"/>
    </xf>
    <xf numFmtId="167" fontId="9" fillId="8" borderId="1" xfId="5" applyNumberFormat="1" applyFont="1" applyFill="1" applyBorder="1" applyAlignment="1">
      <alignment horizontal="left" vertical="center" wrapText="1"/>
    </xf>
    <xf numFmtId="166" fontId="11" fillId="7" borderId="1" xfId="0" applyNumberFormat="1" applyFont="1" applyFill="1" applyBorder="1" applyAlignment="1">
      <alignment vertical="center" wrapText="1"/>
    </xf>
    <xf numFmtId="166" fontId="11" fillId="7" borderId="18" xfId="0" applyNumberFormat="1" applyFont="1" applyFill="1" applyBorder="1" applyAlignment="1">
      <alignment vertical="center" wrapText="1"/>
    </xf>
    <xf numFmtId="0" fontId="9" fillId="0" borderId="18" xfId="2" applyFont="1" applyBorder="1" applyAlignment="1">
      <alignment horizontal="center" vertical="center"/>
    </xf>
    <xf numFmtId="0" fontId="29" fillId="2" borderId="15" xfId="2" applyFont="1" applyFill="1" applyBorder="1" applyAlignment="1">
      <alignment horizontal="left" vertical="center" wrapText="1"/>
    </xf>
    <xf numFmtId="0" fontId="29" fillId="2" borderId="16" xfId="2" applyFont="1" applyFill="1" applyBorder="1" applyAlignment="1">
      <alignment horizontal="left" vertical="center" wrapText="1"/>
    </xf>
    <xf numFmtId="0" fontId="29" fillId="2" borderId="17" xfId="2" applyFont="1" applyFill="1" applyBorder="1" applyAlignment="1">
      <alignment horizontal="left" vertical="center" wrapText="1"/>
    </xf>
    <xf numFmtId="0" fontId="32" fillId="2" borderId="0" xfId="0" applyFont="1" applyFill="1" applyAlignment="1">
      <alignment horizontal="left" vertical="center" wrapText="1"/>
    </xf>
    <xf numFmtId="0" fontId="0" fillId="0" borderId="20"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10" fontId="49" fillId="0" borderId="20" xfId="0" applyNumberFormat="1" applyFont="1" applyBorder="1" applyAlignment="1">
      <alignment horizontal="center" vertical="center" wrapText="1"/>
    </xf>
    <xf numFmtId="10" fontId="49" fillId="0" borderId="43" xfId="0" applyNumberFormat="1" applyFont="1" applyBorder="1" applyAlignment="1">
      <alignment horizontal="center" vertical="center" wrapText="1"/>
    </xf>
    <xf numFmtId="10" fontId="49" fillId="0" borderId="44" xfId="0" applyNumberFormat="1" applyFont="1" applyBorder="1" applyAlignment="1">
      <alignment horizontal="center" vertical="center" wrapText="1"/>
    </xf>
    <xf numFmtId="0" fontId="47" fillId="21" borderId="20" xfId="0" applyFont="1" applyFill="1" applyBorder="1" applyAlignment="1">
      <alignment horizontal="center" vertical="center"/>
    </xf>
    <xf numFmtId="0" fontId="47" fillId="21" borderId="43" xfId="0" applyFont="1" applyFill="1" applyBorder="1" applyAlignment="1">
      <alignment horizontal="center" vertical="center"/>
    </xf>
    <xf numFmtId="0" fontId="47" fillId="21" borderId="44" xfId="0" applyFont="1" applyFill="1" applyBorder="1" applyAlignment="1">
      <alignment horizontal="center" vertical="center"/>
    </xf>
    <xf numFmtId="0" fontId="51" fillId="22" borderId="1" xfId="0" applyFont="1" applyFill="1" applyBorder="1" applyAlignment="1">
      <alignment horizontal="center" vertical="center"/>
    </xf>
    <xf numFmtId="0" fontId="46" fillId="19" borderId="20" xfId="0" applyFont="1" applyFill="1" applyBorder="1" applyAlignment="1">
      <alignment horizontal="center" vertical="center"/>
    </xf>
    <xf numFmtId="0" fontId="46" fillId="19" borderId="43" xfId="0" applyFont="1" applyFill="1" applyBorder="1" applyAlignment="1">
      <alignment horizontal="center" vertical="center"/>
    </xf>
    <xf numFmtId="0" fontId="46" fillId="19" borderId="44" xfId="0" applyFont="1" applyFill="1" applyBorder="1" applyAlignment="1">
      <alignment horizontal="center" vertical="center"/>
    </xf>
    <xf numFmtId="0" fontId="47" fillId="20" borderId="20" xfId="0" applyFont="1" applyFill="1" applyBorder="1" applyAlignment="1">
      <alignment horizontal="center" vertical="center"/>
    </xf>
    <xf numFmtId="0" fontId="47" fillId="20" borderId="43" xfId="0" applyFont="1" applyFill="1" applyBorder="1" applyAlignment="1">
      <alignment horizontal="center" vertical="center"/>
    </xf>
    <xf numFmtId="0" fontId="47" fillId="20" borderId="44" xfId="0" applyFont="1" applyFill="1" applyBorder="1" applyAlignment="1">
      <alignment horizontal="center" vertical="center"/>
    </xf>
    <xf numFmtId="0" fontId="41" fillId="17" borderId="1" xfId="0" applyFont="1" applyFill="1" applyBorder="1" applyAlignment="1">
      <alignment horizontal="center" vertical="center"/>
    </xf>
    <xf numFmtId="0" fontId="41" fillId="0" borderId="1" xfId="0" applyFont="1" applyBorder="1" applyAlignment="1">
      <alignment horizontal="left" vertical="center" wrapText="1"/>
    </xf>
    <xf numFmtId="0" fontId="31" fillId="18" borderId="20" xfId="0" applyFont="1" applyFill="1" applyBorder="1" applyAlignment="1">
      <alignment horizontal="left" vertical="center" wrapText="1"/>
    </xf>
    <xf numFmtId="0" fontId="31" fillId="18" borderId="43" xfId="0" applyFont="1" applyFill="1" applyBorder="1" applyAlignment="1">
      <alignment horizontal="left" vertical="center" wrapText="1"/>
    </xf>
    <xf numFmtId="0" fontId="31" fillId="18" borderId="44" xfId="0" applyFont="1" applyFill="1" applyBorder="1" applyAlignment="1">
      <alignment horizontal="left" vertical="center" wrapText="1"/>
    </xf>
    <xf numFmtId="0" fontId="36" fillId="18" borderId="20" xfId="0" applyFont="1" applyFill="1" applyBorder="1" applyAlignment="1">
      <alignment horizontal="left" vertical="center" wrapText="1"/>
    </xf>
    <xf numFmtId="0" fontId="36" fillId="18" borderId="43" xfId="0" applyFont="1" applyFill="1" applyBorder="1" applyAlignment="1">
      <alignment horizontal="left" vertical="center" wrapText="1"/>
    </xf>
    <xf numFmtId="0" fontId="36" fillId="18" borderId="44" xfId="0" applyFont="1" applyFill="1" applyBorder="1" applyAlignment="1">
      <alignment horizontal="left" vertical="center" wrapText="1"/>
    </xf>
    <xf numFmtId="0" fontId="41" fillId="16" borderId="1" xfId="0" applyFont="1" applyFill="1" applyBorder="1" applyAlignment="1">
      <alignment horizontal="center" vertical="center"/>
    </xf>
    <xf numFmtId="0" fontId="36" fillId="18" borderId="20" xfId="0" applyFont="1" applyFill="1" applyBorder="1" applyAlignment="1">
      <alignment horizontal="left" vertical="center"/>
    </xf>
    <xf numFmtId="0" fontId="36" fillId="18" borderId="43" xfId="0" applyFont="1" applyFill="1" applyBorder="1" applyAlignment="1">
      <alignment horizontal="left" vertical="center"/>
    </xf>
    <xf numFmtId="0" fontId="36" fillId="18" borderId="44" xfId="0" applyFont="1" applyFill="1" applyBorder="1" applyAlignment="1">
      <alignment horizontal="left" vertical="center"/>
    </xf>
    <xf numFmtId="0" fontId="31" fillId="18" borderId="20" xfId="0" applyFont="1" applyFill="1" applyBorder="1" applyAlignment="1">
      <alignment horizontal="left" vertical="center"/>
    </xf>
    <xf numFmtId="0" fontId="31" fillId="18" borderId="43" xfId="0" applyFont="1" applyFill="1" applyBorder="1" applyAlignment="1">
      <alignment horizontal="left" vertical="center"/>
    </xf>
    <xf numFmtId="0" fontId="31" fillId="18" borderId="44" xfId="0" applyFont="1" applyFill="1" applyBorder="1" applyAlignment="1">
      <alignment horizontal="left" vertical="center"/>
    </xf>
    <xf numFmtId="0" fontId="32" fillId="2" borderId="15" xfId="0" applyFont="1" applyFill="1" applyBorder="1" applyAlignment="1">
      <alignment horizontal="left" vertical="center"/>
    </xf>
    <xf numFmtId="0" fontId="32" fillId="2" borderId="16" xfId="0" applyFont="1" applyFill="1" applyBorder="1" applyAlignment="1">
      <alignment horizontal="left" vertical="center"/>
    </xf>
    <xf numFmtId="0" fontId="32" fillId="2" borderId="23" xfId="0" applyFont="1" applyFill="1" applyBorder="1" applyAlignment="1">
      <alignment horizontal="left" vertical="center"/>
    </xf>
    <xf numFmtId="3" fontId="29" fillId="0" borderId="42" xfId="2" applyNumberFormat="1" applyFont="1" applyBorder="1" applyAlignment="1">
      <alignment horizontal="center" vertical="center" wrapText="1"/>
    </xf>
    <xf numFmtId="0" fontId="29" fillId="0" borderId="16" xfId="2" applyFont="1" applyBorder="1" applyAlignment="1">
      <alignment horizontal="center" vertical="center" wrapText="1"/>
    </xf>
    <xf numFmtId="0" fontId="29" fillId="0" borderId="17" xfId="2" applyFont="1" applyBorder="1" applyAlignment="1">
      <alignment horizontal="center" vertical="center" wrapText="1"/>
    </xf>
    <xf numFmtId="0" fontId="34" fillId="0" borderId="15" xfId="0" applyFont="1" applyBorder="1" applyAlignment="1">
      <alignment horizontal="left" vertical="center" wrapText="1"/>
    </xf>
    <xf numFmtId="0" fontId="29" fillId="0" borderId="16" xfId="0" applyFont="1" applyBorder="1" applyAlignment="1">
      <alignment horizontal="left" vertical="center" wrapText="1"/>
    </xf>
    <xf numFmtId="0" fontId="29" fillId="0" borderId="17" xfId="0" applyFont="1" applyBorder="1" applyAlignment="1">
      <alignment horizontal="left" vertical="center" wrapText="1"/>
    </xf>
    <xf numFmtId="0" fontId="36" fillId="13" borderId="1" xfId="0" applyFont="1" applyFill="1" applyBorder="1" applyAlignment="1">
      <alignment horizontal="center" vertical="center"/>
    </xf>
    <xf numFmtId="172" fontId="36" fillId="13" borderId="1" xfId="0" applyNumberFormat="1" applyFont="1" applyFill="1" applyBorder="1" applyAlignment="1">
      <alignment horizontal="center" vertical="center" wrapText="1"/>
    </xf>
    <xf numFmtId="0" fontId="38" fillId="14" borderId="1" xfId="0" applyFont="1" applyFill="1" applyBorder="1" applyAlignment="1">
      <alignment horizontal="center" vertical="center" wrapText="1"/>
    </xf>
    <xf numFmtId="0" fontId="29" fillId="0" borderId="42" xfId="2" applyFont="1" applyBorder="1" applyAlignment="1">
      <alignment horizontal="center" vertical="center" wrapText="1"/>
    </xf>
    <xf numFmtId="0" fontId="29" fillId="0" borderId="38" xfId="2" applyFont="1" applyBorder="1" applyAlignment="1">
      <alignment horizontal="center" vertical="center"/>
    </xf>
    <xf numFmtId="0" fontId="29" fillId="0" borderId="13" xfId="2" applyFont="1" applyBorder="1" applyAlignment="1">
      <alignment horizontal="center" vertical="center"/>
    </xf>
    <xf numFmtId="0" fontId="29" fillId="0" borderId="14" xfId="2" applyFont="1" applyBorder="1" applyAlignment="1">
      <alignment horizontal="center" vertical="center"/>
    </xf>
    <xf numFmtId="0" fontId="29" fillId="0" borderId="25" xfId="2" applyFont="1" applyBorder="1" applyAlignment="1">
      <alignment horizontal="center" vertical="center"/>
    </xf>
    <xf numFmtId="0" fontId="29" fillId="0" borderId="0" xfId="2" applyFont="1" applyAlignment="1">
      <alignment horizontal="center" vertical="center"/>
    </xf>
    <xf numFmtId="0" fontId="29" fillId="0" borderId="26" xfId="2" applyFont="1" applyBorder="1" applyAlignment="1">
      <alignment horizontal="center" vertical="center"/>
    </xf>
    <xf numFmtId="0" fontId="29" fillId="0" borderId="39" xfId="2" applyFont="1" applyBorder="1" applyAlignment="1">
      <alignment horizontal="center" vertical="center"/>
    </xf>
    <xf numFmtId="0" fontId="29" fillId="0" borderId="40" xfId="2" applyFont="1" applyBorder="1" applyAlignment="1">
      <alignment horizontal="center" vertical="center"/>
    </xf>
    <xf numFmtId="0" fontId="29" fillId="0" borderId="41" xfId="2" applyFont="1" applyBorder="1" applyAlignment="1">
      <alignment horizontal="center" vertical="center"/>
    </xf>
    <xf numFmtId="0" fontId="30" fillId="0" borderId="38" xfId="2" applyFont="1" applyBorder="1" applyAlignment="1">
      <alignment horizontal="center" vertical="center" wrapText="1"/>
    </xf>
    <xf numFmtId="0" fontId="30" fillId="0" borderId="13" xfId="2" applyFont="1" applyBorder="1" applyAlignment="1">
      <alignment horizontal="center" vertical="center" wrapText="1"/>
    </xf>
    <xf numFmtId="0" fontId="30" fillId="0" borderId="14" xfId="2" applyFont="1" applyBorder="1" applyAlignment="1">
      <alignment horizontal="center" vertical="center" wrapText="1"/>
    </xf>
    <xf numFmtId="0" fontId="30" fillId="0" borderId="25" xfId="2" applyFont="1" applyBorder="1" applyAlignment="1">
      <alignment horizontal="center" vertical="center" wrapText="1"/>
    </xf>
    <xf numFmtId="0" fontId="30" fillId="0" borderId="0" xfId="2" applyFont="1" applyAlignment="1">
      <alignment horizontal="center" vertical="center" wrapText="1"/>
    </xf>
    <xf numFmtId="0" fontId="30" fillId="0" borderId="26" xfId="2" applyFont="1" applyBorder="1" applyAlignment="1">
      <alignment horizontal="center" vertical="center" wrapText="1"/>
    </xf>
    <xf numFmtId="0" fontId="30" fillId="0" borderId="39" xfId="2" applyFont="1" applyBorder="1" applyAlignment="1">
      <alignment horizontal="center" vertical="center" wrapText="1"/>
    </xf>
    <xf numFmtId="0" fontId="30" fillId="0" borderId="40" xfId="2" applyFont="1" applyBorder="1" applyAlignment="1">
      <alignment horizontal="center" vertical="center" wrapText="1"/>
    </xf>
    <xf numFmtId="0" fontId="30" fillId="0" borderId="41" xfId="2" applyFont="1" applyBorder="1" applyAlignment="1">
      <alignment horizontal="center" vertical="center" wrapText="1"/>
    </xf>
    <xf numFmtId="0" fontId="31" fillId="12" borderId="25" xfId="2" applyFont="1" applyFill="1" applyBorder="1" applyAlignment="1">
      <alignment horizontal="center" vertical="center"/>
    </xf>
    <xf numFmtId="0" fontId="31" fillId="12" borderId="0" xfId="2" applyFont="1" applyFill="1" applyAlignment="1">
      <alignment horizontal="center" vertical="center"/>
    </xf>
    <xf numFmtId="0" fontId="33" fillId="0" borderId="42" xfId="2" applyFont="1" applyBorder="1" applyAlignment="1">
      <alignment horizontal="left" vertical="center" wrapText="1"/>
    </xf>
    <xf numFmtId="0" fontId="33" fillId="0" borderId="16" xfId="2" applyFont="1" applyBorder="1" applyAlignment="1">
      <alignment horizontal="left" vertical="center" wrapText="1"/>
    </xf>
    <xf numFmtId="0" fontId="33" fillId="0" borderId="17" xfId="2" applyFont="1" applyBorder="1" applyAlignment="1">
      <alignment horizontal="left" vertical="center" wrapText="1"/>
    </xf>
    <xf numFmtId="0" fontId="3" fillId="2" borderId="17" xfId="3" applyFont="1" applyFill="1" applyBorder="1" applyAlignment="1">
      <alignment horizontal="center" vertical="center" wrapText="1"/>
    </xf>
    <xf numFmtId="0" fontId="61" fillId="0" borderId="25" xfId="0" applyFont="1" applyBorder="1" applyAlignment="1">
      <alignment horizontal="left" vertical="center"/>
    </xf>
    <xf numFmtId="0" fontId="61" fillId="0" borderId="0" xfId="0" applyFont="1" applyAlignment="1">
      <alignment horizontal="left" vertical="center"/>
    </xf>
    <xf numFmtId="0" fontId="58" fillId="0" borderId="25" xfId="9" applyBorder="1" applyAlignment="1">
      <alignment horizontal="left" vertical="center"/>
    </xf>
    <xf numFmtId="0" fontId="58" fillId="0" borderId="0" xfId="9" applyBorder="1" applyAlignment="1">
      <alignment horizontal="left" vertical="center"/>
    </xf>
    <xf numFmtId="0" fontId="61" fillId="0" borderId="25" xfId="0" applyFont="1" applyBorder="1" applyAlignment="1">
      <alignment horizontal="left" vertical="top"/>
    </xf>
    <xf numFmtId="0" fontId="61" fillId="0" borderId="0" xfId="0" applyFont="1" applyAlignment="1">
      <alignment horizontal="left" vertical="top"/>
    </xf>
    <xf numFmtId="3" fontId="59" fillId="0" borderId="42" xfId="2" applyNumberFormat="1" applyFont="1" applyBorder="1" applyAlignment="1">
      <alignment horizontal="center" vertical="center" wrapText="1"/>
    </xf>
    <xf numFmtId="0" fontId="59" fillId="0" borderId="16" xfId="2" applyFont="1" applyBorder="1" applyAlignment="1">
      <alignment horizontal="center" vertical="center" wrapText="1"/>
    </xf>
    <xf numFmtId="0" fontId="59" fillId="0" borderId="17" xfId="2" applyFont="1" applyBorder="1" applyAlignment="1">
      <alignment horizontal="center" vertical="center" wrapText="1"/>
    </xf>
    <xf numFmtId="0" fontId="59" fillId="0" borderId="42" xfId="2" applyFont="1" applyBorder="1" applyAlignment="1">
      <alignment horizontal="center" vertical="center" wrapText="1"/>
    </xf>
    <xf numFmtId="0" fontId="60" fillId="0" borderId="42" xfId="2" applyFont="1" applyBorder="1" applyAlignment="1">
      <alignment horizontal="center" vertical="center" wrapText="1"/>
    </xf>
    <xf numFmtId="0" fontId="60" fillId="0" borderId="16" xfId="2" applyFont="1" applyBorder="1" applyAlignment="1">
      <alignment horizontal="center" vertical="center" wrapText="1"/>
    </xf>
    <xf numFmtId="0" fontId="60" fillId="0" borderId="17" xfId="2" applyFont="1" applyBorder="1" applyAlignment="1">
      <alignment horizontal="center" vertical="center" wrapText="1"/>
    </xf>
    <xf numFmtId="0" fontId="6" fillId="0" borderId="0" xfId="2" applyFont="1" applyAlignment="1">
      <alignment horizontal="center" vertical="center" wrapText="1"/>
    </xf>
    <xf numFmtId="0" fontId="0" fillId="2" borderId="16" xfId="0" applyFill="1" applyBorder="1" applyAlignment="1" applyProtection="1">
      <alignment horizontal="center"/>
      <protection locked="0"/>
    </xf>
    <xf numFmtId="0" fontId="32" fillId="2" borderId="40" xfId="0" applyFont="1" applyFill="1" applyBorder="1" applyAlignment="1">
      <alignment horizontal="left" vertical="center" wrapText="1"/>
    </xf>
    <xf numFmtId="168" fontId="14" fillId="7" borderId="1" xfId="6" applyFont="1" applyFill="1" applyBorder="1" applyAlignment="1">
      <alignment horizontal="right" vertical="center" wrapText="1"/>
    </xf>
    <xf numFmtId="178" fontId="14" fillId="7" borderId="1" xfId="1" applyNumberFormat="1" applyFont="1" applyFill="1" applyBorder="1" applyAlignment="1">
      <alignment vertical="center" wrapText="1"/>
    </xf>
    <xf numFmtId="0" fontId="4" fillId="0" borderId="15" xfId="2" applyFont="1" applyBorder="1" applyAlignment="1">
      <alignment horizontal="center" vertical="center" wrapText="1"/>
    </xf>
    <xf numFmtId="0" fontId="4" fillId="0" borderId="16" xfId="2" applyFont="1" applyBorder="1" applyAlignment="1">
      <alignment horizontal="center" vertical="center" wrapText="1"/>
    </xf>
    <xf numFmtId="0" fontId="4" fillId="0" borderId="17" xfId="2" applyFont="1" applyBorder="1" applyAlignment="1">
      <alignment horizontal="center" vertical="center" wrapText="1"/>
    </xf>
    <xf numFmtId="0" fontId="32" fillId="2" borderId="13" xfId="0" applyFont="1" applyFill="1" applyBorder="1" applyAlignment="1">
      <alignment vertical="center" wrapText="1"/>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10" fontId="49" fillId="0" borderId="35" xfId="0" applyNumberFormat="1" applyFont="1" applyBorder="1" applyAlignment="1">
      <alignment horizontal="center" vertical="center" wrapText="1"/>
    </xf>
    <xf numFmtId="10" fontId="49" fillId="0" borderId="49" xfId="0" applyNumberFormat="1" applyFont="1" applyBorder="1" applyAlignment="1">
      <alignment horizontal="center" vertical="center" wrapText="1"/>
    </xf>
    <xf numFmtId="10" fontId="49" fillId="0" borderId="50" xfId="0" applyNumberFormat="1" applyFont="1" applyBorder="1" applyAlignment="1">
      <alignment horizontal="center" vertical="center" wrapText="1"/>
    </xf>
    <xf numFmtId="0" fontId="47" fillId="21" borderId="30" xfId="0" applyFont="1" applyFill="1" applyBorder="1" applyAlignment="1">
      <alignment horizontal="center" vertical="center"/>
    </xf>
    <xf numFmtId="0" fontId="47" fillId="21" borderId="21" xfId="0" applyFont="1" applyFill="1" applyBorder="1" applyAlignment="1">
      <alignment horizontal="center" vertical="center"/>
    </xf>
    <xf numFmtId="0" fontId="47" fillId="21" borderId="31" xfId="0" applyFont="1" applyFill="1" applyBorder="1" applyAlignment="1">
      <alignment horizontal="center" vertical="center"/>
    </xf>
    <xf numFmtId="0" fontId="46" fillId="19" borderId="27" xfId="0" applyFont="1" applyFill="1" applyBorder="1" applyAlignment="1">
      <alignment horizontal="center" vertical="center"/>
    </xf>
    <xf numFmtId="0" fontId="46" fillId="19" borderId="28" xfId="0" applyFont="1" applyFill="1" applyBorder="1" applyAlignment="1">
      <alignment horizontal="center" vertical="center"/>
    </xf>
    <xf numFmtId="0" fontId="46" fillId="19" borderId="29" xfId="0" applyFont="1" applyFill="1" applyBorder="1" applyAlignment="1">
      <alignment horizontal="center" vertical="center"/>
    </xf>
    <xf numFmtId="0" fontId="47" fillId="20" borderId="36" xfId="0" applyFont="1" applyFill="1" applyBorder="1" applyAlignment="1">
      <alignment horizontal="center" vertical="center"/>
    </xf>
    <xf numFmtId="0" fontId="47" fillId="20" borderId="45" xfId="0" applyFont="1" applyFill="1" applyBorder="1" applyAlignment="1">
      <alignment horizontal="center" vertical="center"/>
    </xf>
    <xf numFmtId="0" fontId="47" fillId="20" borderId="46" xfId="0" applyFont="1" applyFill="1" applyBorder="1" applyAlignment="1">
      <alignment horizontal="center" vertical="center"/>
    </xf>
    <xf numFmtId="174" fontId="11" fillId="7" borderId="1" xfId="6" applyNumberFormat="1" applyFont="1" applyFill="1" applyBorder="1" applyAlignment="1">
      <alignment vertical="center" wrapText="1"/>
    </xf>
    <xf numFmtId="0" fontId="32" fillId="2" borderId="13" xfId="0" applyFont="1" applyFill="1" applyBorder="1" applyAlignment="1">
      <alignment horizontal="left" vertical="center" wrapText="1"/>
    </xf>
    <xf numFmtId="0" fontId="29" fillId="0" borderId="42" xfId="2" applyFont="1" applyBorder="1" applyAlignment="1">
      <alignment horizontal="left" vertical="center" wrapText="1"/>
    </xf>
    <xf numFmtId="0" fontId="29" fillId="0" borderId="16" xfId="2" applyFont="1" applyBorder="1" applyAlignment="1">
      <alignment horizontal="left" vertical="center" wrapText="1"/>
    </xf>
    <xf numFmtId="0" fontId="29" fillId="0" borderId="17" xfId="2" applyFont="1" applyBorder="1" applyAlignment="1">
      <alignment horizontal="left" vertical="center" wrapText="1"/>
    </xf>
    <xf numFmtId="0" fontId="3" fillId="2" borderId="11" xfId="2" applyFont="1" applyFill="1" applyBorder="1" applyAlignment="1" applyProtection="1">
      <alignment horizontal="center" vertical="center" wrapText="1"/>
      <protection hidden="1"/>
    </xf>
    <xf numFmtId="0" fontId="3" fillId="2" borderId="12" xfId="2" applyFont="1" applyFill="1" applyBorder="1" applyAlignment="1" applyProtection="1">
      <alignment horizontal="center" vertical="center" wrapText="1"/>
      <protection hidden="1"/>
    </xf>
    <xf numFmtId="0" fontId="29" fillId="2" borderId="2" xfId="2" applyFont="1" applyFill="1" applyBorder="1" applyAlignment="1">
      <alignment horizontal="left" vertical="center" wrapText="1"/>
    </xf>
    <xf numFmtId="0" fontId="29" fillId="2" borderId="3" xfId="2" applyFont="1" applyFill="1" applyBorder="1" applyAlignment="1">
      <alignment horizontal="left" vertical="center" wrapText="1"/>
    </xf>
    <xf numFmtId="0" fontId="29" fillId="2" borderId="4" xfId="2" applyFont="1" applyFill="1" applyBorder="1" applyAlignment="1">
      <alignment horizontal="left" vertical="center" wrapText="1"/>
    </xf>
    <xf numFmtId="0" fontId="32" fillId="2" borderId="40" xfId="0" applyFont="1" applyFill="1" applyBorder="1" applyAlignment="1">
      <alignment horizontal="center" vertical="center" wrapText="1"/>
    </xf>
    <xf numFmtId="0" fontId="29" fillId="0" borderId="40" xfId="0" applyFont="1" applyBorder="1" applyAlignment="1">
      <alignment horizontal="left" wrapText="1"/>
    </xf>
  </cellXfs>
  <cellStyles count="10">
    <cellStyle name="Hipervínculo" xfId="9" builtinId="8"/>
    <cellStyle name="Millares" xfId="8" builtinId="3"/>
    <cellStyle name="Millares 2" xfId="6" xr:uid="{991DB498-15F9-436E-8B14-B541522E907C}"/>
    <cellStyle name="Moneda" xfId="7" builtinId="4"/>
    <cellStyle name="Moneda 2" xfId="5" xr:uid="{E6370852-F73C-4959-9F9F-8DF43457F353}"/>
    <cellStyle name="Normal" xfId="0" builtinId="0"/>
    <cellStyle name="Normal 2" xfId="2" xr:uid="{5D60ADD4-2DA2-49A1-A1E2-C87B3368C9FE}"/>
    <cellStyle name="Normal 2 2" xfId="4" xr:uid="{C665D5A0-51BE-4F83-BFD3-49EB7CC5C2FC}"/>
    <cellStyle name="Normal_CAPACIDAD" xfId="3" xr:uid="{68D6214A-7267-454F-9A03-6E99CD315F24}"/>
    <cellStyle name="Porcentaje" xfId="1" builtinId="5"/>
  </cellStyles>
  <dxfs count="31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9.tmp"/><Relationship Id="rId2" Type="http://schemas.openxmlformats.org/officeDocument/2006/relationships/image" Target="../media/image8.tmp"/><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4.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1143000</xdr:colOff>
      <xdr:row>0</xdr:row>
      <xdr:rowOff>114300</xdr:rowOff>
    </xdr:from>
    <xdr:to>
      <xdr:col>2</xdr:col>
      <xdr:colOff>2816787</xdr:colOff>
      <xdr:row>0</xdr:row>
      <xdr:rowOff>1029665</xdr:rowOff>
    </xdr:to>
    <xdr:pic>
      <xdr:nvPicPr>
        <xdr:cNvPr id="2" name="Imagen 1">
          <a:extLst>
            <a:ext uri="{FF2B5EF4-FFF2-40B4-BE49-F238E27FC236}">
              <a16:creationId xmlns:a16="http://schemas.microsoft.com/office/drawing/2014/main" id="{AA780594-9061-4117-8486-DC27F7065D7A}"/>
            </a:ext>
          </a:extLst>
        </xdr:cNvPr>
        <xdr:cNvPicPr>
          <a:picLocks noChangeAspect="1"/>
        </xdr:cNvPicPr>
      </xdr:nvPicPr>
      <xdr:blipFill>
        <a:blip xmlns:r="http://schemas.openxmlformats.org/officeDocument/2006/relationships" r:embed="rId1"/>
        <a:stretch>
          <a:fillRect/>
        </a:stretch>
      </xdr:blipFill>
      <xdr:spPr>
        <a:xfrm>
          <a:off x="1885950" y="114300"/>
          <a:ext cx="1673787" cy="915365"/>
        </a:xfrm>
        <a:prstGeom prst="rect">
          <a:avLst/>
        </a:prstGeom>
      </xdr:spPr>
    </xdr:pic>
    <xdr:clientData/>
  </xdr:twoCellAnchor>
  <xdr:twoCellAnchor editAs="oneCell">
    <xdr:from>
      <xdr:col>11</xdr:col>
      <xdr:colOff>1028700</xdr:colOff>
      <xdr:row>20</xdr:row>
      <xdr:rowOff>466660</xdr:rowOff>
    </xdr:from>
    <xdr:to>
      <xdr:col>11</xdr:col>
      <xdr:colOff>2609850</xdr:colOff>
      <xdr:row>20</xdr:row>
      <xdr:rowOff>962087</xdr:rowOff>
    </xdr:to>
    <xdr:pic>
      <xdr:nvPicPr>
        <xdr:cNvPr id="3" name="Imagen 2">
          <a:extLst>
            <a:ext uri="{FF2B5EF4-FFF2-40B4-BE49-F238E27FC236}">
              <a16:creationId xmlns:a16="http://schemas.microsoft.com/office/drawing/2014/main" id="{0EAD87BC-2CDD-4C01-BCA7-E5B35D5A838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648450" y="22583710"/>
          <a:ext cx="1581150" cy="495427"/>
        </a:xfrm>
        <a:prstGeom prst="rect">
          <a:avLst/>
        </a:prstGeom>
      </xdr:spPr>
    </xdr:pic>
    <xdr:clientData/>
  </xdr:twoCellAnchor>
  <xdr:twoCellAnchor editAs="oneCell">
    <xdr:from>
      <xdr:col>13</xdr:col>
      <xdr:colOff>2228850</xdr:colOff>
      <xdr:row>20</xdr:row>
      <xdr:rowOff>133350</xdr:rowOff>
    </xdr:from>
    <xdr:to>
      <xdr:col>13</xdr:col>
      <xdr:colOff>3018790</xdr:colOff>
      <xdr:row>20</xdr:row>
      <xdr:rowOff>817245</xdr:rowOff>
    </xdr:to>
    <xdr:pic>
      <xdr:nvPicPr>
        <xdr:cNvPr id="4" name="Imagen 3" descr="Imagen que contiene grafiti, dibujo, reloj&#10;&#10;Descripción generada automáticamente">
          <a:extLst>
            <a:ext uri="{FF2B5EF4-FFF2-40B4-BE49-F238E27FC236}">
              <a16:creationId xmlns:a16="http://schemas.microsoft.com/office/drawing/2014/main" id="{3BBEA82A-47D9-40BD-B799-3796AAD4F918}"/>
            </a:ext>
          </a:extLst>
        </xdr:cNvPr>
        <xdr:cNvPicPr>
          <a:picLocks noChangeAspect="1"/>
        </xdr:cNvPicPr>
      </xdr:nvPicPr>
      <xdr:blipFill>
        <a:blip xmlns:r="http://schemas.openxmlformats.org/officeDocument/2006/relationships" r:embed="rId3"/>
        <a:stretch>
          <a:fillRect/>
        </a:stretch>
      </xdr:blipFill>
      <xdr:spPr>
        <a:xfrm>
          <a:off x="19411950" y="22250400"/>
          <a:ext cx="789940" cy="6838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242455</xdr:colOff>
      <xdr:row>0</xdr:row>
      <xdr:rowOff>138546</xdr:rowOff>
    </xdr:from>
    <xdr:to>
      <xdr:col>2</xdr:col>
      <xdr:colOff>1714501</xdr:colOff>
      <xdr:row>0</xdr:row>
      <xdr:rowOff>923942</xdr:rowOff>
    </xdr:to>
    <xdr:pic>
      <xdr:nvPicPr>
        <xdr:cNvPr id="3" name="Imagen 2">
          <a:extLst>
            <a:ext uri="{FF2B5EF4-FFF2-40B4-BE49-F238E27FC236}">
              <a16:creationId xmlns:a16="http://schemas.microsoft.com/office/drawing/2014/main" id="{543EF1B2-7B03-4417-BDA7-0D42F2166EC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3364" y="138546"/>
          <a:ext cx="1472046" cy="785396"/>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354244</xdr:colOff>
      <xdr:row>0</xdr:row>
      <xdr:rowOff>11905</xdr:rowOff>
    </xdr:from>
    <xdr:to>
      <xdr:col>3</xdr:col>
      <xdr:colOff>154781</xdr:colOff>
      <xdr:row>3</xdr:row>
      <xdr:rowOff>355770</xdr:rowOff>
    </xdr:to>
    <xdr:pic>
      <xdr:nvPicPr>
        <xdr:cNvPr id="2" name="Imagen 1">
          <a:extLst>
            <a:ext uri="{FF2B5EF4-FFF2-40B4-BE49-F238E27FC236}">
              <a16:creationId xmlns:a16="http://schemas.microsoft.com/office/drawing/2014/main" id="{5317DFFC-004B-4555-94C4-BD9A4FA6112B}"/>
            </a:ext>
          </a:extLst>
        </xdr:cNvPr>
        <xdr:cNvPicPr>
          <a:picLocks noChangeAspect="1"/>
        </xdr:cNvPicPr>
      </xdr:nvPicPr>
      <xdr:blipFill>
        <a:blip xmlns:r="http://schemas.openxmlformats.org/officeDocument/2006/relationships" r:embed="rId1"/>
        <a:stretch>
          <a:fillRect/>
        </a:stretch>
      </xdr:blipFill>
      <xdr:spPr>
        <a:xfrm>
          <a:off x="354244" y="11905"/>
          <a:ext cx="1667437" cy="915365"/>
        </a:xfrm>
        <a:prstGeom prst="rect">
          <a:avLst/>
        </a:prstGeom>
      </xdr:spPr>
    </xdr:pic>
    <xdr:clientData/>
  </xdr:twoCellAnchor>
  <xdr:twoCellAnchor editAs="oneCell">
    <xdr:from>
      <xdr:col>1</xdr:col>
      <xdr:colOff>0</xdr:colOff>
      <xdr:row>141</xdr:row>
      <xdr:rowOff>0</xdr:rowOff>
    </xdr:from>
    <xdr:to>
      <xdr:col>3</xdr:col>
      <xdr:colOff>397034</xdr:colOff>
      <xdr:row>143</xdr:row>
      <xdr:rowOff>174466</xdr:rowOff>
    </xdr:to>
    <xdr:pic>
      <xdr:nvPicPr>
        <xdr:cNvPr id="3" name="Imagen 2">
          <a:extLst>
            <a:ext uri="{FF2B5EF4-FFF2-40B4-BE49-F238E27FC236}">
              <a16:creationId xmlns:a16="http://schemas.microsoft.com/office/drawing/2014/main" id="{071D77C3-0747-4E55-8A56-629ABAD20F9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105070275"/>
          <a:ext cx="1501934" cy="1107916"/>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242455</xdr:colOff>
      <xdr:row>0</xdr:row>
      <xdr:rowOff>138546</xdr:rowOff>
    </xdr:from>
    <xdr:to>
      <xdr:col>2</xdr:col>
      <xdr:colOff>1714501</xdr:colOff>
      <xdr:row>0</xdr:row>
      <xdr:rowOff>923942</xdr:rowOff>
    </xdr:to>
    <xdr:pic>
      <xdr:nvPicPr>
        <xdr:cNvPr id="2" name="Imagen 1">
          <a:extLst>
            <a:ext uri="{FF2B5EF4-FFF2-40B4-BE49-F238E27FC236}">
              <a16:creationId xmlns:a16="http://schemas.microsoft.com/office/drawing/2014/main" id="{2BABC49B-7DD0-49A5-831B-91DB6F7A79F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4705" y="138546"/>
          <a:ext cx="1472046" cy="785396"/>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354244</xdr:colOff>
      <xdr:row>0</xdr:row>
      <xdr:rowOff>11905</xdr:rowOff>
    </xdr:from>
    <xdr:to>
      <xdr:col>3</xdr:col>
      <xdr:colOff>154781</xdr:colOff>
      <xdr:row>3</xdr:row>
      <xdr:rowOff>355770</xdr:rowOff>
    </xdr:to>
    <xdr:pic>
      <xdr:nvPicPr>
        <xdr:cNvPr id="2" name="Imagen 1">
          <a:extLst>
            <a:ext uri="{FF2B5EF4-FFF2-40B4-BE49-F238E27FC236}">
              <a16:creationId xmlns:a16="http://schemas.microsoft.com/office/drawing/2014/main" id="{42430137-9763-4E3F-AB53-40CF7F77D6CE}"/>
            </a:ext>
          </a:extLst>
        </xdr:cNvPr>
        <xdr:cNvPicPr>
          <a:picLocks noChangeAspect="1"/>
        </xdr:cNvPicPr>
      </xdr:nvPicPr>
      <xdr:blipFill>
        <a:blip xmlns:r="http://schemas.openxmlformats.org/officeDocument/2006/relationships" r:embed="rId1"/>
        <a:stretch>
          <a:fillRect/>
        </a:stretch>
      </xdr:blipFill>
      <xdr:spPr>
        <a:xfrm>
          <a:off x="354244" y="11905"/>
          <a:ext cx="1657912" cy="915365"/>
        </a:xfrm>
        <a:prstGeom prst="rect">
          <a:avLst/>
        </a:prstGeom>
      </xdr:spPr>
    </xdr:pic>
    <xdr:clientData/>
  </xdr:twoCellAnchor>
  <xdr:twoCellAnchor>
    <xdr:from>
      <xdr:col>0</xdr:col>
      <xdr:colOff>279400</xdr:colOff>
      <xdr:row>141</xdr:row>
      <xdr:rowOff>647700</xdr:rowOff>
    </xdr:from>
    <xdr:to>
      <xdr:col>3</xdr:col>
      <xdr:colOff>1803400</xdr:colOff>
      <xdr:row>144</xdr:row>
      <xdr:rowOff>139700</xdr:rowOff>
    </xdr:to>
    <xdr:pic>
      <xdr:nvPicPr>
        <xdr:cNvPr id="3" name="Imagen 2">
          <a:extLst>
            <a:ext uri="{FF2B5EF4-FFF2-40B4-BE49-F238E27FC236}">
              <a16:creationId xmlns:a16="http://schemas.microsoft.com/office/drawing/2014/main" id="{D4772BC6-CEBA-4E87-B412-9483024556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9400" y="105717975"/>
          <a:ext cx="3171825" cy="901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242455</xdr:colOff>
      <xdr:row>0</xdr:row>
      <xdr:rowOff>138546</xdr:rowOff>
    </xdr:from>
    <xdr:to>
      <xdr:col>2</xdr:col>
      <xdr:colOff>1714501</xdr:colOff>
      <xdr:row>0</xdr:row>
      <xdr:rowOff>923942</xdr:rowOff>
    </xdr:to>
    <xdr:pic>
      <xdr:nvPicPr>
        <xdr:cNvPr id="2" name="Imagen 1">
          <a:extLst>
            <a:ext uri="{FF2B5EF4-FFF2-40B4-BE49-F238E27FC236}">
              <a16:creationId xmlns:a16="http://schemas.microsoft.com/office/drawing/2014/main" id="{451DD55A-E899-4981-9438-B36975200E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4705" y="138546"/>
          <a:ext cx="1472046" cy="785396"/>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354244</xdr:colOff>
      <xdr:row>0</xdr:row>
      <xdr:rowOff>11905</xdr:rowOff>
    </xdr:from>
    <xdr:to>
      <xdr:col>3</xdr:col>
      <xdr:colOff>154781</xdr:colOff>
      <xdr:row>3</xdr:row>
      <xdr:rowOff>355770</xdr:rowOff>
    </xdr:to>
    <xdr:pic>
      <xdr:nvPicPr>
        <xdr:cNvPr id="2" name="Imagen 1">
          <a:extLst>
            <a:ext uri="{FF2B5EF4-FFF2-40B4-BE49-F238E27FC236}">
              <a16:creationId xmlns:a16="http://schemas.microsoft.com/office/drawing/2014/main" id="{68C067A0-6964-4E3E-A8CA-7943184ED0CE}"/>
            </a:ext>
          </a:extLst>
        </xdr:cNvPr>
        <xdr:cNvPicPr>
          <a:picLocks noChangeAspect="1"/>
        </xdr:cNvPicPr>
      </xdr:nvPicPr>
      <xdr:blipFill>
        <a:blip xmlns:r="http://schemas.openxmlformats.org/officeDocument/2006/relationships" r:embed="rId1"/>
        <a:stretch>
          <a:fillRect/>
        </a:stretch>
      </xdr:blipFill>
      <xdr:spPr>
        <a:xfrm>
          <a:off x="354244" y="11905"/>
          <a:ext cx="1667437" cy="915365"/>
        </a:xfrm>
        <a:prstGeom prst="rect">
          <a:avLst/>
        </a:prstGeom>
      </xdr:spPr>
    </xdr:pic>
    <xdr:clientData/>
  </xdr:twoCellAnchor>
  <xdr:twoCellAnchor editAs="oneCell">
    <xdr:from>
      <xdr:col>1</xdr:col>
      <xdr:colOff>11905</xdr:colOff>
      <xdr:row>139</xdr:row>
      <xdr:rowOff>1988344</xdr:rowOff>
    </xdr:from>
    <xdr:to>
      <xdr:col>3</xdr:col>
      <xdr:colOff>1568807</xdr:colOff>
      <xdr:row>144</xdr:row>
      <xdr:rowOff>52560</xdr:rowOff>
    </xdr:to>
    <xdr:pic>
      <xdr:nvPicPr>
        <xdr:cNvPr id="3" name="Imagen 2">
          <a:extLst>
            <a:ext uri="{FF2B5EF4-FFF2-40B4-BE49-F238E27FC236}">
              <a16:creationId xmlns:a16="http://schemas.microsoft.com/office/drawing/2014/main" id="{83D6E23D-C15B-4EBE-AED2-ADBD2626098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73905" y="104296369"/>
          <a:ext cx="2661802" cy="197899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242455</xdr:colOff>
      <xdr:row>0</xdr:row>
      <xdr:rowOff>138546</xdr:rowOff>
    </xdr:from>
    <xdr:to>
      <xdr:col>2</xdr:col>
      <xdr:colOff>1714501</xdr:colOff>
      <xdr:row>0</xdr:row>
      <xdr:rowOff>923942</xdr:rowOff>
    </xdr:to>
    <xdr:pic>
      <xdr:nvPicPr>
        <xdr:cNvPr id="2" name="Imagen 1">
          <a:extLst>
            <a:ext uri="{FF2B5EF4-FFF2-40B4-BE49-F238E27FC236}">
              <a16:creationId xmlns:a16="http://schemas.microsoft.com/office/drawing/2014/main" id="{98C32526-C34F-40A2-8026-020B0E601C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4705" y="138546"/>
          <a:ext cx="1472046" cy="785396"/>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354244</xdr:colOff>
      <xdr:row>0</xdr:row>
      <xdr:rowOff>11905</xdr:rowOff>
    </xdr:from>
    <xdr:to>
      <xdr:col>3</xdr:col>
      <xdr:colOff>154781</xdr:colOff>
      <xdr:row>3</xdr:row>
      <xdr:rowOff>274127</xdr:rowOff>
    </xdr:to>
    <xdr:pic>
      <xdr:nvPicPr>
        <xdr:cNvPr id="2" name="Imagen 1">
          <a:extLst>
            <a:ext uri="{FF2B5EF4-FFF2-40B4-BE49-F238E27FC236}">
              <a16:creationId xmlns:a16="http://schemas.microsoft.com/office/drawing/2014/main" id="{DFFDBF69-12AA-4261-A8FA-B80328250FAE}"/>
            </a:ext>
          </a:extLst>
        </xdr:cNvPr>
        <xdr:cNvPicPr>
          <a:picLocks noChangeAspect="1"/>
        </xdr:cNvPicPr>
      </xdr:nvPicPr>
      <xdr:blipFill>
        <a:blip xmlns:r="http://schemas.openxmlformats.org/officeDocument/2006/relationships" r:embed="rId1"/>
        <a:stretch>
          <a:fillRect/>
        </a:stretch>
      </xdr:blipFill>
      <xdr:spPr>
        <a:xfrm>
          <a:off x="354244" y="11905"/>
          <a:ext cx="1667437" cy="91536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242455</xdr:colOff>
      <xdr:row>0</xdr:row>
      <xdr:rowOff>138546</xdr:rowOff>
    </xdr:from>
    <xdr:to>
      <xdr:col>2</xdr:col>
      <xdr:colOff>1714501</xdr:colOff>
      <xdr:row>0</xdr:row>
      <xdr:rowOff>923942</xdr:rowOff>
    </xdr:to>
    <xdr:pic>
      <xdr:nvPicPr>
        <xdr:cNvPr id="2" name="Imagen 1">
          <a:extLst>
            <a:ext uri="{FF2B5EF4-FFF2-40B4-BE49-F238E27FC236}">
              <a16:creationId xmlns:a16="http://schemas.microsoft.com/office/drawing/2014/main" id="{ABEBBA49-2739-4CA8-8BF0-73EB01FD791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4705" y="138546"/>
          <a:ext cx="1472046" cy="785396"/>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354244</xdr:colOff>
      <xdr:row>0</xdr:row>
      <xdr:rowOff>11905</xdr:rowOff>
    </xdr:from>
    <xdr:to>
      <xdr:col>3</xdr:col>
      <xdr:colOff>154781</xdr:colOff>
      <xdr:row>3</xdr:row>
      <xdr:rowOff>355770</xdr:rowOff>
    </xdr:to>
    <xdr:pic>
      <xdr:nvPicPr>
        <xdr:cNvPr id="2" name="Imagen 1">
          <a:extLst>
            <a:ext uri="{FF2B5EF4-FFF2-40B4-BE49-F238E27FC236}">
              <a16:creationId xmlns:a16="http://schemas.microsoft.com/office/drawing/2014/main" id="{30E4E9EA-8EA2-4847-B705-637E98DB5CAE}"/>
            </a:ext>
          </a:extLst>
        </xdr:cNvPr>
        <xdr:cNvPicPr>
          <a:picLocks noChangeAspect="1"/>
        </xdr:cNvPicPr>
      </xdr:nvPicPr>
      <xdr:blipFill>
        <a:blip xmlns:r="http://schemas.openxmlformats.org/officeDocument/2006/relationships" r:embed="rId1"/>
        <a:stretch>
          <a:fillRect/>
        </a:stretch>
      </xdr:blipFill>
      <xdr:spPr>
        <a:xfrm>
          <a:off x="354244" y="11905"/>
          <a:ext cx="1667437" cy="915365"/>
        </a:xfrm>
        <a:prstGeom prst="rect">
          <a:avLst/>
        </a:prstGeom>
      </xdr:spPr>
    </xdr:pic>
    <xdr:clientData/>
  </xdr:twoCellAnchor>
  <xdr:twoCellAnchor editAs="oneCell">
    <xdr:from>
      <xdr:col>1</xdr:col>
      <xdr:colOff>536864</xdr:colOff>
      <xdr:row>143</xdr:row>
      <xdr:rowOff>103909</xdr:rowOff>
    </xdr:from>
    <xdr:to>
      <xdr:col>3</xdr:col>
      <xdr:colOff>1125682</xdr:colOff>
      <xdr:row>146</xdr:row>
      <xdr:rowOff>34637</xdr:rowOff>
    </xdr:to>
    <xdr:pic>
      <xdr:nvPicPr>
        <xdr:cNvPr id="3" name="0 Imagen">
          <a:extLst>
            <a:ext uri="{FF2B5EF4-FFF2-40B4-BE49-F238E27FC236}">
              <a16:creationId xmlns:a16="http://schemas.microsoft.com/office/drawing/2014/main" id="{9C0FFEE5-6D8C-44D2-BFA6-810F9F00F219}"/>
            </a:ext>
          </a:extLst>
        </xdr:cNvPr>
        <xdr:cNvPicPr/>
      </xdr:nvPicPr>
      <xdr:blipFill>
        <a:blip xmlns:r="http://schemas.openxmlformats.org/officeDocument/2006/relationships" r:embed="rId2">
          <a:clrChange>
            <a:clrFrom>
              <a:srgbClr val="FFFEFF"/>
            </a:clrFrom>
            <a:clrTo>
              <a:srgbClr val="FFFEFF">
                <a:alpha val="0"/>
              </a:srgbClr>
            </a:clrTo>
          </a:clrChange>
          <a:biLevel thresh="75000"/>
          <a:extLst>
            <a:ext uri="{28A0092B-C50C-407E-A947-70E740481C1C}">
              <a14:useLocalDpi xmlns:a14="http://schemas.microsoft.com/office/drawing/2010/main" val="0"/>
            </a:ext>
          </a:extLst>
        </a:blip>
        <a:stretch>
          <a:fillRect/>
        </a:stretch>
      </xdr:blipFill>
      <xdr:spPr>
        <a:xfrm>
          <a:off x="1298864" y="105383734"/>
          <a:ext cx="1693718" cy="1454728"/>
        </a:xfrm>
        <a:prstGeom prst="rect">
          <a:avLst/>
        </a:prstGeom>
      </xdr:spPr>
    </xdr:pic>
    <xdr:clientData/>
  </xdr:twoCellAnchor>
  <xdr:twoCellAnchor editAs="oneCell">
    <xdr:from>
      <xdr:col>7</xdr:col>
      <xdr:colOff>710045</xdr:colOff>
      <xdr:row>143</xdr:row>
      <xdr:rowOff>86591</xdr:rowOff>
    </xdr:from>
    <xdr:to>
      <xdr:col>8</xdr:col>
      <xdr:colOff>773256</xdr:colOff>
      <xdr:row>146</xdr:row>
      <xdr:rowOff>153266</xdr:rowOff>
    </xdr:to>
    <xdr:pic>
      <xdr:nvPicPr>
        <xdr:cNvPr id="4" name="0 Imagen">
          <a:extLst>
            <a:ext uri="{FF2B5EF4-FFF2-40B4-BE49-F238E27FC236}">
              <a16:creationId xmlns:a16="http://schemas.microsoft.com/office/drawing/2014/main" id="{BD6C1954-FC9F-4569-BB5B-2C2F721E49C5}"/>
            </a:ext>
          </a:extLst>
        </xdr:cNvPr>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39895" y="105366416"/>
          <a:ext cx="1863436" cy="15906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242455</xdr:colOff>
      <xdr:row>0</xdr:row>
      <xdr:rowOff>138546</xdr:rowOff>
    </xdr:from>
    <xdr:to>
      <xdr:col>2</xdr:col>
      <xdr:colOff>1714501</xdr:colOff>
      <xdr:row>0</xdr:row>
      <xdr:rowOff>923942</xdr:rowOff>
    </xdr:to>
    <xdr:pic>
      <xdr:nvPicPr>
        <xdr:cNvPr id="2" name="Imagen 1">
          <a:extLst>
            <a:ext uri="{FF2B5EF4-FFF2-40B4-BE49-F238E27FC236}">
              <a16:creationId xmlns:a16="http://schemas.microsoft.com/office/drawing/2014/main" id="{6C60AC13-F014-4941-A4F4-8B963E3587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4705" y="138546"/>
          <a:ext cx="1472046" cy="785396"/>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354244</xdr:colOff>
      <xdr:row>0</xdr:row>
      <xdr:rowOff>11905</xdr:rowOff>
    </xdr:from>
    <xdr:to>
      <xdr:col>3</xdr:col>
      <xdr:colOff>154781</xdr:colOff>
      <xdr:row>3</xdr:row>
      <xdr:rowOff>355770</xdr:rowOff>
    </xdr:to>
    <xdr:pic>
      <xdr:nvPicPr>
        <xdr:cNvPr id="2" name="Imagen 1">
          <a:extLst>
            <a:ext uri="{FF2B5EF4-FFF2-40B4-BE49-F238E27FC236}">
              <a16:creationId xmlns:a16="http://schemas.microsoft.com/office/drawing/2014/main" id="{010D3866-4C05-4581-9D48-5FD6721675ED}"/>
            </a:ext>
          </a:extLst>
        </xdr:cNvPr>
        <xdr:cNvPicPr>
          <a:picLocks noChangeAspect="1"/>
        </xdr:cNvPicPr>
      </xdr:nvPicPr>
      <xdr:blipFill>
        <a:blip xmlns:r="http://schemas.openxmlformats.org/officeDocument/2006/relationships" r:embed="rId1"/>
        <a:stretch>
          <a:fillRect/>
        </a:stretch>
      </xdr:blipFill>
      <xdr:spPr>
        <a:xfrm>
          <a:off x="354244" y="11905"/>
          <a:ext cx="1667437" cy="915365"/>
        </a:xfrm>
        <a:prstGeom prst="rect">
          <a:avLst/>
        </a:prstGeom>
      </xdr:spPr>
    </xdr:pic>
    <xdr:clientData/>
  </xdr:twoCellAnchor>
  <xdr:twoCellAnchor editAs="oneCell">
    <xdr:from>
      <xdr:col>1</xdr:col>
      <xdr:colOff>59532</xdr:colOff>
      <xdr:row>141</xdr:row>
      <xdr:rowOff>273844</xdr:rowOff>
    </xdr:from>
    <xdr:to>
      <xdr:col>3</xdr:col>
      <xdr:colOff>869156</xdr:colOff>
      <xdr:row>141</xdr:row>
      <xdr:rowOff>1154906</xdr:rowOff>
    </xdr:to>
    <xdr:pic>
      <xdr:nvPicPr>
        <xdr:cNvPr id="3" name="Imagen 2">
          <a:extLst>
            <a:ext uri="{FF2B5EF4-FFF2-40B4-BE49-F238E27FC236}">
              <a16:creationId xmlns:a16="http://schemas.microsoft.com/office/drawing/2014/main" id="{589D7EFF-5988-438E-A9D5-39AE202344A6}"/>
            </a:ext>
          </a:extLst>
        </xdr:cNvPr>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1532" y="105344119"/>
          <a:ext cx="1914524" cy="881062"/>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173181</xdr:colOff>
      <xdr:row>0</xdr:row>
      <xdr:rowOff>138546</xdr:rowOff>
    </xdr:from>
    <xdr:to>
      <xdr:col>2</xdr:col>
      <xdr:colOff>1645227</xdr:colOff>
      <xdr:row>0</xdr:row>
      <xdr:rowOff>923942</xdr:rowOff>
    </xdr:to>
    <xdr:pic>
      <xdr:nvPicPr>
        <xdr:cNvPr id="2" name="Imagen 1">
          <a:extLst>
            <a:ext uri="{FF2B5EF4-FFF2-40B4-BE49-F238E27FC236}">
              <a16:creationId xmlns:a16="http://schemas.microsoft.com/office/drawing/2014/main" id="{E6302CE0-8924-4057-A2EC-DA45AD83FC3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35431" y="138546"/>
          <a:ext cx="1472046" cy="785396"/>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354244</xdr:colOff>
      <xdr:row>0</xdr:row>
      <xdr:rowOff>11905</xdr:rowOff>
    </xdr:from>
    <xdr:to>
      <xdr:col>3</xdr:col>
      <xdr:colOff>15081</xdr:colOff>
      <xdr:row>3</xdr:row>
      <xdr:rowOff>355770</xdr:rowOff>
    </xdr:to>
    <xdr:pic>
      <xdr:nvPicPr>
        <xdr:cNvPr id="2" name="Imagen 1">
          <a:extLst>
            <a:ext uri="{FF2B5EF4-FFF2-40B4-BE49-F238E27FC236}">
              <a16:creationId xmlns:a16="http://schemas.microsoft.com/office/drawing/2014/main" id="{9BC1357F-17CC-412C-9ED3-B9C63FF592BA}"/>
            </a:ext>
          </a:extLst>
        </xdr:cNvPr>
        <xdr:cNvPicPr>
          <a:picLocks noChangeAspect="1"/>
        </xdr:cNvPicPr>
      </xdr:nvPicPr>
      <xdr:blipFill>
        <a:blip xmlns:r="http://schemas.openxmlformats.org/officeDocument/2006/relationships" r:embed="rId1"/>
        <a:stretch>
          <a:fillRect/>
        </a:stretch>
      </xdr:blipFill>
      <xdr:spPr>
        <a:xfrm>
          <a:off x="354244" y="11905"/>
          <a:ext cx="1661087" cy="91536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242455</xdr:colOff>
      <xdr:row>0</xdr:row>
      <xdr:rowOff>138546</xdr:rowOff>
    </xdr:from>
    <xdr:to>
      <xdr:col>2</xdr:col>
      <xdr:colOff>1714501</xdr:colOff>
      <xdr:row>0</xdr:row>
      <xdr:rowOff>923942</xdr:rowOff>
    </xdr:to>
    <xdr:pic>
      <xdr:nvPicPr>
        <xdr:cNvPr id="2" name="Imagen 1">
          <a:extLst>
            <a:ext uri="{FF2B5EF4-FFF2-40B4-BE49-F238E27FC236}">
              <a16:creationId xmlns:a16="http://schemas.microsoft.com/office/drawing/2014/main" id="{06AF810B-9F8D-4007-8672-F7DC9EC3D6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4705" y="138546"/>
          <a:ext cx="1472046" cy="785396"/>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354244</xdr:colOff>
      <xdr:row>0</xdr:row>
      <xdr:rowOff>11905</xdr:rowOff>
    </xdr:from>
    <xdr:to>
      <xdr:col>3</xdr:col>
      <xdr:colOff>15081</xdr:colOff>
      <xdr:row>3</xdr:row>
      <xdr:rowOff>355770</xdr:rowOff>
    </xdr:to>
    <xdr:pic>
      <xdr:nvPicPr>
        <xdr:cNvPr id="2" name="Imagen 1">
          <a:extLst>
            <a:ext uri="{FF2B5EF4-FFF2-40B4-BE49-F238E27FC236}">
              <a16:creationId xmlns:a16="http://schemas.microsoft.com/office/drawing/2014/main" id="{D7240A42-0FEB-4FC2-95B0-D348D7A69AD9}"/>
            </a:ext>
          </a:extLst>
        </xdr:cNvPr>
        <xdr:cNvPicPr>
          <a:picLocks noChangeAspect="1"/>
        </xdr:cNvPicPr>
      </xdr:nvPicPr>
      <xdr:blipFill>
        <a:blip xmlns:r="http://schemas.openxmlformats.org/officeDocument/2006/relationships" r:embed="rId1"/>
        <a:stretch>
          <a:fillRect/>
        </a:stretch>
      </xdr:blipFill>
      <xdr:spPr>
        <a:xfrm>
          <a:off x="354244" y="11905"/>
          <a:ext cx="1661087" cy="91536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242455</xdr:colOff>
      <xdr:row>0</xdr:row>
      <xdr:rowOff>138546</xdr:rowOff>
    </xdr:from>
    <xdr:to>
      <xdr:col>2</xdr:col>
      <xdr:colOff>1714501</xdr:colOff>
      <xdr:row>0</xdr:row>
      <xdr:rowOff>923942</xdr:rowOff>
    </xdr:to>
    <xdr:pic>
      <xdr:nvPicPr>
        <xdr:cNvPr id="2" name="Imagen 1">
          <a:extLst>
            <a:ext uri="{FF2B5EF4-FFF2-40B4-BE49-F238E27FC236}">
              <a16:creationId xmlns:a16="http://schemas.microsoft.com/office/drawing/2014/main" id="{86E8B5AC-8150-4468-9CF2-7DF32779AC3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4705" y="138546"/>
          <a:ext cx="1472046" cy="785396"/>
        </a:xfrm>
        <a:prstGeom prst="rect">
          <a:avLst/>
        </a:prstGeom>
        <a:noFill/>
        <a:ln>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354244</xdr:colOff>
      <xdr:row>0</xdr:row>
      <xdr:rowOff>11905</xdr:rowOff>
    </xdr:from>
    <xdr:to>
      <xdr:col>2</xdr:col>
      <xdr:colOff>494960</xdr:colOff>
      <xdr:row>3</xdr:row>
      <xdr:rowOff>355770</xdr:rowOff>
    </xdr:to>
    <xdr:pic>
      <xdr:nvPicPr>
        <xdr:cNvPr id="2" name="Imagen 1">
          <a:extLst>
            <a:ext uri="{FF2B5EF4-FFF2-40B4-BE49-F238E27FC236}">
              <a16:creationId xmlns:a16="http://schemas.microsoft.com/office/drawing/2014/main" id="{E4EE4B7C-4706-44E5-942F-17CB05DE14DF}"/>
            </a:ext>
          </a:extLst>
        </xdr:cNvPr>
        <xdr:cNvPicPr>
          <a:picLocks noChangeAspect="1"/>
        </xdr:cNvPicPr>
      </xdr:nvPicPr>
      <xdr:blipFill>
        <a:blip xmlns:r="http://schemas.openxmlformats.org/officeDocument/2006/relationships" r:embed="rId1"/>
        <a:stretch>
          <a:fillRect/>
        </a:stretch>
      </xdr:blipFill>
      <xdr:spPr>
        <a:xfrm>
          <a:off x="354244" y="11905"/>
          <a:ext cx="1664716" cy="91536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242455</xdr:colOff>
      <xdr:row>0</xdr:row>
      <xdr:rowOff>138546</xdr:rowOff>
    </xdr:from>
    <xdr:to>
      <xdr:col>2</xdr:col>
      <xdr:colOff>1714501</xdr:colOff>
      <xdr:row>0</xdr:row>
      <xdr:rowOff>923942</xdr:rowOff>
    </xdr:to>
    <xdr:pic>
      <xdr:nvPicPr>
        <xdr:cNvPr id="2" name="Imagen 1">
          <a:extLst>
            <a:ext uri="{FF2B5EF4-FFF2-40B4-BE49-F238E27FC236}">
              <a16:creationId xmlns:a16="http://schemas.microsoft.com/office/drawing/2014/main" id="{B904FD1D-6576-435A-B757-649712C6EFD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4705" y="138546"/>
          <a:ext cx="1472046" cy="785396"/>
        </a:xfrm>
        <a:prstGeom prst="rect">
          <a:avLst/>
        </a:prstGeom>
        <a:noFill/>
        <a:ln>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354244</xdr:colOff>
      <xdr:row>0</xdr:row>
      <xdr:rowOff>11905</xdr:rowOff>
    </xdr:from>
    <xdr:to>
      <xdr:col>3</xdr:col>
      <xdr:colOff>154781</xdr:colOff>
      <xdr:row>3</xdr:row>
      <xdr:rowOff>355770</xdr:rowOff>
    </xdr:to>
    <xdr:pic>
      <xdr:nvPicPr>
        <xdr:cNvPr id="2" name="Imagen 1">
          <a:extLst>
            <a:ext uri="{FF2B5EF4-FFF2-40B4-BE49-F238E27FC236}">
              <a16:creationId xmlns:a16="http://schemas.microsoft.com/office/drawing/2014/main" id="{B7849D93-8F4F-4696-A9AF-B82F0AE0AE2E}"/>
            </a:ext>
          </a:extLst>
        </xdr:cNvPr>
        <xdr:cNvPicPr>
          <a:picLocks noChangeAspect="1"/>
        </xdr:cNvPicPr>
      </xdr:nvPicPr>
      <xdr:blipFill>
        <a:blip xmlns:r="http://schemas.openxmlformats.org/officeDocument/2006/relationships" r:embed="rId1"/>
        <a:stretch>
          <a:fillRect/>
        </a:stretch>
      </xdr:blipFill>
      <xdr:spPr>
        <a:xfrm>
          <a:off x="354244" y="11905"/>
          <a:ext cx="1667437" cy="91536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6634c44007912f9b/Escritorio/ANDRES%20USPEC/4.%20Julio%202021/DOCUMENTOS%20PROCESO%20INTERVENTOR&#205;A/192.168.70.20/jeroboan%20ramirez/Users/HP/Downloads/2015.11.30%20PPTO%20FTO%20BASE%20-%20Valores%20(3).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dxdiaz\Documents\2024\SERVICIOS\TEMPORAL\PROPUESTAS\3.INFORME%20EVALUACION%20%20FINANCIERA%20PRELIMINAR%20%20TEMPORAL.xlsx" TargetMode="External"/><Relationship Id="rId1" Type="http://schemas.openxmlformats.org/officeDocument/2006/relationships/externalLinkPath" Target="https://fnagovco-my.sharepoint.com/Users/dxdiaz/Documents/2024/SERVICIOS/TEMPORAL/PROPUESTAS/3.INFORME%20EVALUACION%20%20FINANCIERA%20PRELIMINAR%20%20TEMPORAL.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lbastidas\Downloads\Evaluacion%20preliminar%20Financiera%20diana.xlsx" TargetMode="External"/><Relationship Id="rId1" Type="http://schemas.openxmlformats.org/officeDocument/2006/relationships/externalLinkPath" Target="https://fnagovco-my.sharepoint.com/Users/lbastidas/Downloads/Evaluacion%20preliminar%20Financiera%20dian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PPTO CONSOLIDAD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SOLIDADO FINANCIERO"/>
      <sheetName val="1. SERVICIOS &amp; ASESORIAS"/>
      <sheetName val="2. ACTIVOS SAS"/>
    </sheetNames>
    <sheetDataSet>
      <sheetData sheetId="0"/>
      <sheetData sheetId="1"/>
      <sheetData sheetId="2">
        <row r="31">
          <cell r="I31">
            <v>50700205000</v>
          </cell>
        </row>
        <row r="33">
          <cell r="I33">
            <v>2.2212881319481106</v>
          </cell>
        </row>
        <row r="35">
          <cell r="I35">
            <v>0.39225536897720364</v>
          </cell>
        </row>
        <row r="37">
          <cell r="I37">
            <v>5.7988596303995239</v>
          </cell>
        </row>
        <row r="39">
          <cell r="I39">
            <v>0.11115319580321183</v>
          </cell>
        </row>
        <row r="41">
          <cell r="I41">
            <v>6.7552757970427604E-2</v>
          </cell>
        </row>
        <row r="43">
          <cell r="I43">
            <v>76747357000</v>
          </cell>
        </row>
        <row r="45">
          <cell r="I45" t="str">
            <v>CUMPLE</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SOLIDADO FINANCIERO"/>
      <sheetName val="5 CASTILLA Y LEON"/>
      <sheetName val="5 OFERTA CASTILLA Y LEON"/>
      <sheetName val="6 UNINGECOL"/>
      <sheetName val="6 OFERTA UNINGECOL"/>
      <sheetName val="7 CONSORCIO FONDO NACIONAL"/>
      <sheetName val="7 OFERTA CONSORCIO F.NACIONAL"/>
      <sheetName val="8 CONSORCIO 2024 FNA"/>
      <sheetName val="8 OFERTA 2024 CONSORCIO"/>
      <sheetName val="9 INGEBYP"/>
      <sheetName val="9 OFERTA ECONOMICA"/>
    </sheetNames>
    <sheetDataSet>
      <sheetData sheetId="0">
        <row r="7">
          <cell r="L7">
            <v>5282931966</v>
          </cell>
        </row>
      </sheetData>
      <sheetData sheetId="1"/>
      <sheetData sheetId="2" refreshError="1"/>
      <sheetData sheetId="3"/>
      <sheetData sheetId="4" refreshError="1"/>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hyperlink" Target="mailto:jdtrujillo@elatin.co"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3966B-67EA-4746-AA2F-F3CCEE74302C}">
  <sheetPr>
    <tabColor rgb="FFFFFF00"/>
  </sheetPr>
  <dimension ref="B1:R34"/>
  <sheetViews>
    <sheetView showGridLines="0" tabSelected="1" topLeftCell="C18" zoomScale="55" zoomScaleNormal="55" zoomScaleSheetLayoutView="50" workbookViewId="0">
      <selection activeCell="M20" sqref="M20"/>
    </sheetView>
  </sheetViews>
  <sheetFormatPr baseColWidth="10" defaultColWidth="11.42578125" defaultRowHeight="23.25"/>
  <cols>
    <col min="1" max="1" width="4.42578125" style="47" customWidth="1"/>
    <col min="2" max="2" width="6.42578125" style="49" bestFit="1" customWidth="1"/>
    <col min="3" max="3" width="73" style="49" customWidth="1"/>
    <col min="4" max="4" width="38.85546875" style="50" hidden="1" customWidth="1"/>
    <col min="5" max="5" width="34.85546875" style="47" hidden="1" customWidth="1"/>
    <col min="6" max="6" width="22.7109375" style="47" hidden="1" customWidth="1"/>
    <col min="7" max="7" width="25.85546875" style="47" hidden="1" customWidth="1"/>
    <col min="8" max="9" width="21.85546875" style="47" hidden="1" customWidth="1"/>
    <col min="10" max="10" width="20.42578125" style="47" hidden="1" customWidth="1"/>
    <col min="11" max="11" width="36.28515625" style="47" hidden="1" customWidth="1"/>
    <col min="12" max="12" width="128" style="47" customWidth="1"/>
    <col min="13" max="13" width="45.42578125" style="47" customWidth="1"/>
    <col min="14" max="14" width="96.140625" style="47" customWidth="1"/>
    <col min="15" max="15" width="40.85546875" style="47" customWidth="1"/>
    <col min="16" max="16" width="44.140625" style="47" customWidth="1"/>
    <col min="17" max="16384" width="11.42578125" style="47"/>
  </cols>
  <sheetData>
    <row r="1" spans="2:16" ht="99" customHeight="1" thickBot="1">
      <c r="B1" s="202"/>
      <c r="C1" s="203"/>
      <c r="D1" s="204" t="s">
        <v>0</v>
      </c>
      <c r="E1" s="205"/>
      <c r="F1" s="205"/>
      <c r="G1" s="205"/>
      <c r="H1" s="205"/>
      <c r="I1" s="205"/>
      <c r="J1" s="205"/>
      <c r="K1" s="205"/>
      <c r="L1" s="205"/>
      <c r="M1" s="205"/>
      <c r="N1" s="205"/>
      <c r="O1" s="205"/>
    </row>
    <row r="2" spans="2:16" ht="9" hidden="1" customHeight="1" thickBot="1">
      <c r="B2" s="48"/>
      <c r="L2" s="51"/>
    </row>
    <row r="3" spans="2:16" ht="57.75" customHeight="1" thickBot="1">
      <c r="B3" s="206" t="s">
        <v>1</v>
      </c>
      <c r="C3" s="207"/>
      <c r="D3" s="207"/>
      <c r="E3" s="207"/>
      <c r="F3" s="207"/>
      <c r="G3" s="207"/>
      <c r="H3" s="207"/>
      <c r="I3" s="207"/>
      <c r="J3" s="207"/>
      <c r="K3" s="207"/>
      <c r="L3" s="207"/>
      <c r="M3" s="207"/>
      <c r="N3" s="207"/>
      <c r="O3" s="208"/>
    </row>
    <row r="4" spans="2:16" ht="7.5" hidden="1" customHeight="1" thickBot="1">
      <c r="B4" s="78"/>
      <c r="C4" s="52"/>
      <c r="D4" s="53"/>
      <c r="E4" s="54"/>
      <c r="F4" s="54"/>
      <c r="G4" s="54"/>
      <c r="H4" s="54"/>
      <c r="I4" s="54"/>
      <c r="J4" s="54"/>
      <c r="K4" s="54"/>
      <c r="L4" s="54"/>
      <c r="M4" s="54"/>
      <c r="N4" s="54"/>
      <c r="O4" s="79"/>
    </row>
    <row r="5" spans="2:16" ht="57" customHeight="1" thickBot="1">
      <c r="B5" s="197" t="s">
        <v>2</v>
      </c>
      <c r="C5" s="198"/>
      <c r="D5" s="209" t="s">
        <v>3</v>
      </c>
      <c r="E5" s="209"/>
      <c r="F5" s="209"/>
      <c r="G5" s="209"/>
      <c r="H5" s="209"/>
      <c r="I5" s="209"/>
      <c r="J5" s="209"/>
      <c r="K5" s="210"/>
      <c r="L5" s="211" t="s">
        <v>3</v>
      </c>
      <c r="M5" s="212"/>
      <c r="N5" s="212"/>
      <c r="O5" s="213"/>
    </row>
    <row r="6" spans="2:16" ht="55.5" customHeight="1" thickBot="1">
      <c r="B6" s="197" t="s">
        <v>4</v>
      </c>
      <c r="C6" s="198"/>
      <c r="D6" s="199" t="s">
        <v>5</v>
      </c>
      <c r="E6" s="200"/>
      <c r="F6" s="200"/>
      <c r="G6" s="200"/>
      <c r="H6" s="200"/>
      <c r="I6" s="200"/>
      <c r="J6" s="200"/>
      <c r="K6" s="200"/>
      <c r="L6" s="200"/>
      <c r="M6" s="200"/>
      <c r="N6" s="200"/>
      <c r="O6" s="201"/>
    </row>
    <row r="7" spans="2:16" ht="52.5" customHeight="1" thickBot="1">
      <c r="B7" s="188" t="s">
        <v>6</v>
      </c>
      <c r="C7" s="189"/>
      <c r="D7" s="56"/>
      <c r="E7" s="57"/>
      <c r="F7" s="57"/>
      <c r="G7" s="57"/>
      <c r="H7" s="57"/>
      <c r="I7" s="57"/>
      <c r="J7" s="57"/>
      <c r="K7" s="57"/>
      <c r="L7" s="57">
        <v>5282931966</v>
      </c>
      <c r="M7" s="57"/>
      <c r="N7" s="57"/>
      <c r="O7" s="58"/>
      <c r="P7" s="59"/>
    </row>
    <row r="8" spans="2:16" ht="91.5" customHeight="1">
      <c r="B8" s="190"/>
      <c r="C8" s="191"/>
      <c r="D8" s="191"/>
      <c r="E8" s="191"/>
      <c r="F8" s="191"/>
      <c r="G8" s="191"/>
      <c r="H8" s="191"/>
      <c r="I8" s="191"/>
      <c r="J8" s="191"/>
      <c r="K8" s="191"/>
      <c r="L8" s="191"/>
      <c r="M8" s="191"/>
      <c r="N8" s="191"/>
      <c r="O8" s="191"/>
    </row>
    <row r="9" spans="2:16" s="62" customFormat="1" ht="103.5" customHeight="1">
      <c r="B9" s="55" t="s">
        <v>7</v>
      </c>
      <c r="C9" s="55" t="s">
        <v>8</v>
      </c>
      <c r="D9" s="60"/>
      <c r="E9" s="55" t="s">
        <v>9</v>
      </c>
      <c r="F9" s="55" t="s">
        <v>10</v>
      </c>
      <c r="G9" s="55" t="s">
        <v>11</v>
      </c>
      <c r="H9" s="55" t="s">
        <v>12</v>
      </c>
      <c r="I9" s="55" t="s">
        <v>13</v>
      </c>
      <c r="J9" s="55" t="s">
        <v>14</v>
      </c>
      <c r="K9" s="55" t="s">
        <v>15</v>
      </c>
      <c r="L9" s="55" t="s">
        <v>16</v>
      </c>
      <c r="M9" s="61" t="s">
        <v>17</v>
      </c>
      <c r="N9" s="55" t="s">
        <v>18</v>
      </c>
      <c r="O9" s="55" t="s">
        <v>19</v>
      </c>
    </row>
    <row r="10" spans="2:16" s="62" customFormat="1" ht="103.5" customHeight="1">
      <c r="B10" s="63">
        <v>1</v>
      </c>
      <c r="C10" s="64" t="str">
        <f>+'1 LIMACOR'!C8</f>
        <v>LIMACOR MY S.A.S. 
900126632 1</v>
      </c>
      <c r="D10" s="72"/>
      <c r="E10" s="65">
        <f>'[2]2. ACTIVOS SAS'!$I$31</f>
        <v>50700205000</v>
      </c>
      <c r="F10" s="66">
        <f>'[2]2. ACTIVOS SAS'!$I$33</f>
        <v>2.2212881319481106</v>
      </c>
      <c r="G10" s="67">
        <f>'[2]2. ACTIVOS SAS'!$I$35</f>
        <v>0.39225536897720364</v>
      </c>
      <c r="H10" s="66">
        <f>'[2]2. ACTIVOS SAS'!$I$37</f>
        <v>5.7988596303995239</v>
      </c>
      <c r="I10" s="66">
        <f>'[2]2. ACTIVOS SAS'!$I$39</f>
        <v>0.11115319580321183</v>
      </c>
      <c r="J10" s="66">
        <f>'[2]2. ACTIVOS SAS'!$I$41</f>
        <v>6.7552757970427604E-2</v>
      </c>
      <c r="K10" s="68">
        <f>'[2]2. ACTIVOS SAS'!$I$43</f>
        <v>76747357000</v>
      </c>
      <c r="L10" s="77" t="str">
        <f>+'1 LIMACOR'!L31</f>
        <v xml:space="preserve">El proponente cumple con  los indicadores  establecidos en las reglas de  participación  de conformidad con lo estabecido en el numeral 4.3 4.3. REQUISITOS MÍNIMOS HABILITANTES FINANCIEROS Y CAPACIDAD ORGANIZACIONAL de las reglas de participación </v>
      </c>
      <c r="M10" s="69" t="str">
        <f>+'1 LIMACOR'!I45</f>
        <v>CUMPLE</v>
      </c>
      <c r="N10" s="70" t="s">
        <v>20</v>
      </c>
      <c r="O10" s="69" t="str">
        <f>'[2]2. ACTIVOS SAS'!$I$45</f>
        <v>CUMPLE</v>
      </c>
    </row>
    <row r="11" spans="2:16" s="62" customFormat="1" ht="103.5" customHeight="1">
      <c r="B11" s="63">
        <v>2</v>
      </c>
      <c r="C11" s="64" t="str" cm="1">
        <f t="array" ref="C11:K11">+'2 UT AMF-ELATIN'!C8:K8</f>
        <v>UNIÓN TEMPORAL AMF-ELATIN</v>
      </c>
      <c r="D11" s="72">
        <v>0</v>
      </c>
      <c r="E11" s="65">
        <v>0</v>
      </c>
      <c r="F11" s="66">
        <v>0</v>
      </c>
      <c r="G11" s="67">
        <v>0</v>
      </c>
      <c r="H11" s="66">
        <v>0</v>
      </c>
      <c r="I11" s="66">
        <v>0</v>
      </c>
      <c r="J11" s="66">
        <v>0</v>
      </c>
      <c r="K11" s="68">
        <v>0</v>
      </c>
      <c r="L11" s="77" t="str">
        <f>+'2 UT AMF-ELATIN'!L32</f>
        <v xml:space="preserve">El proponente cumple con  los indicadores  establecidos en las reglas de  participación  de conformidad con lo estabecido en el numeral 4.3 4.3. REQUISITOS MÍNIMOS HABILITANTES FINANCIEROS Y CAPACIDAD ORGANIZACIONAL de las reglas de participación </v>
      </c>
      <c r="M11" s="69" t="str">
        <f>+'2 UT AMF-ELATIN'!I46</f>
        <v>CUMPLE</v>
      </c>
      <c r="N11" s="70" t="s">
        <v>20</v>
      </c>
      <c r="O11" s="69" t="str">
        <f>'[2]2. ACTIVOS SAS'!$I$45</f>
        <v>CUMPLE</v>
      </c>
    </row>
    <row r="12" spans="2:16" s="62" customFormat="1" ht="124.5" customHeight="1">
      <c r="B12" s="63">
        <v>3</v>
      </c>
      <c r="C12" s="64" t="str" cm="1">
        <f t="array" ref="C12:K12">+'3 DIARQCO'!C8:K8</f>
        <v>DIARQCO CONSTRUCTORES SAS
NIT: 900185357 2</v>
      </c>
      <c r="D12" s="72">
        <v>0</v>
      </c>
      <c r="E12" s="65">
        <v>0</v>
      </c>
      <c r="F12" s="66">
        <v>0</v>
      </c>
      <c r="G12" s="67">
        <v>0</v>
      </c>
      <c r="H12" s="66">
        <v>0</v>
      </c>
      <c r="I12" s="66">
        <v>0</v>
      </c>
      <c r="J12" s="66">
        <v>0</v>
      </c>
      <c r="K12" s="68">
        <v>0</v>
      </c>
      <c r="L12" s="77" t="str">
        <f>+'3 DIARQCO'!L31</f>
        <v xml:space="preserve">El proponente cumple con  los indicadores  establecidos en las reglas de  participación  de conformidad con lo estabecido en el numeral 4.3 4.3. REQUISITOS MÍNIMOS HABILITANTES FINANCIEROS Y CAPACIDAD ORGANIZACIONAL de las reglas de participación </v>
      </c>
      <c r="M12" s="69" t="str">
        <f>+'3 DIARQCO'!I45</f>
        <v>CUMPLE</v>
      </c>
      <c r="N12" s="70" t="s">
        <v>20</v>
      </c>
      <c r="O12" s="69" t="str">
        <f>'[2]2. ACTIVOS SAS'!$I$45</f>
        <v>CUMPLE</v>
      </c>
    </row>
    <row r="13" spans="2:16" s="62" customFormat="1" ht="141" customHeight="1">
      <c r="B13" s="63">
        <v>4</v>
      </c>
      <c r="C13" s="64" t="str" cm="1">
        <f t="array" ref="C13:K13">+'4 INSOL '!C8:K8</f>
        <v>INGENIERIA Y SOLUCIONES INSOL SAS
N.I.T: 900.139.747-6</v>
      </c>
      <c r="D13" s="72">
        <v>0</v>
      </c>
      <c r="E13" s="65">
        <v>0</v>
      </c>
      <c r="F13" s="66">
        <v>0</v>
      </c>
      <c r="G13" s="67">
        <v>0</v>
      </c>
      <c r="H13" s="66">
        <v>0</v>
      </c>
      <c r="I13" s="66">
        <v>0</v>
      </c>
      <c r="J13" s="66">
        <v>0</v>
      </c>
      <c r="K13" s="68">
        <v>0</v>
      </c>
      <c r="L13" s="77" t="str">
        <f>+'4 INSOL '!L31</f>
        <v xml:space="preserve">El proponente cumple con  los indicadores  establecidos en las reglas de  participación  de conformidad con lo estabecido en el numeral 4.3 4.3. REQUISITOS MÍNIMOS HABILITANTES FINANCIEROS Y CAPACIDAD ORGANIZACIONAL de las reglas de participación </v>
      </c>
      <c r="M13" s="69" t="str">
        <f>+'4 INSOL '!I45</f>
        <v>CUMPLE</v>
      </c>
      <c r="N13" s="70" t="s">
        <v>21</v>
      </c>
      <c r="O13" s="69" t="str">
        <f>'[2]2. ACTIVOS SAS'!$I$45</f>
        <v>CUMPLE</v>
      </c>
    </row>
    <row r="14" spans="2:16" s="62" customFormat="1" ht="399" customHeight="1">
      <c r="B14" s="63">
        <v>5</v>
      </c>
      <c r="C14" s="64" t="str" cm="1">
        <f t="array" ref="C14:K14">+'5 CASTILLA Y LEON'!C8:K8</f>
        <v>CONSTRUCCION Y MANTENIMIENTO CASTILLA Y LEON G&amp;G S.L    NIT:830.108.787 - 4</v>
      </c>
      <c r="D14" s="72">
        <v>0</v>
      </c>
      <c r="E14" s="65">
        <v>0</v>
      </c>
      <c r="F14" s="66">
        <v>0</v>
      </c>
      <c r="G14" s="67">
        <v>0</v>
      </c>
      <c r="H14" s="66">
        <v>0</v>
      </c>
      <c r="I14" s="66">
        <v>0</v>
      </c>
      <c r="J14" s="66">
        <v>0</v>
      </c>
      <c r="K14" s="68">
        <v>0</v>
      </c>
      <c r="L14" s="77" t="str">
        <f>+'5 CASTILLA Y LEON'!L31</f>
        <v xml:space="preserve">El proponente cumple con  los indicadores  establecidos en las reglas de  participación  de conformidad con lo estabecido en el numeral 4.3 REQUISITOS MÍNIMOS HABILITANTES FINANCIEROS Y CAPACIDAD ORGANIZACIONAL de las reglas de participación </v>
      </c>
      <c r="M14" s="69" t="str">
        <f>+'5 CASTILLA Y LEON'!I45</f>
        <v>CUMPLE</v>
      </c>
      <c r="N14" s="70" t="s">
        <v>22</v>
      </c>
      <c r="O14" s="171" t="s">
        <v>23</v>
      </c>
    </row>
    <row r="15" spans="2:16" s="62" customFormat="1" ht="219" customHeight="1">
      <c r="B15" s="63">
        <v>6</v>
      </c>
      <c r="C15" s="64" t="str">
        <f>+'6 UNINGECOL'!C8</f>
        <v>UNINGECOL S A    NIT: 900.176.059 - 4</v>
      </c>
      <c r="D15" s="72"/>
      <c r="E15" s="65"/>
      <c r="F15" s="66"/>
      <c r="G15" s="67"/>
      <c r="H15" s="66"/>
      <c r="I15" s="66"/>
      <c r="J15" s="66"/>
      <c r="K15" s="68"/>
      <c r="L15" s="77" t="str">
        <f>+'6 UNINGECOL'!L31</f>
        <v xml:space="preserve">El proponente cumple con  los indicadores  establecidos en las reglas de  participación  de conformidad con lo estabecido en el numeral 4.3 REQUISITOS MÍNIMOS HABILITANTES FINANCIEROS Y CAPACIDAD ORGANIZACIONAL de las reglas de participación </v>
      </c>
      <c r="M15" s="69" t="str">
        <f>+'6 UNINGECOL'!I45</f>
        <v>CUMPLE</v>
      </c>
      <c r="N15" s="70" t="s">
        <v>24</v>
      </c>
      <c r="O15" s="171" t="s">
        <v>23</v>
      </c>
    </row>
    <row r="16" spans="2:16" s="62" customFormat="1" ht="103.5" customHeight="1">
      <c r="B16" s="63">
        <v>7</v>
      </c>
      <c r="C16" s="64" t="str">
        <f>+'7 CONSORCIO FONDO NACIONAL'!D5</f>
        <v xml:space="preserve">CONSORCIO FONDO NACIONAL </v>
      </c>
      <c r="D16" s="72"/>
      <c r="E16" s="65"/>
      <c r="F16" s="66"/>
      <c r="G16" s="67"/>
      <c r="H16" s="66"/>
      <c r="I16" s="66"/>
      <c r="J16" s="66"/>
      <c r="K16" s="68"/>
      <c r="L16" s="77" t="str">
        <f>+'7 CONSORCIO FONDO NACIONAL'!L31</f>
        <v xml:space="preserve">El proponente cumple con  los indicadores  establecidos en las reglas de  participación  de conformidad con lo estabecido en el numeral 4.3 REQUISITOS MÍNIMOS HABILITANTES FINANCIEROS Y CAPACIDAD ORGANIZACIONAL de las reglas de participación </v>
      </c>
      <c r="M16" s="69" t="str">
        <f>+'7 CONSORCIO FONDO NACIONAL'!I45</f>
        <v>CUMPLE</v>
      </c>
      <c r="N16" s="70" t="s">
        <v>20</v>
      </c>
      <c r="O16" s="69" t="str">
        <f>'[2]2. ACTIVOS SAS'!$I$45</f>
        <v>CUMPLE</v>
      </c>
    </row>
    <row r="17" spans="2:18" s="62" customFormat="1" ht="103.5" customHeight="1">
      <c r="B17" s="63">
        <v>8</v>
      </c>
      <c r="C17" s="64" t="str" cm="1">
        <f t="array" ref="C17:J17">+'8 CONSORCIO 2024 FNA'!D5:K5</f>
        <v>CONSORCIO 2024 FNA</v>
      </c>
      <c r="D17" s="72">
        <v>0</v>
      </c>
      <c r="E17" s="65">
        <v>0</v>
      </c>
      <c r="F17" s="66">
        <v>0</v>
      </c>
      <c r="G17" s="67">
        <v>0</v>
      </c>
      <c r="H17" s="66">
        <v>0</v>
      </c>
      <c r="I17" s="66">
        <v>0</v>
      </c>
      <c r="J17" s="66">
        <v>0</v>
      </c>
      <c r="K17" s="68"/>
      <c r="L17" s="77" t="str">
        <f>+'8 CONSORCIO 2024 FNA'!L31</f>
        <v xml:space="preserve">El proponente cumple con  los indicadores  establecidos en las reglas de  participación  de conformidad con lo estabecido en el numeral 4.3 REQUISITOS MÍNIMOS HABILITANTES FINANCIEROS Y CAPACIDAD ORGANIZACIONAL de las reglas de participación </v>
      </c>
      <c r="M17" s="69" t="str">
        <f>+'8 CONSORCIO 2024 FNA'!I45</f>
        <v>CUMPLE</v>
      </c>
      <c r="N17" s="70" t="s">
        <v>20</v>
      </c>
      <c r="O17" s="69" t="str">
        <f>'[2]2. ACTIVOS SAS'!$I$45</f>
        <v>CUMPLE</v>
      </c>
    </row>
    <row r="18" spans="2:18" s="62" customFormat="1" ht="103.5" customHeight="1">
      <c r="B18" s="63">
        <v>9</v>
      </c>
      <c r="C18" s="64" t="str" cm="1">
        <f t="array" ref="C18:J18">+'9 INGEBYP'!D5:K5</f>
        <v>INGEBYP SAS</v>
      </c>
      <c r="D18" s="72">
        <v>0</v>
      </c>
      <c r="E18" s="65">
        <v>0</v>
      </c>
      <c r="F18" s="66">
        <v>0</v>
      </c>
      <c r="G18" s="67">
        <v>0</v>
      </c>
      <c r="H18" s="66">
        <v>0</v>
      </c>
      <c r="I18" s="66">
        <v>0</v>
      </c>
      <c r="J18" s="66">
        <v>0</v>
      </c>
      <c r="K18" s="68"/>
      <c r="L18" s="77" t="str">
        <f>+'9 INGEBYP'!L31</f>
        <v xml:space="preserve">El proponente cumple con  los indicadores  establecidos en las reglas de  participación  de conformidad con lo estabecido en el numeral 4.3 REQUISITOS MÍNIMOS HABILITANTES FINANCIEROS Y CAPACIDAD ORGANIZACIONAL de las reglas de participación </v>
      </c>
      <c r="M18" s="69" t="str">
        <f>+'9 INGEBYP'!I45</f>
        <v>CUMPLE</v>
      </c>
      <c r="N18" s="70" t="s">
        <v>20</v>
      </c>
      <c r="O18" s="69" t="str">
        <f>'[2]2. ACTIVOS SAS'!$I$45</f>
        <v>CUMPLE</v>
      </c>
    </row>
    <row r="19" spans="2:18" s="62" customFormat="1" ht="103.5" customHeight="1">
      <c r="B19" s="63">
        <v>10</v>
      </c>
      <c r="C19" s="64" t="str" cm="1">
        <f t="array" ref="C19:K19">+'10 CONS OMNIA'!C8:K8</f>
        <v>CONSORCIO OMNIA</v>
      </c>
      <c r="D19" s="72">
        <v>0</v>
      </c>
      <c r="E19" s="65">
        <v>0</v>
      </c>
      <c r="F19" s="66">
        <v>0</v>
      </c>
      <c r="G19" s="67">
        <v>0</v>
      </c>
      <c r="H19" s="66">
        <v>0</v>
      </c>
      <c r="I19" s="66">
        <v>0</v>
      </c>
      <c r="J19" s="66">
        <v>0</v>
      </c>
      <c r="K19" s="68">
        <v>0</v>
      </c>
      <c r="L19" s="77" t="str">
        <f>+'10 CONS OMNIA'!L32</f>
        <v xml:space="preserve">El proponente cumple con  los indicadores  establecidos en las reglas de  participación  de conformidad con lo estabecido en el numeral 4.3 4.3. REQUISITOS MÍNIMOS HABILITANTES FINANCIEROS Y CAPACIDAD ORGANIZACIONAL de las reglas de participación </v>
      </c>
      <c r="M19" s="69" t="str">
        <f>+'10 CONS OMNIA'!I46</f>
        <v>CUMPLE</v>
      </c>
      <c r="N19" s="70" t="s">
        <v>25</v>
      </c>
      <c r="O19" s="171" t="s">
        <v>23</v>
      </c>
    </row>
    <row r="20" spans="2:18" s="71" customFormat="1" ht="28.5" customHeight="1"/>
    <row r="21" spans="2:18" ht="152.25" customHeight="1">
      <c r="B21" s="185" t="s">
        <v>26</v>
      </c>
      <c r="C21" s="192" t="s">
        <v>27</v>
      </c>
      <c r="D21" s="193"/>
      <c r="E21" s="193"/>
      <c r="F21" s="193"/>
      <c r="G21" s="193"/>
      <c r="H21" s="193"/>
      <c r="I21" s="193"/>
      <c r="J21" s="193"/>
      <c r="K21" s="193"/>
      <c r="L21" s="193"/>
      <c r="M21" s="196" t="s">
        <v>28</v>
      </c>
      <c r="N21" s="196"/>
      <c r="O21" s="196"/>
      <c r="P21" s="187"/>
      <c r="Q21" s="187"/>
      <c r="R21" s="187"/>
    </row>
    <row r="22" spans="2:18" ht="78" customHeight="1">
      <c r="B22" s="186"/>
      <c r="C22" s="194"/>
      <c r="D22" s="195"/>
      <c r="E22" s="195"/>
      <c r="F22" s="195"/>
      <c r="G22" s="195"/>
      <c r="H22" s="195"/>
      <c r="I22" s="195"/>
      <c r="J22" s="195"/>
      <c r="K22" s="195"/>
      <c r="L22" s="195"/>
      <c r="M22" s="196"/>
      <c r="N22" s="196"/>
      <c r="O22" s="196"/>
      <c r="P22" s="187"/>
      <c r="Q22" s="187"/>
      <c r="R22" s="187"/>
    </row>
    <row r="33" spans="10:11">
      <c r="J33" s="73"/>
      <c r="K33" s="73"/>
    </row>
    <row r="34" spans="10:11">
      <c r="J34" s="73"/>
      <c r="K34" s="73"/>
    </row>
  </sheetData>
  <sheetProtection selectLockedCells="1" selectUnlockedCells="1"/>
  <mergeCells count="12">
    <mergeCell ref="B1:C1"/>
    <mergeCell ref="D1:O1"/>
    <mergeCell ref="B3:O3"/>
    <mergeCell ref="B5:C5"/>
    <mergeCell ref="D5:K5"/>
    <mergeCell ref="L5:O5"/>
    <mergeCell ref="B7:C7"/>
    <mergeCell ref="B8:O8"/>
    <mergeCell ref="C21:L22"/>
    <mergeCell ref="M21:O22"/>
    <mergeCell ref="B6:C6"/>
    <mergeCell ref="D6:O6"/>
  </mergeCells>
  <pageMargins left="0.70866141732283472" right="0.70866141732283472" top="0.74803149606299213" bottom="0.74803149606299213" header="0.31496062992125984" footer="0.31496062992125984"/>
  <pageSetup scale="1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4C7CA-90F8-48BB-A3FA-174C0AF97454}">
  <sheetPr>
    <tabColor rgb="FF92D050"/>
    <pageSetUpPr fitToPage="1"/>
  </sheetPr>
  <dimension ref="A1:AZ48"/>
  <sheetViews>
    <sheetView topLeftCell="A45" zoomScale="55" zoomScaleNormal="55" zoomScaleSheetLayoutView="50" workbookViewId="0">
      <selection activeCell="L31" sqref="L31:L44"/>
    </sheetView>
  </sheetViews>
  <sheetFormatPr baseColWidth="10" defaultColWidth="11.42578125" defaultRowHeight="16.5"/>
  <cols>
    <col min="1" max="1" width="16" style="2" customWidth="1"/>
    <col min="2" max="2" width="25.42578125" style="2" customWidth="1"/>
    <col min="3" max="3" width="43.42578125" style="2" customWidth="1"/>
    <col min="4" max="4" width="28.28515625" style="2" customWidth="1"/>
    <col min="5" max="5" width="26.140625" style="2" customWidth="1"/>
    <col min="6" max="6" width="32.42578125" style="2" customWidth="1"/>
    <col min="7" max="7" width="29.5703125" style="2" hidden="1" customWidth="1"/>
    <col min="8" max="8" width="32.42578125" style="2" hidden="1" customWidth="1"/>
    <col min="9" max="9" width="33.85546875" style="2" customWidth="1"/>
    <col min="10" max="10" width="23.28515625" style="2" customWidth="1"/>
    <col min="11" max="11" width="28.42578125" style="2" customWidth="1"/>
    <col min="12" max="12" width="33.28515625" style="2" customWidth="1"/>
    <col min="13" max="13" width="11.42578125" style="3" hidden="1" customWidth="1"/>
    <col min="14" max="14" width="15.7109375" style="14" customWidth="1"/>
    <col min="15" max="15" width="41.7109375" style="14" customWidth="1"/>
    <col min="16" max="16" width="23.28515625" style="14" customWidth="1"/>
    <col min="17" max="17" width="11.42578125" style="14" customWidth="1"/>
    <col min="18" max="18" width="11.42578125" style="2"/>
    <col min="19" max="19" width="53.7109375" style="2" customWidth="1"/>
    <col min="20" max="16384" width="11.42578125" style="2"/>
  </cols>
  <sheetData>
    <row r="1" spans="1:17" ht="85.5" customHeight="1" thickBot="1">
      <c r="A1" s="1">
        <v>1</v>
      </c>
      <c r="C1" s="214" t="s">
        <v>29</v>
      </c>
      <c r="D1" s="215"/>
      <c r="E1" s="215"/>
      <c r="F1" s="215"/>
      <c r="G1" s="215"/>
      <c r="H1" s="215"/>
      <c r="I1" s="215"/>
      <c r="J1" s="215"/>
      <c r="K1" s="216"/>
      <c r="L1" s="39"/>
      <c r="N1" s="3"/>
      <c r="O1" s="3"/>
      <c r="P1" s="3"/>
      <c r="Q1" s="3"/>
    </row>
    <row r="2" spans="1:17" ht="16.5" customHeight="1" thickBot="1">
      <c r="A2" s="4"/>
      <c r="B2" s="5"/>
      <c r="C2" s="5"/>
      <c r="D2" s="5"/>
      <c r="E2" s="5"/>
      <c r="F2" s="5"/>
      <c r="G2" s="5"/>
      <c r="H2" s="5"/>
      <c r="I2" s="5"/>
      <c r="J2" s="5"/>
      <c r="K2" s="5"/>
      <c r="L2" s="5"/>
      <c r="N2" s="3"/>
      <c r="O2" s="3"/>
      <c r="P2" s="3"/>
      <c r="Q2" s="3"/>
    </row>
    <row r="3" spans="1:17" ht="54.75" customHeight="1" thickBot="1">
      <c r="A3" s="4"/>
      <c r="B3" s="4"/>
      <c r="C3" s="80" t="s">
        <v>2</v>
      </c>
      <c r="D3" s="217" t="str">
        <f>+'CONSOLIDADO FINANCIERO'!L5</f>
        <v>REALIZAR LAS REPARACIONES LOCATIVAS DE LA INFRAESTRUCTURA FÍSICA DE LA SEDE PRINCIPAL - CNA DEL FONDO NACIONAL DEL AHORRO S.A.</v>
      </c>
      <c r="E3" s="218"/>
      <c r="F3" s="218"/>
      <c r="G3" s="218"/>
      <c r="H3" s="218"/>
      <c r="I3" s="218"/>
      <c r="J3" s="218"/>
      <c r="K3" s="219"/>
      <c r="L3" s="40"/>
      <c r="N3" s="3"/>
      <c r="O3" s="3"/>
      <c r="P3" s="3"/>
      <c r="Q3" s="3"/>
    </row>
    <row r="4" spans="1:17" ht="36.75" customHeight="1">
      <c r="A4" s="4"/>
      <c r="B4" s="4"/>
      <c r="C4" s="7" t="s">
        <v>4</v>
      </c>
      <c r="D4" s="220" t="str">
        <f>+'CONSOLIDADO FINANCIERO'!D6</f>
        <v>FNA-VGHA-CP-015-2024</v>
      </c>
      <c r="E4" s="220"/>
      <c r="F4" s="220"/>
      <c r="G4" s="220"/>
      <c r="H4" s="220"/>
      <c r="I4" s="220"/>
      <c r="J4" s="220"/>
      <c r="K4" s="221"/>
      <c r="L4" s="40"/>
      <c r="N4" s="3"/>
      <c r="O4" s="3"/>
      <c r="P4" s="3"/>
      <c r="Q4" s="3"/>
    </row>
    <row r="5" spans="1:17" ht="35.25" customHeight="1" thickBot="1">
      <c r="A5" s="4"/>
      <c r="B5" s="4"/>
      <c r="C5" s="8" t="s">
        <v>30</v>
      </c>
      <c r="D5" s="222">
        <f>+'CONSOLIDADO FINANCIERO'!L7</f>
        <v>5282931966</v>
      </c>
      <c r="E5" s="222"/>
      <c r="F5" s="222"/>
      <c r="G5" s="222"/>
      <c r="H5" s="222"/>
      <c r="I5" s="222"/>
      <c r="J5" s="222"/>
      <c r="K5" s="223"/>
      <c r="L5" s="40"/>
      <c r="N5" s="3"/>
      <c r="O5" s="3"/>
      <c r="P5" s="3"/>
      <c r="Q5" s="3"/>
    </row>
    <row r="6" spans="1:17" ht="16.5" customHeight="1" thickBot="1">
      <c r="A6" s="4"/>
      <c r="B6" s="4"/>
      <c r="C6" s="9"/>
      <c r="D6" s="10"/>
      <c r="E6" s="10"/>
      <c r="F6" s="10"/>
      <c r="G6" s="10"/>
      <c r="H6" s="10"/>
      <c r="I6" s="10"/>
      <c r="J6" s="10"/>
      <c r="K6" s="10"/>
      <c r="L6" s="40"/>
      <c r="N6" s="3"/>
      <c r="O6" s="3"/>
      <c r="P6" s="3"/>
      <c r="Q6" s="3"/>
    </row>
    <row r="7" spans="1:17" ht="60" customHeight="1" thickBot="1">
      <c r="A7" s="4"/>
      <c r="B7" s="4"/>
      <c r="C7" s="224" t="s">
        <v>31</v>
      </c>
      <c r="D7" s="225"/>
      <c r="E7" s="225"/>
      <c r="F7" s="225"/>
      <c r="G7" s="225"/>
      <c r="H7" s="225"/>
      <c r="I7" s="225"/>
      <c r="J7" s="225"/>
      <c r="K7" s="226"/>
      <c r="L7" s="40"/>
      <c r="N7" s="3"/>
      <c r="O7" s="3"/>
      <c r="P7" s="3"/>
      <c r="Q7" s="3"/>
    </row>
    <row r="8" spans="1:17" ht="42.75" customHeight="1" thickBot="1">
      <c r="A8" s="4"/>
      <c r="B8" s="4"/>
      <c r="C8" s="227" t="s">
        <v>32</v>
      </c>
      <c r="D8" s="228"/>
      <c r="E8" s="228"/>
      <c r="F8" s="228"/>
      <c r="G8" s="228"/>
      <c r="H8" s="228"/>
      <c r="I8" s="228"/>
      <c r="J8" s="228"/>
      <c r="K8" s="229"/>
      <c r="L8" s="40"/>
      <c r="N8" s="3"/>
      <c r="O8" s="3"/>
      <c r="P8" s="3"/>
      <c r="Q8" s="3"/>
    </row>
    <row r="9" spans="1:17" ht="36.75" customHeight="1">
      <c r="A9" s="4"/>
      <c r="B9" s="4"/>
      <c r="C9" s="6" t="s">
        <v>33</v>
      </c>
      <c r="D9" s="234">
        <v>45643</v>
      </c>
      <c r="E9" s="234"/>
      <c r="F9" s="234"/>
      <c r="G9" s="234"/>
      <c r="H9" s="234"/>
      <c r="I9" s="234"/>
      <c r="J9" s="235"/>
      <c r="K9" s="236"/>
      <c r="L9" s="40"/>
      <c r="N9" s="3"/>
      <c r="O9" s="3"/>
      <c r="P9" s="3"/>
      <c r="Q9" s="3"/>
    </row>
    <row r="10" spans="1:17" ht="36.75" customHeight="1" thickBot="1">
      <c r="A10" s="4"/>
      <c r="B10" s="4"/>
      <c r="C10" s="7" t="s">
        <v>34</v>
      </c>
      <c r="D10" s="230">
        <v>45617</v>
      </c>
      <c r="E10" s="230"/>
      <c r="F10" s="230"/>
      <c r="G10" s="230"/>
      <c r="H10" s="230"/>
      <c r="I10" s="230"/>
      <c r="J10" s="237" t="str">
        <f>IF(D10&gt;=O10,"CUMPLE","NO CUMPLE")</f>
        <v>CUMPLE</v>
      </c>
      <c r="K10" s="238"/>
      <c r="L10" s="41" t="s">
        <v>35</v>
      </c>
      <c r="M10" s="42">
        <f>IF(J10="CUMPLE",0,1)</f>
        <v>0</v>
      </c>
      <c r="N10" s="13">
        <f ca="1">+TODAY()-30</f>
        <v>45622</v>
      </c>
      <c r="O10" s="12">
        <f>+D9-30</f>
        <v>45613</v>
      </c>
      <c r="P10" s="3" t="s">
        <v>36</v>
      </c>
      <c r="Q10" s="3"/>
    </row>
    <row r="11" spans="1:17" ht="36.75" customHeight="1" thickBot="1">
      <c r="A11" s="4"/>
      <c r="B11" s="4"/>
      <c r="C11" s="7" t="s">
        <v>37</v>
      </c>
      <c r="D11" s="230">
        <v>45377</v>
      </c>
      <c r="E11" s="230"/>
      <c r="F11" s="230"/>
      <c r="G11" s="230"/>
      <c r="H11" s="230"/>
      <c r="I11" s="230"/>
      <c r="J11" s="237" t="str">
        <f>IF(D10&gt;=O11,"CUMPLE","NO CUMPLE")</f>
        <v>CUMPLE</v>
      </c>
      <c r="K11" s="238"/>
      <c r="L11" s="41" t="s">
        <v>35</v>
      </c>
      <c r="M11" s="11">
        <f>IF(J11="CUMPLE",0,1)</f>
        <v>0</v>
      </c>
      <c r="N11" s="3"/>
      <c r="O11" s="13">
        <f>+D11+15</f>
        <v>45392</v>
      </c>
      <c r="P11" s="3" t="s">
        <v>38</v>
      </c>
      <c r="Q11" s="3"/>
    </row>
    <row r="12" spans="1:17" s="14" customFormat="1" ht="41.25" customHeight="1" thickBot="1">
      <c r="A12" s="4"/>
      <c r="B12" s="4"/>
      <c r="C12" s="8" t="s">
        <v>39</v>
      </c>
      <c r="D12" s="230">
        <v>45291</v>
      </c>
      <c r="E12" s="230"/>
      <c r="F12" s="230"/>
      <c r="G12" s="230"/>
      <c r="H12" s="230"/>
      <c r="I12" s="230"/>
      <c r="J12" s="231" t="str">
        <f>IF(D10&gt;=O12,"CUMPLE","NO CUMPLE")</f>
        <v>CUMPLE</v>
      </c>
      <c r="K12" s="232"/>
      <c r="L12" s="41" t="s">
        <v>35</v>
      </c>
      <c r="M12" s="11">
        <f>IF(J12="CUMPLE",0,1)</f>
        <v>0</v>
      </c>
      <c r="N12" s="3"/>
      <c r="O12" s="13">
        <f>+D12+15</f>
        <v>45306</v>
      </c>
      <c r="P12" s="3"/>
      <c r="Q12" s="3"/>
    </row>
    <row r="13" spans="1:17" ht="31.5" customHeight="1" thickBot="1">
      <c r="A13" s="4"/>
      <c r="B13" s="4"/>
      <c r="C13" s="233"/>
      <c r="D13" s="233"/>
      <c r="E13" s="233"/>
      <c r="F13" s="233"/>
      <c r="G13" s="233"/>
      <c r="H13" s="233"/>
      <c r="I13" s="233"/>
      <c r="J13" s="233"/>
      <c r="K13" s="233"/>
      <c r="L13" s="41"/>
      <c r="N13" s="3"/>
      <c r="O13" s="3"/>
      <c r="P13" s="3"/>
      <c r="Q13" s="3"/>
    </row>
    <row r="14" spans="1:17" ht="37.5" hidden="1" customHeight="1" thickBot="1">
      <c r="A14" s="4"/>
      <c r="B14" s="4"/>
      <c r="C14" s="227"/>
      <c r="D14" s="228"/>
      <c r="E14" s="228"/>
      <c r="F14" s="228"/>
      <c r="G14" s="228"/>
      <c r="H14" s="228"/>
      <c r="I14" s="228"/>
      <c r="J14" s="228"/>
      <c r="K14" s="229"/>
      <c r="L14" s="41"/>
      <c r="N14" s="3"/>
      <c r="O14" s="3"/>
      <c r="P14" s="3"/>
      <c r="Q14" s="3"/>
    </row>
    <row r="15" spans="1:17" ht="36.75" hidden="1" customHeight="1">
      <c r="A15" s="4"/>
      <c r="B15" s="4"/>
      <c r="C15" s="6" t="s">
        <v>33</v>
      </c>
      <c r="D15" s="234">
        <v>45638</v>
      </c>
      <c r="E15" s="234"/>
      <c r="F15" s="234"/>
      <c r="G15" s="234"/>
      <c r="H15" s="234"/>
      <c r="I15" s="234"/>
      <c r="J15" s="235"/>
      <c r="K15" s="236"/>
      <c r="L15" s="41"/>
      <c r="N15" s="3"/>
      <c r="O15" s="3"/>
      <c r="P15" s="3"/>
      <c r="Q15" s="3"/>
    </row>
    <row r="16" spans="1:17" ht="36.75" hidden="1" customHeight="1">
      <c r="A16" s="4"/>
      <c r="B16" s="4"/>
      <c r="C16" s="7" t="s">
        <v>34</v>
      </c>
      <c r="D16" s="239">
        <v>45616</v>
      </c>
      <c r="E16" s="239"/>
      <c r="F16" s="239"/>
      <c r="G16" s="239"/>
      <c r="H16" s="239"/>
      <c r="I16" s="239"/>
      <c r="J16" s="237" t="str">
        <f>IF(D16&gt;=O16,"CUMPLE","NO CUMPLE")</f>
        <v>CUMPLE</v>
      </c>
      <c r="K16" s="238"/>
      <c r="L16" s="41" t="s">
        <v>35</v>
      </c>
      <c r="M16" s="11">
        <f>IF(J16="CUMPLE",0,1)</f>
        <v>0</v>
      </c>
      <c r="N16" s="3"/>
      <c r="O16" s="12">
        <f>+D15-30</f>
        <v>45608</v>
      </c>
      <c r="P16" s="3" t="s">
        <v>36</v>
      </c>
      <c r="Q16" s="3"/>
    </row>
    <row r="17" spans="1:19" ht="36.75" hidden="1" customHeight="1">
      <c r="A17" s="4"/>
      <c r="B17" s="4"/>
      <c r="C17" s="7" t="s">
        <v>37</v>
      </c>
      <c r="D17" s="239">
        <v>45416</v>
      </c>
      <c r="E17" s="239"/>
      <c r="F17" s="239"/>
      <c r="G17" s="239"/>
      <c r="H17" s="239"/>
      <c r="I17" s="239"/>
      <c r="J17" s="237" t="str">
        <f>IF(D16&gt;=O17,"CUMPLE","NO CUMPLE")</f>
        <v>CUMPLE</v>
      </c>
      <c r="K17" s="238"/>
      <c r="L17" s="41" t="s">
        <v>35</v>
      </c>
      <c r="M17" s="11">
        <f>IF(J17="CUMPLE",0,1)</f>
        <v>0</v>
      </c>
      <c r="N17" s="3"/>
      <c r="O17" s="13">
        <f>+D17+15</f>
        <v>45431</v>
      </c>
      <c r="P17" s="3" t="s">
        <v>38</v>
      </c>
      <c r="Q17" s="3"/>
    </row>
    <row r="18" spans="1:19" s="14" customFormat="1" ht="36" hidden="1" customHeight="1" thickBot="1">
      <c r="A18" s="4"/>
      <c r="B18" s="4"/>
      <c r="C18" s="8" t="s">
        <v>39</v>
      </c>
      <c r="D18" s="230">
        <v>45291</v>
      </c>
      <c r="E18" s="230"/>
      <c r="F18" s="230"/>
      <c r="G18" s="230"/>
      <c r="H18" s="230"/>
      <c r="I18" s="230"/>
      <c r="J18" s="231" t="str">
        <f>IF(D16&gt;=O18,"CUMPLE","NO CUMPLE")</f>
        <v>CUMPLE</v>
      </c>
      <c r="K18" s="232"/>
      <c r="L18" s="41" t="s">
        <v>35</v>
      </c>
      <c r="M18" s="11">
        <f>IF(J18="CUMPLE",0,1)</f>
        <v>0</v>
      </c>
      <c r="N18" s="3"/>
      <c r="O18" s="13">
        <f>+D18+15</f>
        <v>45306</v>
      </c>
      <c r="P18" s="3"/>
      <c r="Q18" s="3"/>
    </row>
    <row r="19" spans="1:19" ht="13.5" hidden="1" customHeight="1">
      <c r="B19" s="4"/>
      <c r="C19" s="15"/>
      <c r="D19" s="16"/>
      <c r="E19" s="16"/>
      <c r="F19" s="17"/>
      <c r="G19" s="16"/>
      <c r="H19" s="16"/>
      <c r="I19" s="16"/>
      <c r="J19" s="18"/>
      <c r="K19" s="19"/>
      <c r="L19" s="40"/>
      <c r="M19" s="11"/>
      <c r="N19" s="3"/>
      <c r="O19" s="3"/>
      <c r="P19" s="3"/>
      <c r="Q19" s="3"/>
    </row>
    <row r="20" spans="1:19" ht="31.5" hidden="1" customHeight="1" thickBot="1">
      <c r="A20" s="4"/>
      <c r="B20" s="4"/>
      <c r="C20" s="224"/>
      <c r="D20" s="225"/>
      <c r="E20" s="225"/>
      <c r="F20" s="225"/>
      <c r="G20" s="225"/>
      <c r="H20" s="225"/>
      <c r="I20" s="225"/>
      <c r="J20" s="225"/>
      <c r="K20" s="226"/>
      <c r="L20" s="41"/>
      <c r="N20" s="3"/>
      <c r="O20" s="3"/>
      <c r="P20" s="3"/>
      <c r="Q20" s="3"/>
    </row>
    <row r="21" spans="1:19" ht="5.0999999999999996" hidden="1" customHeight="1" thickBot="1">
      <c r="A21" s="4"/>
      <c r="B21" s="4"/>
      <c r="C21" s="9"/>
      <c r="D21" s="10"/>
      <c r="E21" s="10"/>
      <c r="F21" s="10"/>
      <c r="G21" s="10"/>
      <c r="H21" s="10"/>
      <c r="I21" s="10"/>
      <c r="J21" s="10"/>
      <c r="K21" s="10"/>
      <c r="L21" s="41"/>
      <c r="N21" s="3"/>
      <c r="O21" s="3"/>
      <c r="P21" s="3"/>
      <c r="Q21" s="3"/>
    </row>
    <row r="22" spans="1:19" ht="36.75" hidden="1" customHeight="1">
      <c r="A22" s="4"/>
      <c r="B22" s="4"/>
      <c r="C22" s="6" t="s">
        <v>33</v>
      </c>
      <c r="D22" s="234"/>
      <c r="E22" s="234"/>
      <c r="F22" s="234"/>
      <c r="G22" s="234"/>
      <c r="H22" s="234"/>
      <c r="I22" s="234"/>
      <c r="J22" s="235"/>
      <c r="K22" s="236"/>
      <c r="L22" s="41"/>
      <c r="N22" s="3"/>
      <c r="O22" s="3"/>
      <c r="P22" s="3"/>
      <c r="Q22" s="3"/>
    </row>
    <row r="23" spans="1:19" ht="36.75" hidden="1" customHeight="1">
      <c r="A23" s="4"/>
      <c r="B23" s="4"/>
      <c r="C23" s="7" t="s">
        <v>34</v>
      </c>
      <c r="D23" s="239"/>
      <c r="E23" s="239"/>
      <c r="F23" s="239"/>
      <c r="G23" s="239"/>
      <c r="H23" s="239"/>
      <c r="I23" s="239"/>
      <c r="J23" s="237"/>
      <c r="K23" s="237"/>
      <c r="L23" s="41" t="s">
        <v>35</v>
      </c>
      <c r="M23" s="11">
        <f>IF(J23="CUMPLE",0,1)</f>
        <v>1</v>
      </c>
      <c r="N23" s="3"/>
      <c r="O23" s="12">
        <f>+D22-30</f>
        <v>-30</v>
      </c>
      <c r="P23" s="3" t="s">
        <v>36</v>
      </c>
      <c r="Q23" s="3"/>
    </row>
    <row r="24" spans="1:19" ht="36.75" hidden="1" customHeight="1">
      <c r="A24" s="4"/>
      <c r="B24" s="4"/>
      <c r="C24" s="7" t="s">
        <v>37</v>
      </c>
      <c r="D24" s="239"/>
      <c r="E24" s="239"/>
      <c r="F24" s="240"/>
      <c r="G24" s="240"/>
      <c r="H24" s="240"/>
      <c r="I24" s="239"/>
      <c r="J24" s="237"/>
      <c r="K24" s="237"/>
      <c r="L24" s="41" t="s">
        <v>35</v>
      </c>
      <c r="M24" s="11">
        <f>IF(J24="CUMPLE",0,1)</f>
        <v>1</v>
      </c>
      <c r="N24" s="3"/>
      <c r="O24" s="13">
        <f>+D24+15</f>
        <v>15</v>
      </c>
      <c r="P24" s="3" t="s">
        <v>38</v>
      </c>
      <c r="Q24" s="3"/>
    </row>
    <row r="25" spans="1:19" s="14" customFormat="1" ht="36" hidden="1" customHeight="1" thickBot="1">
      <c r="A25" s="4"/>
      <c r="B25" s="4"/>
      <c r="C25" s="8" t="s">
        <v>39</v>
      </c>
      <c r="D25" s="230"/>
      <c r="E25" s="230"/>
      <c r="F25" s="230"/>
      <c r="G25" s="230"/>
      <c r="H25" s="230"/>
      <c r="I25" s="230"/>
      <c r="J25" s="237"/>
      <c r="K25" s="237"/>
      <c r="L25" s="41" t="s">
        <v>35</v>
      </c>
      <c r="M25" s="11">
        <f>IF(J25="CUMPLE",0,1)</f>
        <v>1</v>
      </c>
      <c r="N25" s="3"/>
      <c r="O25" s="13">
        <f>+D25+15</f>
        <v>15</v>
      </c>
      <c r="P25" s="3"/>
      <c r="Q25" s="3"/>
    </row>
    <row r="26" spans="1:19" ht="13.5" hidden="1" customHeight="1" thickBot="1">
      <c r="B26" s="4"/>
      <c r="C26" s="15"/>
      <c r="D26" s="16"/>
      <c r="E26" s="16"/>
      <c r="F26" s="17"/>
      <c r="G26" s="16"/>
      <c r="H26" s="16"/>
      <c r="I26" s="16"/>
      <c r="J26" s="18"/>
      <c r="K26" s="19"/>
      <c r="L26" s="40"/>
      <c r="M26" s="11"/>
      <c r="N26" s="3"/>
      <c r="O26" s="3"/>
      <c r="P26" s="3"/>
      <c r="Q26" s="3"/>
    </row>
    <row r="27" spans="1:19" ht="39" customHeight="1" thickBot="1">
      <c r="A27" s="4"/>
      <c r="B27" s="5"/>
      <c r="C27" s="241" t="s">
        <v>40</v>
      </c>
      <c r="D27" s="242"/>
      <c r="E27" s="242"/>
      <c r="F27" s="243"/>
      <c r="G27" s="242"/>
      <c r="H27" s="242"/>
      <c r="I27" s="242"/>
      <c r="J27" s="242"/>
      <c r="K27" s="244"/>
      <c r="L27" s="5"/>
      <c r="N27" s="3"/>
      <c r="O27" s="3"/>
      <c r="P27" s="3"/>
      <c r="Q27" s="3"/>
    </row>
    <row r="28" spans="1:19" ht="7.5" customHeight="1">
      <c r="A28" s="4"/>
      <c r="B28" s="5"/>
      <c r="C28" s="5"/>
      <c r="D28" s="5"/>
      <c r="E28" s="5"/>
      <c r="F28" s="20"/>
      <c r="G28" s="5"/>
      <c r="H28" s="5"/>
      <c r="I28" s="5"/>
      <c r="J28" s="5"/>
      <c r="K28" s="21"/>
      <c r="L28" s="5"/>
      <c r="N28" s="3"/>
      <c r="O28" s="3"/>
      <c r="P28" s="3"/>
      <c r="Q28" s="3"/>
    </row>
    <row r="29" spans="1:19" s="24" customFormat="1" ht="69" customHeight="1">
      <c r="A29" s="245" t="s">
        <v>41</v>
      </c>
      <c r="B29" s="245" t="s">
        <v>42</v>
      </c>
      <c r="C29" s="245" t="s">
        <v>43</v>
      </c>
      <c r="D29" s="245" t="s">
        <v>44</v>
      </c>
      <c r="E29" s="245" t="s">
        <v>45</v>
      </c>
      <c r="F29" s="23" t="str">
        <f>+C8</f>
        <v>LIMACOR MY S.A.S. 
900126632 1</v>
      </c>
      <c r="G29" s="22">
        <f>+C14</f>
        <v>0</v>
      </c>
      <c r="H29" s="22"/>
      <c r="I29" s="245" t="s">
        <v>46</v>
      </c>
      <c r="J29" s="245" t="s">
        <v>47</v>
      </c>
      <c r="K29" s="245" t="s">
        <v>48</v>
      </c>
      <c r="L29" s="246" t="s">
        <v>49</v>
      </c>
      <c r="M29" s="3"/>
      <c r="N29" s="3"/>
      <c r="O29" s="3"/>
      <c r="P29" s="3"/>
      <c r="Q29" s="3"/>
    </row>
    <row r="30" spans="1:19" s="24" customFormat="1" ht="27" customHeight="1">
      <c r="A30" s="245"/>
      <c r="B30" s="245"/>
      <c r="C30" s="245"/>
      <c r="D30" s="245"/>
      <c r="E30" s="245"/>
      <c r="F30" s="25">
        <v>1</v>
      </c>
      <c r="G30" s="26"/>
      <c r="H30" s="26"/>
      <c r="I30" s="245"/>
      <c r="J30" s="245"/>
      <c r="K30" s="245"/>
      <c r="L30" s="246"/>
      <c r="M30" s="3"/>
      <c r="N30" s="3"/>
      <c r="O30" s="3"/>
      <c r="P30" s="3"/>
      <c r="Q30" s="3"/>
    </row>
    <row r="31" spans="1:19" ht="33" customHeight="1">
      <c r="A31" s="247" t="s">
        <v>50</v>
      </c>
      <c r="B31" s="248" t="s">
        <v>51</v>
      </c>
      <c r="C31" s="249" t="s">
        <v>52</v>
      </c>
      <c r="D31" s="250">
        <f>'CONSOLIDADO FINANCIERO'!L7*25%</f>
        <v>1320732991.5</v>
      </c>
      <c r="E31" s="27" t="s">
        <v>53</v>
      </c>
      <c r="F31" s="74">
        <v>5348324277</v>
      </c>
      <c r="G31" s="74"/>
      <c r="H31" s="28"/>
      <c r="I31" s="251">
        <f>(F31-F32)+(G31-G32)</f>
        <v>2648479771</v>
      </c>
      <c r="J31" s="252" t="str">
        <f>IF(I31&gt;=D31,"CUMPLE","NO CUMPLE")</f>
        <v>CUMPLE</v>
      </c>
      <c r="K31" s="253" t="s">
        <v>54</v>
      </c>
      <c r="L31" s="254" t="s">
        <v>55</v>
      </c>
      <c r="M31" s="261">
        <f>IF(J31="CUMPLE",0,1)</f>
        <v>0</v>
      </c>
      <c r="N31" s="29"/>
      <c r="O31" s="3"/>
      <c r="P31" s="3"/>
      <c r="Q31" s="3"/>
      <c r="S31" s="46"/>
    </row>
    <row r="32" spans="1:19" ht="33" customHeight="1">
      <c r="A32" s="247"/>
      <c r="B32" s="248"/>
      <c r="C32" s="249"/>
      <c r="D32" s="250"/>
      <c r="E32" s="27" t="s">
        <v>56</v>
      </c>
      <c r="F32" s="74">
        <v>2699844506</v>
      </c>
      <c r="G32" s="74"/>
      <c r="H32" s="28"/>
      <c r="I32" s="251"/>
      <c r="J32" s="252"/>
      <c r="K32" s="253"/>
      <c r="L32" s="255"/>
      <c r="M32" s="261"/>
      <c r="N32" s="3"/>
      <c r="O32" s="3"/>
      <c r="P32" s="3"/>
      <c r="Q32" s="3"/>
      <c r="S32" s="46"/>
    </row>
    <row r="33" spans="1:52" ht="33" customHeight="1">
      <c r="A33" s="247" t="s">
        <v>50</v>
      </c>
      <c r="B33" s="248" t="str">
        <f>B31</f>
        <v>4.3.1 CAPACIDAD FINANCIERA</v>
      </c>
      <c r="C33" s="249" t="s">
        <v>10</v>
      </c>
      <c r="D33" s="262">
        <v>1.9</v>
      </c>
      <c r="E33" s="27" t="s">
        <v>53</v>
      </c>
      <c r="F33" s="75">
        <f>+F31</f>
        <v>5348324277</v>
      </c>
      <c r="G33" s="75"/>
      <c r="H33" s="43"/>
      <c r="I33" s="263">
        <f>+((F33*F30)+(G33*G30)+(H33*H30))/((F34*F30)+(G34*G30)+(H34*H30))</f>
        <v>1.980974928413155</v>
      </c>
      <c r="J33" s="264" t="str">
        <f>IF(I33&gt;=D33,"CUMPLE","NO CUMPLE")</f>
        <v>CUMPLE</v>
      </c>
      <c r="K33" s="253" t="s">
        <v>54</v>
      </c>
      <c r="L33" s="255"/>
      <c r="M33" s="261">
        <f>IF(J33="CUMPLE",0,1)</f>
        <v>0</v>
      </c>
      <c r="N33" s="3"/>
      <c r="O33" s="3"/>
      <c r="P33" s="3"/>
      <c r="Q33" s="3"/>
      <c r="S33" s="46"/>
    </row>
    <row r="34" spans="1:52" ht="33" customHeight="1">
      <c r="A34" s="247"/>
      <c r="B34" s="248"/>
      <c r="C34" s="249"/>
      <c r="D34" s="262"/>
      <c r="E34" s="27" t="s">
        <v>56</v>
      </c>
      <c r="F34" s="75">
        <f>+F32</f>
        <v>2699844506</v>
      </c>
      <c r="G34" s="75"/>
      <c r="H34" s="35"/>
      <c r="I34" s="263"/>
      <c r="J34" s="264"/>
      <c r="K34" s="257"/>
      <c r="L34" s="255"/>
      <c r="M34" s="261"/>
      <c r="N34" s="3"/>
      <c r="O34" s="3"/>
      <c r="P34" s="3"/>
      <c r="Q34" s="3"/>
    </row>
    <row r="35" spans="1:52" ht="33" customHeight="1">
      <c r="A35" s="247" t="s">
        <v>50</v>
      </c>
      <c r="B35" s="248" t="str">
        <f>B33</f>
        <v>4.3.1 CAPACIDAD FINANCIERA</v>
      </c>
      <c r="C35" s="249" t="s">
        <v>11</v>
      </c>
      <c r="D35" s="267">
        <v>0.6</v>
      </c>
      <c r="E35" s="30" t="s">
        <v>57</v>
      </c>
      <c r="F35" s="74">
        <v>3404978761</v>
      </c>
      <c r="G35" s="74"/>
      <c r="H35" s="35"/>
      <c r="I35" s="268">
        <f>((F35*F30)+(G35*G30)+(H35*H30))/((F36*F30)+(G36*G30)+(H36*H30))</f>
        <v>0.43012783695444062</v>
      </c>
      <c r="J35" s="264" t="str">
        <f>IF(I35&lt;=D35,"CUMPLE","NO CUMPLE")</f>
        <v>CUMPLE</v>
      </c>
      <c r="K35" s="253" t="s">
        <v>54</v>
      </c>
      <c r="L35" s="255"/>
      <c r="M35" s="261">
        <f>IF(J35="CUMPLE",0,1)</f>
        <v>0</v>
      </c>
      <c r="N35" s="3"/>
      <c r="O35" s="3"/>
      <c r="P35" s="3"/>
      <c r="Q35" s="3"/>
    </row>
    <row r="36" spans="1:52" ht="33" customHeight="1">
      <c r="A36" s="247"/>
      <c r="B36" s="248"/>
      <c r="C36" s="249"/>
      <c r="D36" s="267"/>
      <c r="E36" s="30" t="s">
        <v>58</v>
      </c>
      <c r="F36" s="74">
        <v>7916201809</v>
      </c>
      <c r="G36" s="74"/>
      <c r="H36" s="35"/>
      <c r="I36" s="268"/>
      <c r="J36" s="264"/>
      <c r="K36" s="257"/>
      <c r="L36" s="255"/>
      <c r="M36" s="261"/>
      <c r="N36" s="3"/>
      <c r="O36" s="3"/>
      <c r="P36" s="3"/>
      <c r="Q36" s="3"/>
    </row>
    <row r="37" spans="1:52" s="32" customFormat="1" ht="27.75" customHeight="1">
      <c r="A37" s="247" t="s">
        <v>50</v>
      </c>
      <c r="B37" s="248" t="str">
        <f>B35</f>
        <v>4.3.1 CAPACIDAD FINANCIERA</v>
      </c>
      <c r="C37" s="249" t="s">
        <v>12</v>
      </c>
      <c r="D37" s="265">
        <v>1.49</v>
      </c>
      <c r="E37" s="30" t="s">
        <v>59</v>
      </c>
      <c r="F37" s="74">
        <v>3251179053</v>
      </c>
      <c r="G37" s="74"/>
      <c r="H37" s="35"/>
      <c r="I37" s="266">
        <f>((F37*F30)+(G37*G30)+(H37*H30))/((F38*F30)+(G38*G30)+(H38*H30))</f>
        <v>11.913362608568326</v>
      </c>
      <c r="J37" s="264" t="str">
        <f>IF(I37&gt;=D37,"CUMPLE","NO CUMPLE")</f>
        <v>CUMPLE</v>
      </c>
      <c r="K37" s="258" t="s">
        <v>54</v>
      </c>
      <c r="L37" s="255"/>
      <c r="M37" s="261">
        <f>IF(J37="CUMPLE",0,1)</f>
        <v>0</v>
      </c>
      <c r="N37" s="31"/>
      <c r="O37" s="31"/>
      <c r="P37" s="31"/>
      <c r="Q37" s="31"/>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row>
    <row r="38" spans="1:52" s="32" customFormat="1" ht="27.75" customHeight="1">
      <c r="A38" s="247"/>
      <c r="B38" s="248"/>
      <c r="C38" s="249"/>
      <c r="D38" s="265"/>
      <c r="E38" s="30" t="s">
        <v>60</v>
      </c>
      <c r="F38" s="74">
        <v>272901880</v>
      </c>
      <c r="G38" s="74"/>
      <c r="H38" s="35"/>
      <c r="I38" s="266"/>
      <c r="J38" s="264"/>
      <c r="K38" s="258"/>
      <c r="L38" s="255"/>
      <c r="M38" s="261"/>
      <c r="N38" s="31"/>
      <c r="O38" s="31"/>
      <c r="P38" s="31"/>
      <c r="Q38" s="31"/>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row>
    <row r="39" spans="1:52" s="34" customFormat="1" ht="33" customHeight="1">
      <c r="A39" s="247" t="s">
        <v>61</v>
      </c>
      <c r="B39" s="248" t="s">
        <v>62</v>
      </c>
      <c r="C39" s="269" t="s">
        <v>13</v>
      </c>
      <c r="D39" s="270">
        <v>0.11</v>
      </c>
      <c r="E39" s="30" t="s">
        <v>63</v>
      </c>
      <c r="F39" s="75">
        <f>+F37</f>
        <v>3251179053</v>
      </c>
      <c r="G39" s="75"/>
      <c r="H39" s="33"/>
      <c r="I39" s="271">
        <f>((F39*F30)+(G39*G30)+(H39*H30))/((F40*F30)+(G40*G30)+(H40*H30))</f>
        <v>0.72068683335029815</v>
      </c>
      <c r="J39" s="264" t="str">
        <f>IF(I39&gt;=D39,"CUMPLE","NO CUMPLE")</f>
        <v>CUMPLE</v>
      </c>
      <c r="K39" s="258" t="s">
        <v>54</v>
      </c>
      <c r="L39" s="255"/>
      <c r="M39" s="261">
        <f>IF(J39="CUMPLE",0,1)</f>
        <v>0</v>
      </c>
      <c r="N39" s="3"/>
      <c r="O39" s="3"/>
      <c r="P39" s="3"/>
      <c r="Q39" s="3"/>
      <c r="R39" s="2"/>
    </row>
    <row r="40" spans="1:52" s="34" customFormat="1" ht="33" customHeight="1">
      <c r="A40" s="247"/>
      <c r="B40" s="248"/>
      <c r="C40" s="269"/>
      <c r="D40" s="270"/>
      <c r="E40" s="30" t="s">
        <v>64</v>
      </c>
      <c r="F40" s="74">
        <v>4511223048</v>
      </c>
      <c r="G40" s="74"/>
      <c r="H40" s="35"/>
      <c r="I40" s="271"/>
      <c r="J40" s="264"/>
      <c r="K40" s="258"/>
      <c r="L40" s="255"/>
      <c r="M40" s="261"/>
      <c r="N40" s="3"/>
      <c r="O40" s="3"/>
      <c r="P40" s="3"/>
      <c r="Q40" s="3"/>
      <c r="R40" s="2"/>
    </row>
    <row r="41" spans="1:52" s="34" customFormat="1" ht="33" customHeight="1">
      <c r="A41" s="247" t="s">
        <v>61</v>
      </c>
      <c r="B41" s="248" t="str">
        <f>+B39</f>
        <v>4.3.2 capacidad Organizacional</v>
      </c>
      <c r="C41" s="269" t="s">
        <v>65</v>
      </c>
      <c r="D41" s="270">
        <v>0.05</v>
      </c>
      <c r="E41" s="30" t="s">
        <v>63</v>
      </c>
      <c r="F41" s="75">
        <f>+F37</f>
        <v>3251179053</v>
      </c>
      <c r="G41" s="75"/>
      <c r="H41" s="35"/>
      <c r="I41" s="271">
        <f>((F41*F30)+(G41*G30)+(H41*H30))/((F42*F30)+(G42*G30)+(H42*H30))</f>
        <v>0.41069936459978895</v>
      </c>
      <c r="J41" s="264" t="str">
        <f>IF(I41&gt;=D41,"CUMPLE","NO CUMPLE")</f>
        <v>CUMPLE</v>
      </c>
      <c r="K41" s="258" t="s">
        <v>54</v>
      </c>
      <c r="L41" s="255"/>
      <c r="M41" s="261">
        <f>IF(J41="CUMPLE",0,1)</f>
        <v>0</v>
      </c>
      <c r="N41" s="3"/>
      <c r="O41" s="3"/>
      <c r="P41" s="3"/>
      <c r="Q41" s="3"/>
      <c r="R41" s="2"/>
    </row>
    <row r="42" spans="1:52" s="34" customFormat="1" ht="33" customHeight="1">
      <c r="A42" s="247"/>
      <c r="B42" s="248"/>
      <c r="C42" s="269"/>
      <c r="D42" s="270"/>
      <c r="E42" s="30" t="s">
        <v>66</v>
      </c>
      <c r="F42" s="75">
        <f>+F36</f>
        <v>7916201809</v>
      </c>
      <c r="G42" s="75"/>
      <c r="H42" s="35"/>
      <c r="I42" s="271"/>
      <c r="J42" s="264"/>
      <c r="K42" s="258"/>
      <c r="L42" s="255"/>
      <c r="M42" s="261"/>
      <c r="N42" s="3"/>
      <c r="O42" s="3"/>
      <c r="P42" s="3"/>
      <c r="Q42" s="3"/>
      <c r="R42" s="2"/>
    </row>
    <row r="43" spans="1:52" s="37" customFormat="1" ht="27.75" customHeight="1">
      <c r="A43" s="247" t="s">
        <v>50</v>
      </c>
      <c r="B43" s="248" t="str">
        <f>B31</f>
        <v>4.3.1 CAPACIDAD FINANCIERA</v>
      </c>
      <c r="C43" s="249" t="s">
        <v>67</v>
      </c>
      <c r="D43" s="278">
        <f>'CONSOLIDADO FINANCIERO'!L7*30%</f>
        <v>1584879589.8</v>
      </c>
      <c r="E43" s="30" t="s">
        <v>66</v>
      </c>
      <c r="F43" s="75">
        <f>+F36</f>
        <v>7916201809</v>
      </c>
      <c r="G43" s="75"/>
      <c r="H43" s="33"/>
      <c r="I43" s="279">
        <f>(F43-F44)+(G43-G44)</f>
        <v>4511223048</v>
      </c>
      <c r="J43" s="252" t="str">
        <f>IF(I43&gt;=D43,"CUMPLE","NO CUMPLE")</f>
        <v>CUMPLE</v>
      </c>
      <c r="K43" s="259" t="s">
        <v>54</v>
      </c>
      <c r="L43" s="255"/>
      <c r="M43" s="261">
        <f>IF(J43="CUMPLE",0,1)</f>
        <v>0</v>
      </c>
      <c r="N43" s="36"/>
      <c r="O43" s="31"/>
      <c r="P43" s="31"/>
      <c r="Q43" s="31"/>
    </row>
    <row r="44" spans="1:52" s="37" customFormat="1" ht="27.75" customHeight="1" thickBot="1">
      <c r="A44" s="247"/>
      <c r="B44" s="248"/>
      <c r="C44" s="249"/>
      <c r="D44" s="278"/>
      <c r="E44" s="44" t="s">
        <v>68</v>
      </c>
      <c r="F44" s="76">
        <f>+F35</f>
        <v>3404978761</v>
      </c>
      <c r="G44" s="76"/>
      <c r="H44" s="33"/>
      <c r="I44" s="280"/>
      <c r="J44" s="281"/>
      <c r="K44" s="260"/>
      <c r="L44" s="256"/>
      <c r="M44" s="261"/>
      <c r="N44" s="31"/>
      <c r="O44" s="31"/>
      <c r="P44" s="31"/>
      <c r="Q44" s="31"/>
    </row>
    <row r="45" spans="1:52" ht="34.5" customHeight="1" thickBot="1">
      <c r="A45" s="4"/>
      <c r="B45" s="4"/>
      <c r="C45" s="4"/>
      <c r="D45" s="4"/>
      <c r="E45" s="272" t="s">
        <v>69</v>
      </c>
      <c r="F45" s="273"/>
      <c r="G45" s="274"/>
      <c r="H45" s="38"/>
      <c r="I45" s="275" t="str">
        <f>IF(M45&gt;0,"NO CUMPLE","CUMPLE")</f>
        <v>CUMPLE</v>
      </c>
      <c r="J45" s="276"/>
      <c r="K45" s="277"/>
      <c r="L45" s="4"/>
      <c r="M45" s="81">
        <f>SUM(M31:M44)</f>
        <v>0</v>
      </c>
      <c r="N45" s="3"/>
      <c r="O45" s="3"/>
      <c r="P45" s="3"/>
      <c r="Q45" s="3"/>
    </row>
    <row r="46" spans="1:52">
      <c r="A46" s="4"/>
      <c r="B46" s="4"/>
      <c r="C46" s="4"/>
      <c r="D46" s="4"/>
      <c r="E46" s="38"/>
      <c r="F46" s="38"/>
      <c r="G46" s="38"/>
      <c r="H46" s="38"/>
      <c r="I46" s="38"/>
      <c r="J46" s="38"/>
      <c r="K46" s="38"/>
      <c r="L46" s="4"/>
      <c r="N46" s="3"/>
      <c r="O46" s="3"/>
      <c r="P46" s="3"/>
      <c r="Q46" s="3"/>
    </row>
    <row r="47" spans="1:52">
      <c r="A47" s="4"/>
      <c r="B47" s="4"/>
      <c r="C47" s="4"/>
      <c r="D47" s="4"/>
      <c r="E47" s="4"/>
      <c r="F47" s="4"/>
      <c r="G47" s="4"/>
      <c r="H47" s="4"/>
      <c r="I47" s="4"/>
      <c r="J47" s="4"/>
      <c r="K47" s="4"/>
      <c r="L47" s="4"/>
      <c r="N47" s="3"/>
      <c r="O47" s="3"/>
      <c r="P47" s="3"/>
      <c r="Q47" s="3"/>
    </row>
    <row r="48" spans="1:52">
      <c r="A48" s="4"/>
      <c r="B48" s="4"/>
      <c r="C48" s="4"/>
      <c r="D48" s="4"/>
      <c r="E48" s="4"/>
      <c r="F48" s="4"/>
      <c r="G48" s="4"/>
      <c r="H48" s="4"/>
      <c r="I48" s="4"/>
      <c r="J48" s="4"/>
      <c r="K48" s="4"/>
      <c r="L48" s="4"/>
      <c r="N48" s="3"/>
      <c r="O48" s="3"/>
      <c r="P48" s="3"/>
      <c r="Q48" s="3"/>
    </row>
  </sheetData>
  <sheetProtection algorithmName="SHA-512" hashValue="n2yPnsncPQpJslb+ZwnHu5uaqcwuH40mRArd6PIDTEtgoZNzGII++HzUy1VREAfQb6dFJqRYhQ91oiTXLZOyGQ==" saltValue="DYVAX6SE8Y9ddApwcJZwvA==" spinCount="100000" sheet="1" objects="1" scenarios="1"/>
  <mergeCells count="102">
    <mergeCell ref="M43:M44"/>
    <mergeCell ref="E45:G45"/>
    <mergeCell ref="I45:K45"/>
    <mergeCell ref="A43:A44"/>
    <mergeCell ref="B43:B44"/>
    <mergeCell ref="C43:C44"/>
    <mergeCell ref="D43:D44"/>
    <mergeCell ref="I43:I44"/>
    <mergeCell ref="J43:J44"/>
    <mergeCell ref="M39:M40"/>
    <mergeCell ref="A41:A42"/>
    <mergeCell ref="B41:B42"/>
    <mergeCell ref="C41:C42"/>
    <mergeCell ref="D41:D42"/>
    <mergeCell ref="I41:I42"/>
    <mergeCell ref="J41:J42"/>
    <mergeCell ref="K41:K42"/>
    <mergeCell ref="M41:M42"/>
    <mergeCell ref="A39:A40"/>
    <mergeCell ref="B39:B40"/>
    <mergeCell ref="C39:C40"/>
    <mergeCell ref="D39:D40"/>
    <mergeCell ref="I39:I40"/>
    <mergeCell ref="J39:J40"/>
    <mergeCell ref="M35:M36"/>
    <mergeCell ref="A37:A38"/>
    <mergeCell ref="B37:B38"/>
    <mergeCell ref="C37:C38"/>
    <mergeCell ref="D37:D38"/>
    <mergeCell ref="I37:I38"/>
    <mergeCell ref="J37:J38"/>
    <mergeCell ref="K37:K38"/>
    <mergeCell ref="M37:M38"/>
    <mergeCell ref="A35:A36"/>
    <mergeCell ref="B35:B36"/>
    <mergeCell ref="C35:C36"/>
    <mergeCell ref="D35:D36"/>
    <mergeCell ref="I35:I36"/>
    <mergeCell ref="J35:J36"/>
    <mergeCell ref="M31:M32"/>
    <mergeCell ref="A33:A34"/>
    <mergeCell ref="B33:B34"/>
    <mergeCell ref="C33:C34"/>
    <mergeCell ref="D33:D34"/>
    <mergeCell ref="I33:I34"/>
    <mergeCell ref="J33:J34"/>
    <mergeCell ref="K33:K34"/>
    <mergeCell ref="M33:M34"/>
    <mergeCell ref="L29:L30"/>
    <mergeCell ref="A31:A32"/>
    <mergeCell ref="B31:B32"/>
    <mergeCell ref="C31:C32"/>
    <mergeCell ref="D31:D32"/>
    <mergeCell ref="I31:I32"/>
    <mergeCell ref="J31:J32"/>
    <mergeCell ref="K31:K32"/>
    <mergeCell ref="L31:L44"/>
    <mergeCell ref="K35:K36"/>
    <mergeCell ref="K39:K40"/>
    <mergeCell ref="K43:K44"/>
    <mergeCell ref="D25:I25"/>
    <mergeCell ref="J25:K25"/>
    <mergeCell ref="C27:K27"/>
    <mergeCell ref="A29:A30"/>
    <mergeCell ref="B29:B30"/>
    <mergeCell ref="C29:C30"/>
    <mergeCell ref="D29:D30"/>
    <mergeCell ref="E29:E30"/>
    <mergeCell ref="I29:I30"/>
    <mergeCell ref="J29:J30"/>
    <mergeCell ref="K29:K30"/>
    <mergeCell ref="C20:K20"/>
    <mergeCell ref="D22:I22"/>
    <mergeCell ref="J22:K22"/>
    <mergeCell ref="D23:I23"/>
    <mergeCell ref="J23:K23"/>
    <mergeCell ref="D24:I24"/>
    <mergeCell ref="J24:K24"/>
    <mergeCell ref="D16:I16"/>
    <mergeCell ref="J16:K16"/>
    <mergeCell ref="D17:I17"/>
    <mergeCell ref="J17:K17"/>
    <mergeCell ref="D18:I18"/>
    <mergeCell ref="J18:K18"/>
    <mergeCell ref="C14:K14"/>
    <mergeCell ref="D15:I15"/>
    <mergeCell ref="J15:K15"/>
    <mergeCell ref="D9:I9"/>
    <mergeCell ref="J9:K9"/>
    <mergeCell ref="D10:I10"/>
    <mergeCell ref="J10:K10"/>
    <mergeCell ref="D11:I11"/>
    <mergeCell ref="J11:K11"/>
    <mergeCell ref="C1:K1"/>
    <mergeCell ref="D3:K3"/>
    <mergeCell ref="D4:K4"/>
    <mergeCell ref="D5:K5"/>
    <mergeCell ref="C7:K7"/>
    <mergeCell ref="C8:K8"/>
    <mergeCell ref="D12:I12"/>
    <mergeCell ref="J12:K12"/>
    <mergeCell ref="C13:K13"/>
  </mergeCells>
  <conditionalFormatting sqref="J10:J12">
    <cfRule type="cellIs" dxfId="315" priority="11" operator="equal">
      <formula>"CUMPLE"</formula>
    </cfRule>
  </conditionalFormatting>
  <conditionalFormatting sqref="J16:J18">
    <cfRule type="cellIs" dxfId="314" priority="1" operator="equal">
      <formula>"CUMPLE"</formula>
    </cfRule>
  </conditionalFormatting>
  <conditionalFormatting sqref="J23:J25">
    <cfRule type="cellIs" dxfId="313" priority="3" operator="equal">
      <formula>"CUMPLE"</formula>
    </cfRule>
  </conditionalFormatting>
  <conditionalFormatting sqref="J31:J44">
    <cfRule type="cellIs" dxfId="312" priority="6" operator="equal">
      <formula>"CUMPLE"</formula>
    </cfRule>
    <cfRule type="cellIs" dxfId="311" priority="7" operator="equal">
      <formula>"NO CUMPLE"</formula>
    </cfRule>
  </conditionalFormatting>
  <conditionalFormatting sqref="J19:K19">
    <cfRule type="cellIs" dxfId="310" priority="10" operator="equal">
      <formula>"CUMPLE"</formula>
    </cfRule>
  </conditionalFormatting>
  <conditionalFormatting sqref="J26:K26">
    <cfRule type="cellIs" dxfId="309" priority="2" operator="equal">
      <formula>"CUMPLE"</formula>
    </cfRule>
  </conditionalFormatting>
  <conditionalFormatting sqref="K31">
    <cfRule type="cellIs" dxfId="308" priority="20" operator="equal">
      <formula>"CUMPLE"</formula>
    </cfRule>
    <cfRule type="cellIs" dxfId="307" priority="21" operator="equal">
      <formula>"NO CUMPLE"</formula>
    </cfRule>
  </conditionalFormatting>
  <conditionalFormatting sqref="K33 K35 K39 K41">
    <cfRule type="cellIs" dxfId="306" priority="16" operator="equal">
      <formula>"CUMPLE"</formula>
    </cfRule>
    <cfRule type="cellIs" dxfId="305" priority="17" operator="equal">
      <formula>"NO CUMPLE"</formula>
    </cfRule>
  </conditionalFormatting>
  <conditionalFormatting sqref="K37">
    <cfRule type="cellIs" dxfId="304" priority="4" operator="equal">
      <formula>"CUMPLE"</formula>
    </cfRule>
    <cfRule type="cellIs" dxfId="303" priority="5" operator="equal">
      <formula>"NO CUMPLE"</formula>
    </cfRule>
  </conditionalFormatting>
  <conditionalFormatting sqref="K43">
    <cfRule type="cellIs" dxfId="302" priority="8" operator="equal">
      <formula>"CUMPLE"</formula>
    </cfRule>
    <cfRule type="cellIs" dxfId="301" priority="9" operator="equal">
      <formula>"NO CUMPLE"</formula>
    </cfRule>
  </conditionalFormatting>
  <conditionalFormatting sqref="M10:M12">
    <cfRule type="cellIs" dxfId="300" priority="14" operator="equal">
      <formula>"CUMPLE"</formula>
    </cfRule>
    <cfRule type="cellIs" dxfId="299" priority="15" operator="equal">
      <formula>"NO CUMPLE"</formula>
    </cfRule>
  </conditionalFormatting>
  <conditionalFormatting sqref="M16:M19 M23:M26">
    <cfRule type="cellIs" dxfId="298" priority="12" operator="equal">
      <formula>"CUMPLE"</formula>
    </cfRule>
    <cfRule type="cellIs" dxfId="297" priority="13" operator="equal">
      <formula>"NO CUMPLE"</formula>
    </cfRule>
  </conditionalFormatting>
  <conditionalFormatting sqref="M31 M33 M35 M37 M39 M41 M43">
    <cfRule type="cellIs" dxfId="296" priority="18" operator="equal">
      <formula>"CUMPLE"</formula>
    </cfRule>
    <cfRule type="cellIs" dxfId="295" priority="19" operator="equal">
      <formula>"NO CUMPLE"</formula>
    </cfRule>
  </conditionalFormatting>
  <pageMargins left="0.70866141732283472" right="0.70866141732283472" top="0.74803149606299213" bottom="0.74803149606299213" header="0.31496062992125984" footer="0.31496062992125984"/>
  <pageSetup scale="33" fitToHeight="0" orientation="landscape" r:id="rId1"/>
  <ignoredErrors>
    <ignoredError sqref="J35"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CBF52-7358-4348-8834-58E6B42D7A3B}">
  <sheetPr>
    <tabColor rgb="FF92D050"/>
  </sheetPr>
  <dimension ref="A1:BN145"/>
  <sheetViews>
    <sheetView showGridLines="0" view="pageBreakPreview" topLeftCell="A13" zoomScale="60" zoomScaleNormal="80" workbookViewId="0">
      <selection activeCell="F20" sqref="F20"/>
    </sheetView>
  </sheetViews>
  <sheetFormatPr baseColWidth="10" defaultColWidth="11.42578125" defaultRowHeight="15"/>
  <cols>
    <col min="2" max="2" width="8.5703125" customWidth="1"/>
    <col min="3" max="3" width="8" customWidth="1"/>
    <col min="4" max="4" width="23.85546875" bestFit="1" customWidth="1"/>
    <col min="5" max="5" width="64.140625" customWidth="1"/>
    <col min="6" max="6" width="19.140625" bestFit="1" customWidth="1"/>
    <col min="7" max="7" width="13.7109375" bestFit="1" customWidth="1"/>
    <col min="8" max="8" width="27" customWidth="1"/>
    <col min="9" max="10" width="32.140625" customWidth="1"/>
    <col min="11" max="11" width="22" customWidth="1"/>
    <col min="12" max="12" width="25.140625" customWidth="1"/>
    <col min="13" max="13" width="19.42578125" customWidth="1"/>
    <col min="14" max="14" width="20.7109375" customWidth="1"/>
    <col min="15" max="15" width="10.5703125" customWidth="1"/>
    <col min="16" max="16" width="20.7109375" customWidth="1"/>
    <col min="17" max="17" width="19.28515625" customWidth="1"/>
    <col min="18" max="18" width="20.28515625" customWidth="1"/>
    <col min="19" max="19" width="20.85546875" customWidth="1"/>
    <col min="20" max="20" width="22" customWidth="1"/>
    <col min="21" max="21" width="20.140625" bestFit="1" customWidth="1"/>
    <col min="22" max="22" width="18.5703125" bestFit="1" customWidth="1"/>
  </cols>
  <sheetData>
    <row r="1" spans="1:66" ht="15" customHeight="1">
      <c r="A1" s="330"/>
      <c r="B1" s="331"/>
      <c r="C1" s="331"/>
      <c r="D1" s="332"/>
      <c r="E1" s="339" t="s">
        <v>70</v>
      </c>
      <c r="F1" s="340"/>
      <c r="G1" s="340"/>
      <c r="H1" s="340"/>
      <c r="I1" s="340"/>
      <c r="J1" s="341"/>
    </row>
    <row r="2" spans="1:66">
      <c r="A2" s="333"/>
      <c r="B2" s="334"/>
      <c r="C2" s="334"/>
      <c r="D2" s="335"/>
      <c r="E2" s="342"/>
      <c r="F2" s="343"/>
      <c r="G2" s="343"/>
      <c r="H2" s="343"/>
      <c r="I2" s="343"/>
      <c r="J2" s="344"/>
    </row>
    <row r="3" spans="1:66">
      <c r="A3" s="333"/>
      <c r="B3" s="334"/>
      <c r="C3" s="334"/>
      <c r="D3" s="335"/>
      <c r="E3" s="342"/>
      <c r="F3" s="343"/>
      <c r="G3" s="343"/>
      <c r="H3" s="343"/>
      <c r="I3" s="343"/>
      <c r="J3" s="344"/>
    </row>
    <row r="4" spans="1:66" ht="38.25" customHeight="1" thickBot="1">
      <c r="A4" s="336"/>
      <c r="B4" s="337"/>
      <c r="C4" s="337"/>
      <c r="D4" s="338"/>
      <c r="E4" s="345"/>
      <c r="F4" s="346"/>
      <c r="G4" s="346"/>
      <c r="H4" s="346"/>
      <c r="I4" s="346"/>
      <c r="J4" s="347"/>
    </row>
    <row r="5" spans="1:66" ht="42" customHeight="1" thickBot="1">
      <c r="A5" s="348" t="s">
        <v>71</v>
      </c>
      <c r="B5" s="349"/>
      <c r="C5" s="349"/>
      <c r="D5" s="349"/>
      <c r="E5" s="349"/>
      <c r="F5" s="349"/>
      <c r="G5" s="349"/>
      <c r="H5" s="349"/>
      <c r="I5" s="349"/>
      <c r="J5" s="349"/>
    </row>
    <row r="6" spans="1:66" ht="34.5" customHeight="1" thickBot="1">
      <c r="A6" s="317" t="s">
        <v>72</v>
      </c>
      <c r="B6" s="318"/>
      <c r="C6" s="318"/>
      <c r="D6" s="319"/>
      <c r="E6" s="329" t="s">
        <v>5</v>
      </c>
      <c r="F6" s="321"/>
      <c r="G6" s="321"/>
      <c r="H6" s="321"/>
      <c r="I6" s="321"/>
      <c r="J6" s="322"/>
    </row>
    <row r="7" spans="1:66" ht="53.25" customHeight="1" thickBot="1">
      <c r="A7" s="317" t="s">
        <v>73</v>
      </c>
      <c r="B7" s="318"/>
      <c r="C7" s="318"/>
      <c r="D7" s="319"/>
      <c r="E7" s="350" t="s">
        <v>74</v>
      </c>
      <c r="F7" s="351"/>
      <c r="G7" s="351"/>
      <c r="H7" s="351"/>
      <c r="I7" s="351"/>
      <c r="J7" s="352"/>
    </row>
    <row r="8" spans="1:66" ht="27" customHeight="1" thickBot="1">
      <c r="A8" s="317" t="s">
        <v>75</v>
      </c>
      <c r="B8" s="318"/>
      <c r="C8" s="318"/>
      <c r="D8" s="319"/>
      <c r="E8" s="329" t="s">
        <v>76</v>
      </c>
      <c r="F8" s="321"/>
      <c r="G8" s="321"/>
      <c r="H8" s="321"/>
      <c r="I8" s="321"/>
      <c r="J8" s="322"/>
    </row>
    <row r="9" spans="1:66" ht="27" customHeight="1" thickBot="1">
      <c r="A9" s="317" t="s">
        <v>77</v>
      </c>
      <c r="B9" s="318"/>
      <c r="C9" s="318"/>
      <c r="D9" s="319"/>
      <c r="E9" s="329" t="s">
        <v>78</v>
      </c>
      <c r="F9" s="321"/>
      <c r="G9" s="321"/>
      <c r="H9" s="321"/>
      <c r="I9" s="321"/>
      <c r="J9" s="322"/>
    </row>
    <row r="10" spans="1:66" ht="27" customHeight="1" thickBot="1">
      <c r="A10" s="317" t="s">
        <v>79</v>
      </c>
      <c r="B10" s="318"/>
      <c r="C10" s="318"/>
      <c r="D10" s="319"/>
      <c r="E10" s="329" t="s">
        <v>80</v>
      </c>
      <c r="F10" s="321"/>
      <c r="G10" s="321"/>
      <c r="H10" s="321"/>
      <c r="I10" s="321"/>
      <c r="J10" s="322"/>
    </row>
    <row r="11" spans="1:66" ht="27" customHeight="1" thickBot="1">
      <c r="A11" s="317" t="s">
        <v>81</v>
      </c>
      <c r="B11" s="318"/>
      <c r="C11" s="318"/>
      <c r="D11" s="319"/>
      <c r="E11" s="320">
        <v>53006409</v>
      </c>
      <c r="F11" s="321"/>
      <c r="G11" s="321"/>
      <c r="H11" s="321"/>
      <c r="I11" s="321"/>
      <c r="J11" s="322"/>
    </row>
    <row r="12" spans="1:66" ht="225.75" customHeight="1" thickBot="1">
      <c r="A12" s="323" t="s">
        <v>82</v>
      </c>
      <c r="B12" s="324"/>
      <c r="C12" s="324"/>
      <c r="D12" s="324"/>
      <c r="E12" s="324"/>
      <c r="F12" s="324"/>
      <c r="G12" s="324"/>
      <c r="H12" s="324"/>
      <c r="I12" s="324"/>
      <c r="J12" s="325"/>
    </row>
    <row r="13" spans="1:66" ht="12.75" customHeight="1"/>
    <row r="14" spans="1:66" ht="48" customHeight="1">
      <c r="A14" s="326" t="s">
        <v>83</v>
      </c>
      <c r="B14" s="326"/>
      <c r="C14" s="326" t="s">
        <v>84</v>
      </c>
      <c r="D14" s="326"/>
      <c r="E14" s="326"/>
      <c r="F14" s="327" t="s">
        <v>85</v>
      </c>
      <c r="G14" s="327" t="s">
        <v>86</v>
      </c>
      <c r="H14" s="327" t="s">
        <v>87</v>
      </c>
      <c r="I14" s="328" t="s">
        <v>88</v>
      </c>
      <c r="J14" s="328"/>
      <c r="BN14" s="84"/>
    </row>
    <row r="15" spans="1:66" ht="48.75" customHeight="1">
      <c r="A15" s="326"/>
      <c r="B15" s="326"/>
      <c r="C15" s="326"/>
      <c r="D15" s="326"/>
      <c r="E15" s="326"/>
      <c r="F15" s="327"/>
      <c r="G15" s="327"/>
      <c r="H15" s="327"/>
      <c r="I15" s="85" t="s">
        <v>89</v>
      </c>
      <c r="J15" s="85" t="s">
        <v>90</v>
      </c>
      <c r="K15" s="132" t="s">
        <v>91</v>
      </c>
      <c r="L15" s="132" t="s">
        <v>92</v>
      </c>
      <c r="BN15" s="84"/>
    </row>
    <row r="16" spans="1:66" ht="60.75" customHeight="1">
      <c r="A16" s="310" t="s">
        <v>93</v>
      </c>
      <c r="B16" s="310"/>
      <c r="C16" s="303" t="s">
        <v>94</v>
      </c>
      <c r="D16" s="303"/>
      <c r="E16" s="303"/>
      <c r="F16" s="86" t="s">
        <v>95</v>
      </c>
      <c r="G16" s="87">
        <v>2000</v>
      </c>
      <c r="H16" s="88">
        <v>16341</v>
      </c>
      <c r="I16" s="88">
        <v>13890</v>
      </c>
      <c r="J16" s="88">
        <f>+ROUND(I16*G16,0)</f>
        <v>27780000</v>
      </c>
      <c r="K16" s="133">
        <f>+I16-H16</f>
        <v>-2451</v>
      </c>
      <c r="L16" s="134">
        <f>+I16/H16</f>
        <v>0.85000917936478793</v>
      </c>
      <c r="N16" t="str">
        <f>+IF(I16&lt;H16,"OK",IF(I16=0," "))</f>
        <v>OK</v>
      </c>
      <c r="BN16" s="89"/>
    </row>
    <row r="17" spans="1:66" ht="60.75" customHeight="1">
      <c r="A17" s="310" t="s">
        <v>96</v>
      </c>
      <c r="B17" s="310"/>
      <c r="C17" s="303" t="s">
        <v>97</v>
      </c>
      <c r="D17" s="303"/>
      <c r="E17" s="303"/>
      <c r="F17" s="86" t="s">
        <v>98</v>
      </c>
      <c r="G17" s="87">
        <v>300</v>
      </c>
      <c r="H17" s="88">
        <v>43227</v>
      </c>
      <c r="I17" s="88">
        <v>36743</v>
      </c>
      <c r="J17" s="88">
        <f t="shared" ref="J17:J72" si="0">+ROUND(I17*G17,0)</f>
        <v>11022900</v>
      </c>
      <c r="K17" s="133">
        <f t="shared" ref="K17:K80" si="1">+I17-H17</f>
        <v>-6484</v>
      </c>
      <c r="L17" s="134">
        <f t="shared" ref="L17:L80" si="2">+I17/H17</f>
        <v>0.85000115668447962</v>
      </c>
      <c r="N17" t="str">
        <f t="shared" ref="N17:N80" si="3">+IF(I17&lt;H17,"OK",IF(I17=0," "))</f>
        <v>OK</v>
      </c>
      <c r="BN17" s="90"/>
    </row>
    <row r="18" spans="1:66" ht="60.75" customHeight="1">
      <c r="A18" s="310" t="s">
        <v>99</v>
      </c>
      <c r="B18" s="310"/>
      <c r="C18" s="303" t="s">
        <v>100</v>
      </c>
      <c r="D18" s="303"/>
      <c r="E18" s="303"/>
      <c r="F18" s="86" t="s">
        <v>98</v>
      </c>
      <c r="G18" s="87">
        <v>2332.42</v>
      </c>
      <c r="H18" s="88">
        <v>30375</v>
      </c>
      <c r="I18" s="88">
        <v>25819</v>
      </c>
      <c r="J18" s="88">
        <f t="shared" si="0"/>
        <v>60220752</v>
      </c>
      <c r="K18" s="133">
        <f t="shared" si="1"/>
        <v>-4556</v>
      </c>
      <c r="L18" s="134">
        <f t="shared" si="2"/>
        <v>0.85000823045267493</v>
      </c>
      <c r="N18" t="str">
        <f t="shared" si="3"/>
        <v>OK</v>
      </c>
      <c r="BN18" s="89"/>
    </row>
    <row r="19" spans="1:66" ht="60.75" customHeight="1">
      <c r="A19" s="310" t="s">
        <v>101</v>
      </c>
      <c r="B19" s="310"/>
      <c r="C19" s="303" t="s">
        <v>102</v>
      </c>
      <c r="D19" s="303"/>
      <c r="E19" s="303"/>
      <c r="F19" s="86" t="s">
        <v>98</v>
      </c>
      <c r="G19" s="87">
        <v>2332.42</v>
      </c>
      <c r="H19" s="88">
        <v>64685</v>
      </c>
      <c r="I19" s="88">
        <v>54982</v>
      </c>
      <c r="J19" s="88">
        <f t="shared" si="0"/>
        <v>128241116</v>
      </c>
      <c r="K19" s="133">
        <f t="shared" si="1"/>
        <v>-9703</v>
      </c>
      <c r="L19" s="134">
        <f t="shared" si="2"/>
        <v>0.84999613511633298</v>
      </c>
      <c r="N19" t="str">
        <f t="shared" si="3"/>
        <v>OK</v>
      </c>
      <c r="BN19" s="90"/>
    </row>
    <row r="20" spans="1:66" ht="60.75" customHeight="1">
      <c r="A20" s="310" t="s">
        <v>103</v>
      </c>
      <c r="B20" s="310"/>
      <c r="C20" s="303" t="s">
        <v>104</v>
      </c>
      <c r="D20" s="303"/>
      <c r="E20" s="303"/>
      <c r="F20" s="86" t="s">
        <v>98</v>
      </c>
      <c r="G20" s="87">
        <v>2332.42</v>
      </c>
      <c r="H20" s="88">
        <v>129968</v>
      </c>
      <c r="I20" s="88">
        <v>110473</v>
      </c>
      <c r="J20" s="88">
        <f t="shared" si="0"/>
        <v>257669435</v>
      </c>
      <c r="K20" s="133">
        <f t="shared" si="1"/>
        <v>-19495</v>
      </c>
      <c r="L20" s="134">
        <f t="shared" si="2"/>
        <v>0.85000153884032992</v>
      </c>
      <c r="N20" t="str">
        <f t="shared" si="3"/>
        <v>OK</v>
      </c>
      <c r="BN20" s="90"/>
    </row>
    <row r="21" spans="1:66" ht="60.75" customHeight="1">
      <c r="A21" s="310" t="s">
        <v>105</v>
      </c>
      <c r="B21" s="310"/>
      <c r="C21" s="303" t="s">
        <v>106</v>
      </c>
      <c r="D21" s="303"/>
      <c r="E21" s="303"/>
      <c r="F21" s="86" t="s">
        <v>98</v>
      </c>
      <c r="G21" s="87">
        <v>150</v>
      </c>
      <c r="H21" s="88">
        <v>53922</v>
      </c>
      <c r="I21" s="88">
        <v>45834</v>
      </c>
      <c r="J21" s="88">
        <f t="shared" si="0"/>
        <v>6875100</v>
      </c>
      <c r="K21" s="133">
        <f t="shared" si="1"/>
        <v>-8088</v>
      </c>
      <c r="L21" s="134">
        <f t="shared" si="2"/>
        <v>0.85000556359185486</v>
      </c>
      <c r="N21" t="str">
        <f t="shared" si="3"/>
        <v>OK</v>
      </c>
      <c r="BB21" s="91"/>
      <c r="BC21" s="92"/>
      <c r="BD21" s="91"/>
      <c r="BE21" s="91"/>
      <c r="BF21" s="93"/>
      <c r="BH21" s="91"/>
      <c r="BI21" s="92"/>
      <c r="BJ21" s="91"/>
      <c r="BK21" s="91"/>
      <c r="BL21" s="93"/>
      <c r="BN21" s="90"/>
    </row>
    <row r="22" spans="1:66" ht="60.75" customHeight="1">
      <c r="A22" s="310" t="s">
        <v>107</v>
      </c>
      <c r="B22" s="310"/>
      <c r="C22" s="303" t="s">
        <v>108</v>
      </c>
      <c r="D22" s="303"/>
      <c r="E22" s="303"/>
      <c r="F22" s="86" t="s">
        <v>98</v>
      </c>
      <c r="G22" s="87">
        <v>150</v>
      </c>
      <c r="H22" s="88">
        <v>305942</v>
      </c>
      <c r="I22" s="88">
        <v>260051</v>
      </c>
      <c r="J22" s="88">
        <f t="shared" si="0"/>
        <v>39007650</v>
      </c>
      <c r="K22" s="133">
        <f t="shared" si="1"/>
        <v>-45891</v>
      </c>
      <c r="L22" s="134">
        <f t="shared" si="2"/>
        <v>0.85000098057801809</v>
      </c>
      <c r="N22" t="str">
        <f t="shared" si="3"/>
        <v>OK</v>
      </c>
      <c r="BB22" s="91"/>
      <c r="BC22" s="92"/>
      <c r="BD22" s="91"/>
      <c r="BE22" s="91"/>
      <c r="BF22" s="93"/>
      <c r="BH22" s="91"/>
      <c r="BI22" s="92"/>
      <c r="BJ22" s="91"/>
      <c r="BK22" s="91"/>
      <c r="BL22" s="93"/>
      <c r="BN22" s="90"/>
    </row>
    <row r="23" spans="1:66" ht="92.25" customHeight="1">
      <c r="A23" s="310" t="s">
        <v>109</v>
      </c>
      <c r="B23" s="310"/>
      <c r="C23" s="303" t="s">
        <v>110</v>
      </c>
      <c r="D23" s="303"/>
      <c r="E23" s="303"/>
      <c r="F23" s="86" t="s">
        <v>95</v>
      </c>
      <c r="G23" s="87">
        <v>231</v>
      </c>
      <c r="H23" s="88">
        <v>125271</v>
      </c>
      <c r="I23" s="88">
        <v>106480</v>
      </c>
      <c r="J23" s="88">
        <f t="shared" si="0"/>
        <v>24596880</v>
      </c>
      <c r="K23" s="133">
        <f t="shared" si="1"/>
        <v>-18791</v>
      </c>
      <c r="L23" s="134">
        <f t="shared" si="2"/>
        <v>0.84999720605726781</v>
      </c>
      <c r="N23" t="str">
        <f t="shared" si="3"/>
        <v>OK</v>
      </c>
      <c r="BB23" s="91"/>
      <c r="BC23" s="92"/>
      <c r="BD23" s="91"/>
      <c r="BE23" s="91"/>
      <c r="BF23" s="93"/>
      <c r="BH23" s="91"/>
      <c r="BI23" s="92"/>
      <c r="BJ23" s="91"/>
      <c r="BK23" s="91"/>
      <c r="BL23" s="93"/>
      <c r="BN23" s="90"/>
    </row>
    <row r="24" spans="1:66" ht="60.75" customHeight="1">
      <c r="A24" s="310" t="s">
        <v>111</v>
      </c>
      <c r="B24" s="310"/>
      <c r="C24" s="303" t="s">
        <v>112</v>
      </c>
      <c r="D24" s="303"/>
      <c r="E24" s="303"/>
      <c r="F24" s="86" t="s">
        <v>113</v>
      </c>
      <c r="G24" s="87">
        <v>50</v>
      </c>
      <c r="H24" s="88">
        <v>88909</v>
      </c>
      <c r="I24" s="88">
        <v>75573</v>
      </c>
      <c r="J24" s="88">
        <f t="shared" si="0"/>
        <v>3778650</v>
      </c>
      <c r="K24" s="133">
        <f t="shared" si="1"/>
        <v>-13336</v>
      </c>
      <c r="L24" s="134">
        <f t="shared" si="2"/>
        <v>0.85000393660934215</v>
      </c>
      <c r="N24" t="str">
        <f t="shared" si="3"/>
        <v>OK</v>
      </c>
      <c r="BB24" s="91"/>
      <c r="BC24" s="92"/>
      <c r="BD24" s="91"/>
      <c r="BE24" s="91"/>
      <c r="BF24" s="93"/>
      <c r="BH24" s="91"/>
      <c r="BI24" s="92"/>
      <c r="BJ24" s="91"/>
      <c r="BK24" s="91"/>
      <c r="BL24" s="93"/>
      <c r="BN24" s="90"/>
    </row>
    <row r="25" spans="1:66" ht="60.75" customHeight="1">
      <c r="A25" s="310" t="s">
        <v>114</v>
      </c>
      <c r="B25" s="310"/>
      <c r="C25" s="303" t="s">
        <v>115</v>
      </c>
      <c r="D25" s="303"/>
      <c r="E25" s="303"/>
      <c r="F25" s="86" t="s">
        <v>113</v>
      </c>
      <c r="G25" s="87">
        <v>50</v>
      </c>
      <c r="H25" s="88">
        <v>97000</v>
      </c>
      <c r="I25" s="88">
        <v>82450</v>
      </c>
      <c r="J25" s="88">
        <f t="shared" si="0"/>
        <v>4122500</v>
      </c>
      <c r="K25" s="133">
        <f t="shared" si="1"/>
        <v>-14550</v>
      </c>
      <c r="L25" s="134">
        <f t="shared" si="2"/>
        <v>0.85</v>
      </c>
      <c r="N25" t="str">
        <f t="shared" si="3"/>
        <v>OK</v>
      </c>
      <c r="BB25" s="91"/>
      <c r="BC25" s="92"/>
      <c r="BD25" s="91"/>
      <c r="BE25" s="91"/>
      <c r="BF25" s="93"/>
      <c r="BH25" s="91"/>
      <c r="BI25" s="92"/>
      <c r="BJ25" s="91"/>
      <c r="BK25" s="91"/>
      <c r="BL25" s="93"/>
      <c r="BN25" s="90"/>
    </row>
    <row r="26" spans="1:66" ht="60.75" customHeight="1">
      <c r="A26" s="302" t="s">
        <v>116</v>
      </c>
      <c r="B26" s="302"/>
      <c r="C26" s="303" t="s">
        <v>117</v>
      </c>
      <c r="D26" s="303"/>
      <c r="E26" s="303"/>
      <c r="F26" s="94" t="s">
        <v>98</v>
      </c>
      <c r="G26" s="95">
        <v>80</v>
      </c>
      <c r="H26" s="88">
        <v>38338</v>
      </c>
      <c r="I26" s="88">
        <v>32587</v>
      </c>
      <c r="J26" s="88">
        <f t="shared" si="0"/>
        <v>2606960</v>
      </c>
      <c r="K26" s="133">
        <f t="shared" si="1"/>
        <v>-5751</v>
      </c>
      <c r="L26" s="134">
        <f t="shared" si="2"/>
        <v>0.84999217486566858</v>
      </c>
      <c r="N26" t="str">
        <f t="shared" si="3"/>
        <v>OK</v>
      </c>
    </row>
    <row r="27" spans="1:66" ht="60.75" customHeight="1">
      <c r="A27" s="302" t="s">
        <v>118</v>
      </c>
      <c r="B27" s="302"/>
      <c r="C27" s="303" t="s">
        <v>119</v>
      </c>
      <c r="D27" s="303"/>
      <c r="E27" s="303"/>
      <c r="F27" s="94" t="s">
        <v>98</v>
      </c>
      <c r="G27" s="95">
        <v>1800</v>
      </c>
      <c r="H27" s="88">
        <v>35000</v>
      </c>
      <c r="I27" s="88">
        <v>29750</v>
      </c>
      <c r="J27" s="88">
        <f t="shared" si="0"/>
        <v>53550000</v>
      </c>
      <c r="K27" s="133">
        <f t="shared" si="1"/>
        <v>-5250</v>
      </c>
      <c r="L27" s="134">
        <f t="shared" si="2"/>
        <v>0.85</v>
      </c>
      <c r="N27" t="str">
        <f t="shared" si="3"/>
        <v>OK</v>
      </c>
    </row>
    <row r="28" spans="1:66" ht="60.75" customHeight="1">
      <c r="A28" s="302" t="s">
        <v>120</v>
      </c>
      <c r="B28" s="302"/>
      <c r="C28" s="303" t="s">
        <v>121</v>
      </c>
      <c r="D28" s="303"/>
      <c r="E28" s="303"/>
      <c r="F28" s="94" t="s">
        <v>98</v>
      </c>
      <c r="G28" s="95">
        <v>80</v>
      </c>
      <c r="H28" s="88">
        <v>96707</v>
      </c>
      <c r="I28" s="88">
        <v>82201</v>
      </c>
      <c r="J28" s="88">
        <f t="shared" si="0"/>
        <v>6576080</v>
      </c>
      <c r="K28" s="133">
        <f t="shared" si="1"/>
        <v>-14506</v>
      </c>
      <c r="L28" s="134">
        <f t="shared" si="2"/>
        <v>0.85000051702565482</v>
      </c>
      <c r="N28" t="str">
        <f t="shared" si="3"/>
        <v>OK</v>
      </c>
    </row>
    <row r="29" spans="1:66" ht="60.75" customHeight="1">
      <c r="A29" s="302" t="s">
        <v>122</v>
      </c>
      <c r="B29" s="302"/>
      <c r="C29" s="303" t="s">
        <v>123</v>
      </c>
      <c r="D29" s="303"/>
      <c r="E29" s="303"/>
      <c r="F29" s="94" t="s">
        <v>98</v>
      </c>
      <c r="G29" s="95">
        <v>80</v>
      </c>
      <c r="H29" s="88">
        <v>130500</v>
      </c>
      <c r="I29" s="88">
        <v>110925</v>
      </c>
      <c r="J29" s="88">
        <f t="shared" si="0"/>
        <v>8874000</v>
      </c>
      <c r="K29" s="133">
        <f t="shared" si="1"/>
        <v>-19575</v>
      </c>
      <c r="L29" s="134">
        <f t="shared" si="2"/>
        <v>0.85</v>
      </c>
      <c r="N29" t="str">
        <f t="shared" si="3"/>
        <v>OK</v>
      </c>
    </row>
    <row r="30" spans="1:66" ht="60.75" customHeight="1">
      <c r="A30" s="310" t="s">
        <v>124</v>
      </c>
      <c r="B30" s="310"/>
      <c r="C30" s="303" t="s">
        <v>125</v>
      </c>
      <c r="D30" s="303"/>
      <c r="E30" s="303"/>
      <c r="F30" s="94" t="s">
        <v>113</v>
      </c>
      <c r="G30" s="95">
        <v>100</v>
      </c>
      <c r="H30" s="88">
        <v>1233196</v>
      </c>
      <c r="I30" s="88">
        <v>1048217</v>
      </c>
      <c r="J30" s="88">
        <f t="shared" si="0"/>
        <v>104821700</v>
      </c>
      <c r="K30" s="133">
        <f t="shared" si="1"/>
        <v>-184979</v>
      </c>
      <c r="L30" s="134">
        <f t="shared" si="2"/>
        <v>0.85000032436044226</v>
      </c>
      <c r="N30" t="str">
        <f t="shared" si="3"/>
        <v>OK</v>
      </c>
    </row>
    <row r="31" spans="1:66" ht="60.75" customHeight="1">
      <c r="A31" s="310" t="s">
        <v>126</v>
      </c>
      <c r="B31" s="310"/>
      <c r="C31" s="303" t="s">
        <v>127</v>
      </c>
      <c r="D31" s="303"/>
      <c r="E31" s="303"/>
      <c r="F31" s="94" t="s">
        <v>113</v>
      </c>
      <c r="G31" s="95">
        <v>85</v>
      </c>
      <c r="H31" s="88">
        <v>749188</v>
      </c>
      <c r="I31" s="88">
        <v>636810</v>
      </c>
      <c r="J31" s="88">
        <f t="shared" si="0"/>
        <v>54128850</v>
      </c>
      <c r="K31" s="133">
        <f t="shared" si="1"/>
        <v>-112378</v>
      </c>
      <c r="L31" s="134">
        <f t="shared" si="2"/>
        <v>0.85000026695569064</v>
      </c>
      <c r="N31" t="str">
        <f t="shared" si="3"/>
        <v>OK</v>
      </c>
    </row>
    <row r="32" spans="1:66" ht="60.75" customHeight="1">
      <c r="A32" s="310" t="s">
        <v>128</v>
      </c>
      <c r="B32" s="310"/>
      <c r="C32" s="303" t="s">
        <v>129</v>
      </c>
      <c r="D32" s="303"/>
      <c r="E32" s="303"/>
      <c r="F32" s="94" t="s">
        <v>113</v>
      </c>
      <c r="G32" s="95">
        <v>20</v>
      </c>
      <c r="H32" s="88">
        <v>1242026</v>
      </c>
      <c r="I32" s="88">
        <v>1055722</v>
      </c>
      <c r="J32" s="88">
        <f t="shared" si="0"/>
        <v>21114440</v>
      </c>
      <c r="K32" s="133">
        <f t="shared" si="1"/>
        <v>-186304</v>
      </c>
      <c r="L32" s="134">
        <f t="shared" si="2"/>
        <v>0.84999991948638753</v>
      </c>
      <c r="N32" t="str">
        <f t="shared" si="3"/>
        <v>OK</v>
      </c>
    </row>
    <row r="33" spans="1:14" ht="60.75" customHeight="1">
      <c r="A33" s="310" t="s">
        <v>130</v>
      </c>
      <c r="B33" s="310"/>
      <c r="C33" s="303" t="s">
        <v>131</v>
      </c>
      <c r="D33" s="303"/>
      <c r="E33" s="303"/>
      <c r="F33" s="94" t="s">
        <v>98</v>
      </c>
      <c r="G33" s="95">
        <v>45</v>
      </c>
      <c r="H33" s="88">
        <v>40656</v>
      </c>
      <c r="I33" s="88">
        <v>34558</v>
      </c>
      <c r="J33" s="88">
        <f t="shared" si="0"/>
        <v>1555110</v>
      </c>
      <c r="K33" s="133">
        <f t="shared" si="1"/>
        <v>-6098</v>
      </c>
      <c r="L33" s="134">
        <f t="shared" si="2"/>
        <v>0.85000983864620228</v>
      </c>
      <c r="N33" t="str">
        <f t="shared" si="3"/>
        <v>OK</v>
      </c>
    </row>
    <row r="34" spans="1:14" ht="60.75" customHeight="1">
      <c r="A34" s="310" t="s">
        <v>132</v>
      </c>
      <c r="B34" s="310"/>
      <c r="C34" s="303" t="s">
        <v>133</v>
      </c>
      <c r="D34" s="303"/>
      <c r="E34" s="303"/>
      <c r="F34" s="94" t="s">
        <v>98</v>
      </c>
      <c r="G34" s="95">
        <v>45</v>
      </c>
      <c r="H34" s="88">
        <v>1032471</v>
      </c>
      <c r="I34" s="88">
        <v>877600</v>
      </c>
      <c r="J34" s="88">
        <f t="shared" si="0"/>
        <v>39492000</v>
      </c>
      <c r="K34" s="133">
        <f t="shared" si="1"/>
        <v>-154871</v>
      </c>
      <c r="L34" s="134">
        <f t="shared" si="2"/>
        <v>0.84999966100742785</v>
      </c>
      <c r="N34" t="str">
        <f t="shared" si="3"/>
        <v>OK</v>
      </c>
    </row>
    <row r="35" spans="1:14" ht="60.75" customHeight="1">
      <c r="A35" s="310" t="s">
        <v>134</v>
      </c>
      <c r="B35" s="310"/>
      <c r="C35" s="303" t="s">
        <v>135</v>
      </c>
      <c r="D35" s="303"/>
      <c r="E35" s="303"/>
      <c r="F35" s="94" t="s">
        <v>113</v>
      </c>
      <c r="G35" s="95">
        <v>275</v>
      </c>
      <c r="H35" s="88">
        <v>112609</v>
      </c>
      <c r="I35" s="88">
        <v>95718</v>
      </c>
      <c r="J35" s="88">
        <f t="shared" si="0"/>
        <v>26322450</v>
      </c>
      <c r="K35" s="133">
        <f t="shared" si="1"/>
        <v>-16891</v>
      </c>
      <c r="L35" s="134">
        <f t="shared" si="2"/>
        <v>0.8500031080997078</v>
      </c>
      <c r="N35" t="str">
        <f t="shared" si="3"/>
        <v>OK</v>
      </c>
    </row>
    <row r="36" spans="1:14" ht="60.75" customHeight="1">
      <c r="A36" s="310" t="s">
        <v>136</v>
      </c>
      <c r="B36" s="310"/>
      <c r="C36" s="303" t="s">
        <v>137</v>
      </c>
      <c r="D36" s="303"/>
      <c r="E36" s="303"/>
      <c r="F36" s="94" t="s">
        <v>113</v>
      </c>
      <c r="G36" s="95">
        <v>1</v>
      </c>
      <c r="H36" s="88">
        <v>131148</v>
      </c>
      <c r="I36" s="88">
        <v>111476</v>
      </c>
      <c r="J36" s="88">
        <f t="shared" si="0"/>
        <v>111476</v>
      </c>
      <c r="K36" s="133">
        <f t="shared" si="1"/>
        <v>-19672</v>
      </c>
      <c r="L36" s="134">
        <f t="shared" si="2"/>
        <v>0.85000152499466253</v>
      </c>
      <c r="N36" t="str">
        <f t="shared" si="3"/>
        <v>OK</v>
      </c>
    </row>
    <row r="37" spans="1:14" ht="60.75" customHeight="1">
      <c r="A37" s="310" t="s">
        <v>138</v>
      </c>
      <c r="B37" s="310"/>
      <c r="C37" s="303" t="s">
        <v>139</v>
      </c>
      <c r="D37" s="303"/>
      <c r="E37" s="303"/>
      <c r="F37" s="94" t="s">
        <v>113</v>
      </c>
      <c r="G37" s="95">
        <v>1</v>
      </c>
      <c r="H37" s="88">
        <v>1224745</v>
      </c>
      <c r="I37" s="88">
        <v>1041033</v>
      </c>
      <c r="J37" s="88">
        <f t="shared" si="0"/>
        <v>1041033</v>
      </c>
      <c r="K37" s="133">
        <f t="shared" si="1"/>
        <v>-183712</v>
      </c>
      <c r="L37" s="134">
        <f t="shared" si="2"/>
        <v>0.84999979587587615</v>
      </c>
      <c r="N37" t="str">
        <f t="shared" si="3"/>
        <v>OK</v>
      </c>
    </row>
    <row r="38" spans="1:14" ht="60.75" customHeight="1">
      <c r="A38" s="310" t="s">
        <v>140</v>
      </c>
      <c r="B38" s="310"/>
      <c r="C38" s="303" t="s">
        <v>141</v>
      </c>
      <c r="D38" s="303"/>
      <c r="E38" s="303"/>
      <c r="F38" s="94" t="s">
        <v>98</v>
      </c>
      <c r="G38" s="95">
        <v>4500</v>
      </c>
      <c r="H38" s="88">
        <v>34663</v>
      </c>
      <c r="I38" s="88">
        <v>29464</v>
      </c>
      <c r="J38" s="88">
        <f t="shared" si="0"/>
        <v>132588000</v>
      </c>
      <c r="K38" s="133">
        <f t="shared" si="1"/>
        <v>-5199</v>
      </c>
      <c r="L38" s="134">
        <f t="shared" si="2"/>
        <v>0.850012982142342</v>
      </c>
      <c r="N38" t="str">
        <f t="shared" si="3"/>
        <v>OK</v>
      </c>
    </row>
    <row r="39" spans="1:14" ht="60.75" customHeight="1">
      <c r="A39" s="314" t="s">
        <v>142</v>
      </c>
      <c r="B39" s="315"/>
      <c r="C39" s="315"/>
      <c r="D39" s="315"/>
      <c r="E39" s="315"/>
      <c r="F39" s="315"/>
      <c r="G39" s="315"/>
      <c r="H39" s="315"/>
      <c r="I39" s="316"/>
      <c r="J39" s="96">
        <f>SUM(J16:J38)</f>
        <v>1016097082</v>
      </c>
      <c r="K39" s="133">
        <f t="shared" si="1"/>
        <v>0</v>
      </c>
      <c r="L39" s="134" t="e">
        <f t="shared" si="2"/>
        <v>#DIV/0!</v>
      </c>
      <c r="N39" t="str">
        <f t="shared" si="3"/>
        <v xml:space="preserve"> </v>
      </c>
    </row>
    <row r="40" spans="1:14" ht="60.75" customHeight="1">
      <c r="A40" s="310" t="s">
        <v>93</v>
      </c>
      <c r="B40" s="310"/>
      <c r="C40" s="303" t="s">
        <v>143</v>
      </c>
      <c r="D40" s="303"/>
      <c r="E40" s="303"/>
      <c r="F40" s="94" t="s">
        <v>98</v>
      </c>
      <c r="G40" s="95">
        <v>250</v>
      </c>
      <c r="H40" s="88">
        <v>49033</v>
      </c>
      <c r="I40" s="88">
        <v>41678</v>
      </c>
      <c r="J40" s="88">
        <f t="shared" si="0"/>
        <v>10419500</v>
      </c>
      <c r="K40" s="133">
        <f t="shared" si="1"/>
        <v>-7355</v>
      </c>
      <c r="L40" s="134">
        <f t="shared" si="2"/>
        <v>0.84999898027858789</v>
      </c>
      <c r="N40" t="str">
        <f t="shared" si="3"/>
        <v>OK</v>
      </c>
    </row>
    <row r="41" spans="1:14" ht="60.75" customHeight="1">
      <c r="A41" s="310" t="s">
        <v>96</v>
      </c>
      <c r="B41" s="310"/>
      <c r="C41" s="303" t="s">
        <v>144</v>
      </c>
      <c r="D41" s="303"/>
      <c r="E41" s="303"/>
      <c r="F41" s="94" t="s">
        <v>98</v>
      </c>
      <c r="G41" s="95">
        <v>61</v>
      </c>
      <c r="H41" s="88">
        <v>50667</v>
      </c>
      <c r="I41" s="88">
        <v>43067</v>
      </c>
      <c r="J41" s="88">
        <f t="shared" si="0"/>
        <v>2627087</v>
      </c>
      <c r="K41" s="133">
        <f t="shared" si="1"/>
        <v>-7600</v>
      </c>
      <c r="L41" s="134">
        <f t="shared" si="2"/>
        <v>0.85000098683561287</v>
      </c>
      <c r="N41" t="str">
        <f t="shared" si="3"/>
        <v>OK</v>
      </c>
    </row>
    <row r="42" spans="1:14" ht="60.75" customHeight="1">
      <c r="A42" s="310" t="s">
        <v>145</v>
      </c>
      <c r="B42" s="310"/>
      <c r="C42" s="303" t="s">
        <v>117</v>
      </c>
      <c r="D42" s="303"/>
      <c r="E42" s="303"/>
      <c r="F42" s="94" t="s">
        <v>98</v>
      </c>
      <c r="G42" s="95">
        <v>1070</v>
      </c>
      <c r="H42" s="88">
        <v>36183</v>
      </c>
      <c r="I42" s="88">
        <v>30756</v>
      </c>
      <c r="J42" s="88">
        <f t="shared" si="0"/>
        <v>32908920</v>
      </c>
      <c r="K42" s="133">
        <f t="shared" si="1"/>
        <v>-5427</v>
      </c>
      <c r="L42" s="134">
        <f t="shared" si="2"/>
        <v>0.85001243677970317</v>
      </c>
      <c r="N42" t="str">
        <f t="shared" si="3"/>
        <v>OK</v>
      </c>
    </row>
    <row r="43" spans="1:14" ht="60.75" customHeight="1">
      <c r="A43" s="310" t="s">
        <v>146</v>
      </c>
      <c r="B43" s="310"/>
      <c r="C43" s="303" t="s">
        <v>147</v>
      </c>
      <c r="D43" s="303"/>
      <c r="E43" s="303"/>
      <c r="F43" s="94" t="s">
        <v>148</v>
      </c>
      <c r="G43" s="95">
        <v>1</v>
      </c>
      <c r="H43" s="88">
        <v>13063210</v>
      </c>
      <c r="I43" s="88">
        <v>11103729</v>
      </c>
      <c r="J43" s="88">
        <f t="shared" si="0"/>
        <v>11103729</v>
      </c>
      <c r="K43" s="133">
        <f t="shared" si="1"/>
        <v>-1959481</v>
      </c>
      <c r="L43" s="134">
        <f t="shared" si="2"/>
        <v>0.85000003827543158</v>
      </c>
      <c r="N43" t="str">
        <f t="shared" si="3"/>
        <v>OK</v>
      </c>
    </row>
    <row r="44" spans="1:14" ht="60.75" customHeight="1">
      <c r="A44" s="310" t="s">
        <v>149</v>
      </c>
      <c r="B44" s="310"/>
      <c r="C44" s="303" t="s">
        <v>150</v>
      </c>
      <c r="D44" s="303"/>
      <c r="E44" s="303"/>
      <c r="F44" s="94" t="s">
        <v>113</v>
      </c>
      <c r="G44" s="95">
        <v>135</v>
      </c>
      <c r="H44" s="88">
        <v>96339</v>
      </c>
      <c r="I44" s="88">
        <v>81888</v>
      </c>
      <c r="J44" s="88">
        <f t="shared" si="0"/>
        <v>11054880</v>
      </c>
      <c r="K44" s="133">
        <f t="shared" si="1"/>
        <v>-14451</v>
      </c>
      <c r="L44" s="134">
        <f t="shared" si="2"/>
        <v>0.84999844299816274</v>
      </c>
      <c r="N44" t="str">
        <f t="shared" si="3"/>
        <v>OK</v>
      </c>
    </row>
    <row r="45" spans="1:14" ht="60.75" customHeight="1">
      <c r="A45" s="310" t="s">
        <v>151</v>
      </c>
      <c r="B45" s="310"/>
      <c r="C45" s="303" t="s">
        <v>152</v>
      </c>
      <c r="D45" s="303"/>
      <c r="E45" s="303"/>
      <c r="F45" s="94" t="s">
        <v>98</v>
      </c>
      <c r="G45" s="95">
        <v>78</v>
      </c>
      <c r="H45" s="88">
        <v>95199</v>
      </c>
      <c r="I45" s="88">
        <v>80919</v>
      </c>
      <c r="J45" s="88">
        <f t="shared" si="0"/>
        <v>6311682</v>
      </c>
      <c r="K45" s="133">
        <f t="shared" si="1"/>
        <v>-14280</v>
      </c>
      <c r="L45" s="134">
        <f t="shared" si="2"/>
        <v>0.84999842435319695</v>
      </c>
      <c r="N45" t="str">
        <f t="shared" si="3"/>
        <v>OK</v>
      </c>
    </row>
    <row r="46" spans="1:14" ht="60.75" customHeight="1">
      <c r="A46" s="310" t="s">
        <v>99</v>
      </c>
      <c r="B46" s="310"/>
      <c r="C46" s="303" t="s">
        <v>153</v>
      </c>
      <c r="D46" s="303"/>
      <c r="E46" s="303"/>
      <c r="F46" s="94" t="s">
        <v>95</v>
      </c>
      <c r="G46" s="95">
        <v>100</v>
      </c>
      <c r="H46" s="88">
        <v>203925</v>
      </c>
      <c r="I46" s="88">
        <v>173336</v>
      </c>
      <c r="J46" s="88">
        <f t="shared" si="0"/>
        <v>17333600</v>
      </c>
      <c r="K46" s="133">
        <f t="shared" si="1"/>
        <v>-30589</v>
      </c>
      <c r="L46" s="134">
        <f t="shared" si="2"/>
        <v>0.8499987740590903</v>
      </c>
      <c r="N46" t="str">
        <f t="shared" si="3"/>
        <v>OK</v>
      </c>
    </row>
    <row r="47" spans="1:14" ht="60.75" customHeight="1">
      <c r="A47" s="310" t="s">
        <v>101</v>
      </c>
      <c r="B47" s="310"/>
      <c r="C47" s="303" t="s">
        <v>154</v>
      </c>
      <c r="D47" s="303"/>
      <c r="E47" s="303"/>
      <c r="F47" s="94" t="s">
        <v>95</v>
      </c>
      <c r="G47" s="95">
        <v>130</v>
      </c>
      <c r="H47" s="88">
        <v>186288</v>
      </c>
      <c r="I47" s="88">
        <v>158345</v>
      </c>
      <c r="J47" s="88">
        <f t="shared" si="0"/>
        <v>20584850</v>
      </c>
      <c r="K47" s="133">
        <f t="shared" si="1"/>
        <v>-27943</v>
      </c>
      <c r="L47" s="134">
        <f t="shared" si="2"/>
        <v>0.85000107360645882</v>
      </c>
      <c r="N47" t="str">
        <f t="shared" si="3"/>
        <v>OK</v>
      </c>
    </row>
    <row r="48" spans="1:14" ht="60.75" customHeight="1">
      <c r="A48" s="310" t="s">
        <v>116</v>
      </c>
      <c r="B48" s="310"/>
      <c r="C48" s="303" t="s">
        <v>155</v>
      </c>
      <c r="D48" s="303"/>
      <c r="E48" s="303"/>
      <c r="F48" s="94" t="s">
        <v>98</v>
      </c>
      <c r="G48" s="95">
        <v>30</v>
      </c>
      <c r="H48" s="88">
        <v>205133</v>
      </c>
      <c r="I48" s="88">
        <v>174363</v>
      </c>
      <c r="J48" s="88">
        <f t="shared" si="0"/>
        <v>5230890</v>
      </c>
      <c r="K48" s="133">
        <f t="shared" si="1"/>
        <v>-30770</v>
      </c>
      <c r="L48" s="134">
        <f t="shared" si="2"/>
        <v>0.84999975625569757</v>
      </c>
      <c r="N48" t="str">
        <f t="shared" si="3"/>
        <v>OK</v>
      </c>
    </row>
    <row r="49" spans="1:14" ht="60.75" customHeight="1">
      <c r="A49" s="310" t="s">
        <v>124</v>
      </c>
      <c r="B49" s="310"/>
      <c r="C49" s="303" t="s">
        <v>156</v>
      </c>
      <c r="D49" s="303"/>
      <c r="E49" s="303"/>
      <c r="F49" s="94" t="s">
        <v>98</v>
      </c>
      <c r="G49" s="95">
        <v>1301</v>
      </c>
      <c r="H49" s="88">
        <v>131613</v>
      </c>
      <c r="I49" s="88">
        <v>111871</v>
      </c>
      <c r="J49" s="88">
        <f t="shared" si="0"/>
        <v>145544171</v>
      </c>
      <c r="K49" s="133">
        <f t="shared" si="1"/>
        <v>-19742</v>
      </c>
      <c r="L49" s="134">
        <f t="shared" si="2"/>
        <v>0.84999962009831853</v>
      </c>
      <c r="N49" t="str">
        <f t="shared" si="3"/>
        <v>OK</v>
      </c>
    </row>
    <row r="50" spans="1:14" ht="60.75" customHeight="1">
      <c r="A50" s="310" t="s">
        <v>126</v>
      </c>
      <c r="B50" s="310"/>
      <c r="C50" s="303" t="s">
        <v>157</v>
      </c>
      <c r="D50" s="303"/>
      <c r="E50" s="303"/>
      <c r="F50" s="94" t="s">
        <v>98</v>
      </c>
      <c r="G50" s="95">
        <v>1301</v>
      </c>
      <c r="H50" s="88">
        <v>33384</v>
      </c>
      <c r="I50" s="88">
        <v>28376</v>
      </c>
      <c r="J50" s="88">
        <f t="shared" si="0"/>
        <v>36917176</v>
      </c>
      <c r="K50" s="133">
        <f t="shared" si="1"/>
        <v>-5008</v>
      </c>
      <c r="L50" s="134">
        <f t="shared" si="2"/>
        <v>0.84998801821231729</v>
      </c>
      <c r="N50" t="str">
        <f t="shared" si="3"/>
        <v>OK</v>
      </c>
    </row>
    <row r="51" spans="1:14" ht="60.75" customHeight="1">
      <c r="A51" s="302" t="s">
        <v>136</v>
      </c>
      <c r="B51" s="302"/>
      <c r="C51" s="303" t="s">
        <v>158</v>
      </c>
      <c r="D51" s="303"/>
      <c r="E51" s="303"/>
      <c r="F51" s="97" t="s">
        <v>98</v>
      </c>
      <c r="G51" s="98">
        <v>1070</v>
      </c>
      <c r="H51" s="88">
        <v>194913</v>
      </c>
      <c r="I51" s="88">
        <v>165676</v>
      </c>
      <c r="J51" s="88">
        <f t="shared" si="0"/>
        <v>177273320</v>
      </c>
      <c r="K51" s="133">
        <f t="shared" si="1"/>
        <v>-29237</v>
      </c>
      <c r="L51" s="134">
        <f t="shared" si="2"/>
        <v>0.84999974347529406</v>
      </c>
      <c r="N51" t="str">
        <f t="shared" si="3"/>
        <v>OK</v>
      </c>
    </row>
    <row r="52" spans="1:14" ht="60.75" customHeight="1">
      <c r="A52" s="310" t="s">
        <v>140</v>
      </c>
      <c r="B52" s="310"/>
      <c r="C52" s="303" t="s">
        <v>159</v>
      </c>
      <c r="D52" s="303"/>
      <c r="E52" s="303"/>
      <c r="F52" s="97" t="s">
        <v>95</v>
      </c>
      <c r="G52" s="98">
        <v>2400</v>
      </c>
      <c r="H52" s="88">
        <v>20487</v>
      </c>
      <c r="I52" s="88">
        <v>17414</v>
      </c>
      <c r="J52" s="88">
        <f t="shared" si="0"/>
        <v>41793600</v>
      </c>
      <c r="K52" s="133">
        <f t="shared" si="1"/>
        <v>-3073</v>
      </c>
      <c r="L52" s="134">
        <f t="shared" si="2"/>
        <v>0.85000244057207008</v>
      </c>
      <c r="N52" t="str">
        <f t="shared" si="3"/>
        <v>OK</v>
      </c>
    </row>
    <row r="53" spans="1:14" ht="60.75" customHeight="1">
      <c r="A53" s="310" t="s">
        <v>160</v>
      </c>
      <c r="B53" s="310"/>
      <c r="C53" s="303" t="s">
        <v>161</v>
      </c>
      <c r="D53" s="303"/>
      <c r="E53" s="303"/>
      <c r="F53" s="97" t="s">
        <v>95</v>
      </c>
      <c r="G53" s="98">
        <v>200</v>
      </c>
      <c r="H53" s="88">
        <v>373466</v>
      </c>
      <c r="I53" s="88">
        <v>317446</v>
      </c>
      <c r="J53" s="88">
        <f t="shared" si="0"/>
        <v>63489200</v>
      </c>
      <c r="K53" s="133">
        <f t="shared" si="1"/>
        <v>-56020</v>
      </c>
      <c r="L53" s="134">
        <f t="shared" si="2"/>
        <v>0.84999973223800829</v>
      </c>
      <c r="N53" t="str">
        <f t="shared" si="3"/>
        <v>OK</v>
      </c>
    </row>
    <row r="54" spans="1:14" ht="60.75" customHeight="1">
      <c r="A54" s="310" t="s">
        <v>162</v>
      </c>
      <c r="B54" s="310"/>
      <c r="C54" s="303" t="s">
        <v>163</v>
      </c>
      <c r="D54" s="303"/>
      <c r="E54" s="303"/>
      <c r="F54" s="97" t="s">
        <v>113</v>
      </c>
      <c r="G54" s="98">
        <v>240</v>
      </c>
      <c r="H54" s="88">
        <v>157875</v>
      </c>
      <c r="I54" s="88">
        <v>134194</v>
      </c>
      <c r="J54" s="88">
        <f t="shared" si="0"/>
        <v>32206560</v>
      </c>
      <c r="K54" s="133">
        <f t="shared" si="1"/>
        <v>-23681</v>
      </c>
      <c r="L54" s="134">
        <f t="shared" si="2"/>
        <v>0.85000158353127475</v>
      </c>
      <c r="N54" t="str">
        <f t="shared" si="3"/>
        <v>OK</v>
      </c>
    </row>
    <row r="55" spans="1:14" ht="60.75" customHeight="1">
      <c r="A55" s="310" t="s">
        <v>164</v>
      </c>
      <c r="B55" s="310"/>
      <c r="C55" s="303" t="s">
        <v>165</v>
      </c>
      <c r="D55" s="303"/>
      <c r="E55" s="303"/>
      <c r="F55" s="97" t="s">
        <v>113</v>
      </c>
      <c r="G55" s="98">
        <v>60</v>
      </c>
      <c r="H55" s="88">
        <v>177999</v>
      </c>
      <c r="I55" s="88">
        <v>151299</v>
      </c>
      <c r="J55" s="88">
        <f t="shared" si="0"/>
        <v>9077940</v>
      </c>
      <c r="K55" s="133">
        <f t="shared" si="1"/>
        <v>-26700</v>
      </c>
      <c r="L55" s="134">
        <f t="shared" si="2"/>
        <v>0.84999915729863651</v>
      </c>
      <c r="N55" t="str">
        <f t="shared" si="3"/>
        <v>OK</v>
      </c>
    </row>
    <row r="56" spans="1:14" ht="60.75" customHeight="1">
      <c r="A56" s="310" t="s">
        <v>166</v>
      </c>
      <c r="B56" s="310"/>
      <c r="C56" s="303" t="s">
        <v>167</v>
      </c>
      <c r="D56" s="303"/>
      <c r="E56" s="303"/>
      <c r="F56" s="97" t="s">
        <v>113</v>
      </c>
      <c r="G56" s="98">
        <v>82</v>
      </c>
      <c r="H56" s="88">
        <v>327191</v>
      </c>
      <c r="I56" s="88">
        <v>278112</v>
      </c>
      <c r="J56" s="88">
        <f t="shared" si="0"/>
        <v>22805184</v>
      </c>
      <c r="K56" s="133">
        <f t="shared" si="1"/>
        <v>-49079</v>
      </c>
      <c r="L56" s="134">
        <f t="shared" si="2"/>
        <v>0.84999893028842477</v>
      </c>
      <c r="N56" t="str">
        <f t="shared" si="3"/>
        <v>OK</v>
      </c>
    </row>
    <row r="57" spans="1:14" ht="60.75" customHeight="1">
      <c r="A57" s="310" t="s">
        <v>168</v>
      </c>
      <c r="B57" s="310"/>
      <c r="C57" s="303" t="s">
        <v>169</v>
      </c>
      <c r="D57" s="303"/>
      <c r="E57" s="303"/>
      <c r="F57" s="97" t="s">
        <v>113</v>
      </c>
      <c r="G57" s="98">
        <v>90</v>
      </c>
      <c r="H57" s="88">
        <v>230677</v>
      </c>
      <c r="I57" s="88">
        <v>196075</v>
      </c>
      <c r="J57" s="88">
        <f t="shared" si="0"/>
        <v>17646750</v>
      </c>
      <c r="K57" s="133">
        <f t="shared" si="1"/>
        <v>-34602</v>
      </c>
      <c r="L57" s="134">
        <f t="shared" si="2"/>
        <v>0.84999804922033839</v>
      </c>
      <c r="N57" t="str">
        <f t="shared" si="3"/>
        <v>OK</v>
      </c>
    </row>
    <row r="58" spans="1:14" ht="60.75" customHeight="1">
      <c r="A58" s="310" t="s">
        <v>170</v>
      </c>
      <c r="B58" s="310"/>
      <c r="C58" s="303" t="s">
        <v>171</v>
      </c>
      <c r="D58" s="303"/>
      <c r="E58" s="303"/>
      <c r="F58" s="97" t="s">
        <v>113</v>
      </c>
      <c r="G58" s="98">
        <v>7</v>
      </c>
      <c r="H58" s="88">
        <v>196020</v>
      </c>
      <c r="I58" s="88">
        <v>166617</v>
      </c>
      <c r="J58" s="88">
        <f t="shared" si="0"/>
        <v>1166319</v>
      </c>
      <c r="K58" s="133">
        <f t="shared" si="1"/>
        <v>-29403</v>
      </c>
      <c r="L58" s="134">
        <f t="shared" si="2"/>
        <v>0.85</v>
      </c>
      <c r="N58" t="str">
        <f t="shared" si="3"/>
        <v>OK</v>
      </c>
    </row>
    <row r="59" spans="1:14" ht="60.75" customHeight="1">
      <c r="A59" s="310" t="s">
        <v>172</v>
      </c>
      <c r="B59" s="310"/>
      <c r="C59" s="303" t="s">
        <v>173</v>
      </c>
      <c r="D59" s="303"/>
      <c r="E59" s="303"/>
      <c r="F59" s="97" t="s">
        <v>113</v>
      </c>
      <c r="G59" s="98">
        <v>22</v>
      </c>
      <c r="H59" s="88">
        <v>181406</v>
      </c>
      <c r="I59" s="88">
        <v>154195</v>
      </c>
      <c r="J59" s="88">
        <f t="shared" si="0"/>
        <v>3392290</v>
      </c>
      <c r="K59" s="133">
        <f t="shared" si="1"/>
        <v>-27211</v>
      </c>
      <c r="L59" s="134">
        <f t="shared" si="2"/>
        <v>0.84999944875031697</v>
      </c>
      <c r="N59" t="str">
        <f t="shared" si="3"/>
        <v>OK</v>
      </c>
    </row>
    <row r="60" spans="1:14" ht="60.75" customHeight="1">
      <c r="A60" s="310" t="s">
        <v>174</v>
      </c>
      <c r="B60" s="310"/>
      <c r="C60" s="303" t="s">
        <v>175</v>
      </c>
      <c r="D60" s="303"/>
      <c r="E60" s="303"/>
      <c r="F60" s="97" t="s">
        <v>113</v>
      </c>
      <c r="G60" s="98">
        <v>10</v>
      </c>
      <c r="H60" s="88">
        <v>200830</v>
      </c>
      <c r="I60" s="88">
        <v>170706</v>
      </c>
      <c r="J60" s="88">
        <f t="shared" si="0"/>
        <v>1707060</v>
      </c>
      <c r="K60" s="133">
        <f t="shared" si="1"/>
        <v>-30124</v>
      </c>
      <c r="L60" s="134">
        <f t="shared" si="2"/>
        <v>0.85000248966787828</v>
      </c>
      <c r="N60" t="str">
        <f t="shared" si="3"/>
        <v>OK</v>
      </c>
    </row>
    <row r="61" spans="1:14" ht="60.75" customHeight="1">
      <c r="A61" s="310" t="s">
        <v>176</v>
      </c>
      <c r="B61" s="310"/>
      <c r="C61" s="303" t="s">
        <v>177</v>
      </c>
      <c r="D61" s="303"/>
      <c r="E61" s="303"/>
      <c r="F61" s="97" t="s">
        <v>113</v>
      </c>
      <c r="G61" s="98">
        <v>43</v>
      </c>
      <c r="H61" s="88">
        <v>178332</v>
      </c>
      <c r="I61" s="88">
        <v>151582</v>
      </c>
      <c r="J61" s="88">
        <f t="shared" si="0"/>
        <v>6518026</v>
      </c>
      <c r="K61" s="133">
        <f t="shared" si="1"/>
        <v>-26750</v>
      </c>
      <c r="L61" s="134">
        <f t="shared" si="2"/>
        <v>0.84999887849628786</v>
      </c>
      <c r="N61" t="str">
        <f t="shared" si="3"/>
        <v>OK</v>
      </c>
    </row>
    <row r="62" spans="1:14" ht="60.75" customHeight="1">
      <c r="A62" s="310" t="s">
        <v>178</v>
      </c>
      <c r="B62" s="310"/>
      <c r="C62" s="303" t="s">
        <v>179</v>
      </c>
      <c r="D62" s="303"/>
      <c r="E62" s="303"/>
      <c r="F62" s="97" t="s">
        <v>180</v>
      </c>
      <c r="G62" s="98">
        <v>300</v>
      </c>
      <c r="H62" s="88">
        <v>16471</v>
      </c>
      <c r="I62" s="88">
        <v>14000</v>
      </c>
      <c r="J62" s="88">
        <f t="shared" si="0"/>
        <v>4200000</v>
      </c>
      <c r="K62" s="133">
        <f t="shared" si="1"/>
        <v>-2471</v>
      </c>
      <c r="L62" s="134">
        <f t="shared" si="2"/>
        <v>0.84997875053123673</v>
      </c>
      <c r="N62" t="str">
        <f t="shared" si="3"/>
        <v>OK</v>
      </c>
    </row>
    <row r="63" spans="1:14" ht="60.75" customHeight="1">
      <c r="A63" s="310" t="s">
        <v>181</v>
      </c>
      <c r="B63" s="310"/>
      <c r="C63" s="303" t="s">
        <v>182</v>
      </c>
      <c r="D63" s="303"/>
      <c r="E63" s="303"/>
      <c r="F63" s="97" t="s">
        <v>95</v>
      </c>
      <c r="G63" s="98">
        <v>180</v>
      </c>
      <c r="H63" s="88">
        <v>159622</v>
      </c>
      <c r="I63" s="88">
        <v>135679</v>
      </c>
      <c r="J63" s="88">
        <f t="shared" si="0"/>
        <v>24422220</v>
      </c>
      <c r="K63" s="133">
        <f t="shared" si="1"/>
        <v>-23943</v>
      </c>
      <c r="L63" s="134">
        <f t="shared" si="2"/>
        <v>0.85000187944017747</v>
      </c>
      <c r="N63" t="str">
        <f t="shared" si="3"/>
        <v>OK</v>
      </c>
    </row>
    <row r="64" spans="1:14" ht="60.75" customHeight="1">
      <c r="A64" s="310" t="s">
        <v>183</v>
      </c>
      <c r="B64" s="310"/>
      <c r="C64" s="303" t="s">
        <v>184</v>
      </c>
      <c r="D64" s="303"/>
      <c r="E64" s="303"/>
      <c r="F64" s="97" t="s">
        <v>95</v>
      </c>
      <c r="G64" s="98">
        <v>220</v>
      </c>
      <c r="H64" s="88">
        <v>301400</v>
      </c>
      <c r="I64" s="88">
        <v>256190</v>
      </c>
      <c r="J64" s="88">
        <f t="shared" si="0"/>
        <v>56361800</v>
      </c>
      <c r="K64" s="133">
        <f t="shared" si="1"/>
        <v>-45210</v>
      </c>
      <c r="L64" s="134">
        <f t="shared" si="2"/>
        <v>0.85</v>
      </c>
      <c r="N64" t="str">
        <f t="shared" si="3"/>
        <v>OK</v>
      </c>
    </row>
    <row r="65" spans="1:14" ht="60.75" customHeight="1">
      <c r="A65" s="310" t="s">
        <v>185</v>
      </c>
      <c r="B65" s="310"/>
      <c r="C65" s="303" t="s">
        <v>186</v>
      </c>
      <c r="D65" s="303"/>
      <c r="E65" s="303"/>
      <c r="F65" s="97" t="s">
        <v>113</v>
      </c>
      <c r="G65" s="98">
        <v>2</v>
      </c>
      <c r="H65" s="88">
        <v>3554535</v>
      </c>
      <c r="I65" s="88">
        <v>3021355</v>
      </c>
      <c r="J65" s="88">
        <f t="shared" si="0"/>
        <v>6042710</v>
      </c>
      <c r="K65" s="133">
        <f t="shared" si="1"/>
        <v>-533180</v>
      </c>
      <c r="L65" s="134">
        <f t="shared" si="2"/>
        <v>0.85000007033268765</v>
      </c>
      <c r="N65" t="str">
        <f t="shared" si="3"/>
        <v>OK</v>
      </c>
    </row>
    <row r="66" spans="1:14" ht="60.75" customHeight="1">
      <c r="A66" s="310" t="s">
        <v>187</v>
      </c>
      <c r="B66" s="310"/>
      <c r="C66" s="303" t="s">
        <v>188</v>
      </c>
      <c r="D66" s="303"/>
      <c r="E66" s="303"/>
      <c r="F66" s="97" t="s">
        <v>98</v>
      </c>
      <c r="G66" s="98">
        <v>300</v>
      </c>
      <c r="H66" s="88">
        <v>853000</v>
      </c>
      <c r="I66" s="88">
        <v>725050</v>
      </c>
      <c r="J66" s="88">
        <f t="shared" si="0"/>
        <v>217515000</v>
      </c>
      <c r="K66" s="133">
        <f t="shared" si="1"/>
        <v>-127950</v>
      </c>
      <c r="L66" s="134">
        <f t="shared" si="2"/>
        <v>0.85</v>
      </c>
      <c r="N66" t="str">
        <f t="shared" si="3"/>
        <v>OK</v>
      </c>
    </row>
    <row r="67" spans="1:14" ht="60.75" customHeight="1">
      <c r="A67" s="310" t="s">
        <v>189</v>
      </c>
      <c r="B67" s="310"/>
      <c r="C67" s="303" t="s">
        <v>190</v>
      </c>
      <c r="D67" s="303"/>
      <c r="E67" s="303"/>
      <c r="F67" s="97" t="s">
        <v>98</v>
      </c>
      <c r="G67" s="98">
        <v>30</v>
      </c>
      <c r="H67" s="88">
        <v>879613</v>
      </c>
      <c r="I67" s="88">
        <v>747671</v>
      </c>
      <c r="J67" s="88">
        <f t="shared" si="0"/>
        <v>22430130</v>
      </c>
      <c r="K67" s="133">
        <f t="shared" si="1"/>
        <v>-131942</v>
      </c>
      <c r="L67" s="134">
        <f t="shared" si="2"/>
        <v>0.84999994315682015</v>
      </c>
      <c r="N67" t="str">
        <f t="shared" si="3"/>
        <v>OK</v>
      </c>
    </row>
    <row r="68" spans="1:14" ht="60.75" customHeight="1">
      <c r="A68" s="310" t="s">
        <v>191</v>
      </c>
      <c r="B68" s="310"/>
      <c r="C68" s="303" t="s">
        <v>192</v>
      </c>
      <c r="D68" s="303"/>
      <c r="E68" s="303"/>
      <c r="F68" s="97" t="s">
        <v>95</v>
      </c>
      <c r="G68" s="98">
        <v>60</v>
      </c>
      <c r="H68" s="88">
        <v>87418</v>
      </c>
      <c r="I68" s="88">
        <v>74305</v>
      </c>
      <c r="J68" s="88">
        <f t="shared" si="0"/>
        <v>4458300</v>
      </c>
      <c r="K68" s="133">
        <f t="shared" si="1"/>
        <v>-13113</v>
      </c>
      <c r="L68" s="134">
        <f t="shared" si="2"/>
        <v>0.84999656821249625</v>
      </c>
      <c r="N68" t="str">
        <f t="shared" si="3"/>
        <v>OK</v>
      </c>
    </row>
    <row r="69" spans="1:14" ht="60.75" customHeight="1">
      <c r="A69" s="310" t="s">
        <v>193</v>
      </c>
      <c r="B69" s="310"/>
      <c r="C69" s="303" t="s">
        <v>194</v>
      </c>
      <c r="D69" s="303"/>
      <c r="E69" s="303"/>
      <c r="F69" s="97" t="s">
        <v>113</v>
      </c>
      <c r="G69" s="98">
        <v>41</v>
      </c>
      <c r="H69" s="88">
        <v>142900</v>
      </c>
      <c r="I69" s="88">
        <v>121465</v>
      </c>
      <c r="J69" s="88">
        <f t="shared" si="0"/>
        <v>4980065</v>
      </c>
      <c r="K69" s="133">
        <f t="shared" si="1"/>
        <v>-21435</v>
      </c>
      <c r="L69" s="134">
        <f t="shared" si="2"/>
        <v>0.85</v>
      </c>
      <c r="N69" t="str">
        <f t="shared" si="3"/>
        <v>OK</v>
      </c>
    </row>
    <row r="70" spans="1:14" ht="60.75" customHeight="1">
      <c r="A70" s="310" t="s">
        <v>195</v>
      </c>
      <c r="B70" s="310"/>
      <c r="C70" s="303" t="s">
        <v>196</v>
      </c>
      <c r="D70" s="303"/>
      <c r="E70" s="303"/>
      <c r="F70" s="97" t="s">
        <v>113</v>
      </c>
      <c r="G70" s="98">
        <v>1</v>
      </c>
      <c r="H70" s="88">
        <v>1176585</v>
      </c>
      <c r="I70" s="88">
        <v>1000097</v>
      </c>
      <c r="J70" s="88">
        <f t="shared" si="0"/>
        <v>1000097</v>
      </c>
      <c r="K70" s="133">
        <f t="shared" si="1"/>
        <v>-176488</v>
      </c>
      <c r="L70" s="134">
        <f t="shared" si="2"/>
        <v>0.84999978752066363</v>
      </c>
      <c r="N70" t="str">
        <f t="shared" si="3"/>
        <v>OK</v>
      </c>
    </row>
    <row r="71" spans="1:14" ht="60.75" customHeight="1">
      <c r="A71" s="310" t="s">
        <v>197</v>
      </c>
      <c r="B71" s="310"/>
      <c r="C71" s="303" t="s">
        <v>198</v>
      </c>
      <c r="D71" s="303"/>
      <c r="E71" s="303"/>
      <c r="F71" s="97" t="s">
        <v>98</v>
      </c>
      <c r="G71" s="98">
        <v>1000</v>
      </c>
      <c r="H71" s="88">
        <v>38208</v>
      </c>
      <c r="I71" s="88">
        <v>32477</v>
      </c>
      <c r="J71" s="88">
        <f t="shared" si="0"/>
        <v>32477000</v>
      </c>
      <c r="K71" s="133">
        <f t="shared" si="1"/>
        <v>-5731</v>
      </c>
      <c r="L71" s="134">
        <f t="shared" si="2"/>
        <v>0.85000523450586263</v>
      </c>
      <c r="N71" t="str">
        <f t="shared" si="3"/>
        <v>OK</v>
      </c>
    </row>
    <row r="72" spans="1:14" ht="60.75" customHeight="1">
      <c r="A72" s="310" t="s">
        <v>199</v>
      </c>
      <c r="B72" s="310"/>
      <c r="C72" s="303" t="s">
        <v>200</v>
      </c>
      <c r="D72" s="303"/>
      <c r="E72" s="303"/>
      <c r="F72" s="97" t="s">
        <v>98</v>
      </c>
      <c r="G72" s="98">
        <v>230.61</v>
      </c>
      <c r="H72" s="88">
        <v>41123</v>
      </c>
      <c r="I72" s="88">
        <v>34955</v>
      </c>
      <c r="J72" s="88">
        <f t="shared" si="0"/>
        <v>8060973</v>
      </c>
      <c r="K72" s="133">
        <f t="shared" si="1"/>
        <v>-6168</v>
      </c>
      <c r="L72" s="134">
        <f t="shared" si="2"/>
        <v>0.85001094278141187</v>
      </c>
      <c r="N72" t="str">
        <f t="shared" si="3"/>
        <v>OK</v>
      </c>
    </row>
    <row r="73" spans="1:14" ht="60.75" customHeight="1">
      <c r="A73" s="311" t="s">
        <v>201</v>
      </c>
      <c r="B73" s="312"/>
      <c r="C73" s="312"/>
      <c r="D73" s="312"/>
      <c r="E73" s="312"/>
      <c r="F73" s="312"/>
      <c r="G73" s="312"/>
      <c r="H73" s="312"/>
      <c r="I73" s="313"/>
      <c r="J73" s="99">
        <f>SUM(J40:J72)</f>
        <v>1059061029</v>
      </c>
      <c r="K73" s="133">
        <f t="shared" si="1"/>
        <v>0</v>
      </c>
      <c r="L73" s="134" t="e">
        <f t="shared" si="2"/>
        <v>#DIV/0!</v>
      </c>
      <c r="N73" t="str">
        <f t="shared" si="3"/>
        <v xml:space="preserve"> </v>
      </c>
    </row>
    <row r="74" spans="1:14" ht="60.75" customHeight="1">
      <c r="A74" s="302" t="s">
        <v>202</v>
      </c>
      <c r="B74" s="302"/>
      <c r="C74" s="303" t="s">
        <v>203</v>
      </c>
      <c r="D74" s="303"/>
      <c r="E74" s="303"/>
      <c r="F74" s="97" t="s">
        <v>98</v>
      </c>
      <c r="G74" s="98">
        <v>450</v>
      </c>
      <c r="H74" s="88">
        <v>194913</v>
      </c>
      <c r="I74" s="88">
        <v>165676</v>
      </c>
      <c r="J74" s="88">
        <f t="shared" ref="J74:J130" si="4">+ROUND(I74*G74,0)</f>
        <v>74554200</v>
      </c>
      <c r="K74" s="133">
        <f t="shared" si="1"/>
        <v>-29237</v>
      </c>
      <c r="L74" s="134">
        <f t="shared" si="2"/>
        <v>0.84999974347529406</v>
      </c>
      <c r="N74" t="str">
        <f t="shared" si="3"/>
        <v>OK</v>
      </c>
    </row>
    <row r="75" spans="1:14" ht="60.75" customHeight="1">
      <c r="A75" s="302" t="s">
        <v>197</v>
      </c>
      <c r="B75" s="302"/>
      <c r="C75" s="303" t="s">
        <v>204</v>
      </c>
      <c r="D75" s="303"/>
      <c r="E75" s="303"/>
      <c r="F75" s="97" t="s">
        <v>113</v>
      </c>
      <c r="G75" s="98">
        <v>2</v>
      </c>
      <c r="H75" s="88">
        <v>3334200</v>
      </c>
      <c r="I75" s="88">
        <v>2834070</v>
      </c>
      <c r="J75" s="88">
        <f t="shared" si="4"/>
        <v>5668140</v>
      </c>
      <c r="K75" s="133">
        <f t="shared" si="1"/>
        <v>-500130</v>
      </c>
      <c r="L75" s="134">
        <f t="shared" si="2"/>
        <v>0.85</v>
      </c>
      <c r="N75" t="str">
        <f t="shared" si="3"/>
        <v>OK</v>
      </c>
    </row>
    <row r="76" spans="1:14" ht="60.75" customHeight="1">
      <c r="A76" s="302" t="s">
        <v>199</v>
      </c>
      <c r="B76" s="302"/>
      <c r="C76" s="303" t="s">
        <v>205</v>
      </c>
      <c r="D76" s="303"/>
      <c r="E76" s="303"/>
      <c r="F76" s="97" t="s">
        <v>113</v>
      </c>
      <c r="G76" s="98">
        <v>12</v>
      </c>
      <c r="H76" s="88">
        <v>858374</v>
      </c>
      <c r="I76" s="88">
        <v>729618</v>
      </c>
      <c r="J76" s="88">
        <f t="shared" si="4"/>
        <v>8755416</v>
      </c>
      <c r="K76" s="133">
        <f t="shared" si="1"/>
        <v>-128756</v>
      </c>
      <c r="L76" s="134">
        <f t="shared" si="2"/>
        <v>0.85000011649933482</v>
      </c>
      <c r="N76" t="str">
        <f t="shared" si="3"/>
        <v>OK</v>
      </c>
    </row>
    <row r="77" spans="1:14" ht="60.75" customHeight="1">
      <c r="A77" s="302" t="s">
        <v>206</v>
      </c>
      <c r="B77" s="302"/>
      <c r="C77" s="303" t="s">
        <v>207</v>
      </c>
      <c r="D77" s="303"/>
      <c r="E77" s="303"/>
      <c r="F77" s="97" t="s">
        <v>98</v>
      </c>
      <c r="G77" s="98">
        <v>222.23000000000002</v>
      </c>
      <c r="H77" s="88">
        <v>34663</v>
      </c>
      <c r="I77" s="88">
        <v>29464</v>
      </c>
      <c r="J77" s="88">
        <f t="shared" si="4"/>
        <v>6547785</v>
      </c>
      <c r="K77" s="133">
        <f t="shared" si="1"/>
        <v>-5199</v>
      </c>
      <c r="L77" s="134">
        <f t="shared" si="2"/>
        <v>0.850012982142342</v>
      </c>
      <c r="N77" t="str">
        <f t="shared" si="3"/>
        <v>OK</v>
      </c>
    </row>
    <row r="78" spans="1:14" ht="60.75" customHeight="1">
      <c r="A78" s="307" t="s">
        <v>208</v>
      </c>
      <c r="B78" s="308"/>
      <c r="C78" s="308"/>
      <c r="D78" s="308"/>
      <c r="E78" s="308"/>
      <c r="F78" s="308"/>
      <c r="G78" s="308"/>
      <c r="H78" s="308"/>
      <c r="I78" s="309"/>
      <c r="J78" s="100">
        <f>SUM(J74:J77)</f>
        <v>95525541</v>
      </c>
      <c r="K78" s="133">
        <f t="shared" si="1"/>
        <v>0</v>
      </c>
      <c r="L78" s="134" t="e">
        <f t="shared" si="2"/>
        <v>#DIV/0!</v>
      </c>
      <c r="N78" t="str">
        <f t="shared" si="3"/>
        <v xml:space="preserve"> </v>
      </c>
    </row>
    <row r="79" spans="1:14" ht="60.75" customHeight="1">
      <c r="A79" s="302" t="s">
        <v>93</v>
      </c>
      <c r="B79" s="302"/>
      <c r="C79" s="303" t="s">
        <v>143</v>
      </c>
      <c r="D79" s="303"/>
      <c r="E79" s="303"/>
      <c r="F79" s="97" t="s">
        <v>98</v>
      </c>
      <c r="G79" s="98">
        <v>161.58000000000001</v>
      </c>
      <c r="H79" s="88">
        <v>49033</v>
      </c>
      <c r="I79" s="88">
        <v>41678</v>
      </c>
      <c r="J79" s="88">
        <f t="shared" si="4"/>
        <v>6734331</v>
      </c>
      <c r="K79" s="133">
        <f t="shared" si="1"/>
        <v>-7355</v>
      </c>
      <c r="L79" s="134">
        <f t="shared" si="2"/>
        <v>0.84999898027858789</v>
      </c>
      <c r="N79" t="str">
        <f t="shared" si="3"/>
        <v>OK</v>
      </c>
    </row>
    <row r="80" spans="1:14" ht="60.75" customHeight="1">
      <c r="A80" s="302" t="s">
        <v>96</v>
      </c>
      <c r="B80" s="302"/>
      <c r="C80" s="303" t="s">
        <v>144</v>
      </c>
      <c r="D80" s="303"/>
      <c r="E80" s="303"/>
      <c r="F80" s="97" t="s">
        <v>98</v>
      </c>
      <c r="G80" s="98">
        <v>246.96</v>
      </c>
      <c r="H80" s="88">
        <v>97950</v>
      </c>
      <c r="I80" s="88">
        <v>83258</v>
      </c>
      <c r="J80" s="88">
        <f t="shared" si="4"/>
        <v>20561396</v>
      </c>
      <c r="K80" s="133">
        <f t="shared" si="1"/>
        <v>-14692</v>
      </c>
      <c r="L80" s="134">
        <f t="shared" si="2"/>
        <v>0.85000510464522716</v>
      </c>
      <c r="N80" t="str">
        <f t="shared" si="3"/>
        <v>OK</v>
      </c>
    </row>
    <row r="81" spans="1:14" ht="60.75" customHeight="1">
      <c r="A81" s="302" t="s">
        <v>145</v>
      </c>
      <c r="B81" s="302"/>
      <c r="C81" s="303" t="s">
        <v>209</v>
      </c>
      <c r="D81" s="303"/>
      <c r="E81" s="303"/>
      <c r="F81" s="97" t="s">
        <v>98</v>
      </c>
      <c r="G81" s="98">
        <v>888.84</v>
      </c>
      <c r="H81" s="88">
        <v>36183</v>
      </c>
      <c r="I81" s="88">
        <v>30756</v>
      </c>
      <c r="J81" s="88">
        <f t="shared" si="4"/>
        <v>27337163</v>
      </c>
      <c r="K81" s="133">
        <f t="shared" ref="K81:K131" si="5">+I81-H81</f>
        <v>-5427</v>
      </c>
      <c r="L81" s="134">
        <f t="shared" ref="L81:L131" si="6">+I81/H81</f>
        <v>0.85001243677970317</v>
      </c>
      <c r="N81" t="str">
        <f t="shared" ref="N81:N138" si="7">+IF(I81&lt;H81,"OK",IF(I81=0," "))</f>
        <v>OK</v>
      </c>
    </row>
    <row r="82" spans="1:14" ht="60.75" customHeight="1">
      <c r="A82" s="302" t="s">
        <v>146</v>
      </c>
      <c r="B82" s="302"/>
      <c r="C82" s="303" t="s">
        <v>147</v>
      </c>
      <c r="D82" s="303"/>
      <c r="E82" s="303"/>
      <c r="F82" s="97" t="s">
        <v>148</v>
      </c>
      <c r="G82" s="98">
        <v>1</v>
      </c>
      <c r="H82" s="88">
        <v>6960160</v>
      </c>
      <c r="I82" s="88">
        <v>5916136</v>
      </c>
      <c r="J82" s="88">
        <f t="shared" si="4"/>
        <v>5916136</v>
      </c>
      <c r="K82" s="133">
        <f t="shared" si="5"/>
        <v>-1044024</v>
      </c>
      <c r="L82" s="134">
        <f t="shared" si="6"/>
        <v>0.85</v>
      </c>
      <c r="N82" t="str">
        <f t="shared" si="7"/>
        <v>OK</v>
      </c>
    </row>
    <row r="83" spans="1:14" ht="60.75" customHeight="1">
      <c r="A83" s="302" t="s">
        <v>149</v>
      </c>
      <c r="B83" s="302"/>
      <c r="C83" s="303" t="s">
        <v>210</v>
      </c>
      <c r="D83" s="303"/>
      <c r="E83" s="303"/>
      <c r="F83" s="97" t="s">
        <v>113</v>
      </c>
      <c r="G83" s="98">
        <v>150</v>
      </c>
      <c r="H83" s="88">
        <v>96339</v>
      </c>
      <c r="I83" s="88">
        <v>81888</v>
      </c>
      <c r="J83" s="88">
        <f t="shared" si="4"/>
        <v>12283200</v>
      </c>
      <c r="K83" s="133">
        <f t="shared" si="5"/>
        <v>-14451</v>
      </c>
      <c r="L83" s="134">
        <f t="shared" si="6"/>
        <v>0.84999844299816274</v>
      </c>
      <c r="N83" t="str">
        <f t="shared" si="7"/>
        <v>OK</v>
      </c>
    </row>
    <row r="84" spans="1:14" ht="60.75" customHeight="1">
      <c r="A84" s="302" t="s">
        <v>151</v>
      </c>
      <c r="B84" s="302"/>
      <c r="C84" s="303" t="s">
        <v>211</v>
      </c>
      <c r="D84" s="303"/>
      <c r="E84" s="303"/>
      <c r="F84" s="97" t="s">
        <v>98</v>
      </c>
      <c r="G84" s="98">
        <v>37.5</v>
      </c>
      <c r="H84" s="88">
        <v>95199</v>
      </c>
      <c r="I84" s="88">
        <v>80919</v>
      </c>
      <c r="J84" s="88">
        <f t="shared" si="4"/>
        <v>3034463</v>
      </c>
      <c r="K84" s="133">
        <f t="shared" si="5"/>
        <v>-14280</v>
      </c>
      <c r="L84" s="134">
        <f t="shared" si="6"/>
        <v>0.84999842435319695</v>
      </c>
      <c r="N84" t="str">
        <f t="shared" si="7"/>
        <v>OK</v>
      </c>
    </row>
    <row r="85" spans="1:14" ht="60.75" customHeight="1">
      <c r="A85" s="302" t="s">
        <v>99</v>
      </c>
      <c r="B85" s="302"/>
      <c r="C85" s="303" t="s">
        <v>153</v>
      </c>
      <c r="D85" s="303"/>
      <c r="E85" s="303"/>
      <c r="F85" s="97" t="s">
        <v>95</v>
      </c>
      <c r="G85" s="98">
        <v>121</v>
      </c>
      <c r="H85" s="88">
        <v>203925</v>
      </c>
      <c r="I85" s="88">
        <v>173336</v>
      </c>
      <c r="J85" s="88">
        <f t="shared" si="4"/>
        <v>20973656</v>
      </c>
      <c r="K85" s="133">
        <f t="shared" si="5"/>
        <v>-30589</v>
      </c>
      <c r="L85" s="134">
        <f t="shared" si="6"/>
        <v>0.8499987740590903</v>
      </c>
      <c r="N85" t="str">
        <f t="shared" si="7"/>
        <v>OK</v>
      </c>
    </row>
    <row r="86" spans="1:14" ht="60.75" customHeight="1">
      <c r="A86" s="302" t="s">
        <v>101</v>
      </c>
      <c r="B86" s="302"/>
      <c r="C86" s="303" t="s">
        <v>154</v>
      </c>
      <c r="D86" s="303"/>
      <c r="E86" s="303"/>
      <c r="F86" s="97" t="s">
        <v>95</v>
      </c>
      <c r="G86" s="98">
        <v>145</v>
      </c>
      <c r="H86" s="88">
        <v>186288</v>
      </c>
      <c r="I86" s="88">
        <v>158345</v>
      </c>
      <c r="J86" s="88">
        <f t="shared" si="4"/>
        <v>22960025</v>
      </c>
      <c r="K86" s="133">
        <f t="shared" si="5"/>
        <v>-27943</v>
      </c>
      <c r="L86" s="134">
        <f t="shared" si="6"/>
        <v>0.85000107360645882</v>
      </c>
      <c r="N86" t="str">
        <f t="shared" si="7"/>
        <v>OK</v>
      </c>
    </row>
    <row r="87" spans="1:14" ht="60.75" customHeight="1">
      <c r="A87" s="302" t="s">
        <v>103</v>
      </c>
      <c r="B87" s="302"/>
      <c r="C87" s="303" t="s">
        <v>212</v>
      </c>
      <c r="D87" s="303"/>
      <c r="E87" s="303"/>
      <c r="F87" s="97" t="s">
        <v>98</v>
      </c>
      <c r="G87" s="98">
        <v>40</v>
      </c>
      <c r="H87" s="88">
        <v>240790</v>
      </c>
      <c r="I87" s="88">
        <v>204672</v>
      </c>
      <c r="J87" s="88">
        <f t="shared" si="4"/>
        <v>8186880</v>
      </c>
      <c r="K87" s="133">
        <f t="shared" si="5"/>
        <v>-36118</v>
      </c>
      <c r="L87" s="134">
        <f t="shared" si="6"/>
        <v>0.85000207649819348</v>
      </c>
      <c r="N87" t="str">
        <f t="shared" si="7"/>
        <v>OK</v>
      </c>
    </row>
    <row r="88" spans="1:14" ht="60.75" customHeight="1">
      <c r="A88" s="302" t="s">
        <v>116</v>
      </c>
      <c r="B88" s="302"/>
      <c r="C88" s="303" t="s">
        <v>213</v>
      </c>
      <c r="D88" s="303"/>
      <c r="E88" s="303"/>
      <c r="F88" s="97" t="s">
        <v>98</v>
      </c>
      <c r="G88" s="98">
        <v>5</v>
      </c>
      <c r="H88" s="88">
        <v>161174</v>
      </c>
      <c r="I88" s="88">
        <v>136998</v>
      </c>
      <c r="J88" s="88">
        <f t="shared" si="4"/>
        <v>684990</v>
      </c>
      <c r="K88" s="133">
        <f t="shared" si="5"/>
        <v>-24176</v>
      </c>
      <c r="L88" s="134">
        <f t="shared" si="6"/>
        <v>0.85000062044746671</v>
      </c>
      <c r="N88" t="str">
        <f t="shared" si="7"/>
        <v>OK</v>
      </c>
    </row>
    <row r="89" spans="1:14" ht="60.75" customHeight="1">
      <c r="A89" s="302" t="s">
        <v>124</v>
      </c>
      <c r="B89" s="302"/>
      <c r="C89" s="303" t="s">
        <v>214</v>
      </c>
      <c r="D89" s="303"/>
      <c r="E89" s="303"/>
      <c r="F89" s="97" t="s">
        <v>98</v>
      </c>
      <c r="G89" s="98">
        <v>888.84</v>
      </c>
      <c r="H89" s="88">
        <v>116086</v>
      </c>
      <c r="I89" s="88">
        <v>98673</v>
      </c>
      <c r="J89" s="88">
        <f t="shared" si="4"/>
        <v>87704509</v>
      </c>
      <c r="K89" s="133">
        <f t="shared" si="5"/>
        <v>-17413</v>
      </c>
      <c r="L89" s="134">
        <f t="shared" si="6"/>
        <v>0.84999913856968112</v>
      </c>
      <c r="N89" t="str">
        <f t="shared" si="7"/>
        <v>OK</v>
      </c>
    </row>
    <row r="90" spans="1:14" ht="60.75" customHeight="1">
      <c r="A90" s="302" t="s">
        <v>136</v>
      </c>
      <c r="B90" s="302"/>
      <c r="C90" s="303" t="s">
        <v>215</v>
      </c>
      <c r="D90" s="303"/>
      <c r="E90" s="303"/>
      <c r="F90" s="97" t="s">
        <v>98</v>
      </c>
      <c r="G90" s="98">
        <v>888.84</v>
      </c>
      <c r="H90" s="88">
        <v>194913</v>
      </c>
      <c r="I90" s="88">
        <v>165676</v>
      </c>
      <c r="J90" s="88">
        <f t="shared" si="4"/>
        <v>147259456</v>
      </c>
      <c r="K90" s="133">
        <f t="shared" si="5"/>
        <v>-29237</v>
      </c>
      <c r="L90" s="134">
        <f t="shared" si="6"/>
        <v>0.84999974347529406</v>
      </c>
      <c r="N90" t="str">
        <f t="shared" si="7"/>
        <v>OK</v>
      </c>
    </row>
    <row r="91" spans="1:14" ht="60.75" customHeight="1">
      <c r="A91" s="302" t="s">
        <v>140</v>
      </c>
      <c r="B91" s="302"/>
      <c r="C91" s="303" t="s">
        <v>159</v>
      </c>
      <c r="D91" s="303"/>
      <c r="E91" s="303"/>
      <c r="F91" s="97" t="s">
        <v>95</v>
      </c>
      <c r="G91" s="98">
        <v>1800</v>
      </c>
      <c r="H91" s="88">
        <v>20382</v>
      </c>
      <c r="I91" s="88">
        <v>17325</v>
      </c>
      <c r="J91" s="88">
        <f t="shared" si="4"/>
        <v>31185000</v>
      </c>
      <c r="K91" s="133">
        <f t="shared" si="5"/>
        <v>-3057</v>
      </c>
      <c r="L91" s="134">
        <f t="shared" si="6"/>
        <v>0.85001471886959079</v>
      </c>
      <c r="N91" t="str">
        <f t="shared" si="7"/>
        <v>OK</v>
      </c>
    </row>
    <row r="92" spans="1:14" ht="60.75" customHeight="1">
      <c r="A92" s="302" t="s">
        <v>160</v>
      </c>
      <c r="B92" s="302"/>
      <c r="C92" s="303" t="s">
        <v>161</v>
      </c>
      <c r="D92" s="303"/>
      <c r="E92" s="303"/>
      <c r="F92" s="97" t="s">
        <v>95</v>
      </c>
      <c r="G92" s="98">
        <v>50</v>
      </c>
      <c r="H92" s="88">
        <v>226317</v>
      </c>
      <c r="I92" s="88">
        <v>192369</v>
      </c>
      <c r="J92" s="88">
        <f t="shared" si="4"/>
        <v>9618450</v>
      </c>
      <c r="K92" s="133">
        <f t="shared" si="5"/>
        <v>-33948</v>
      </c>
      <c r="L92" s="134">
        <f t="shared" si="6"/>
        <v>0.84999801163854238</v>
      </c>
      <c r="N92" t="str">
        <f t="shared" si="7"/>
        <v>OK</v>
      </c>
    </row>
    <row r="93" spans="1:14" ht="60.75" customHeight="1">
      <c r="A93" s="302" t="s">
        <v>162</v>
      </c>
      <c r="B93" s="302"/>
      <c r="C93" s="303" t="s">
        <v>216</v>
      </c>
      <c r="D93" s="303"/>
      <c r="E93" s="303"/>
      <c r="F93" s="97" t="s">
        <v>113</v>
      </c>
      <c r="G93" s="98">
        <v>180</v>
      </c>
      <c r="H93" s="88">
        <v>151650</v>
      </c>
      <c r="I93" s="88">
        <v>128903</v>
      </c>
      <c r="J93" s="88">
        <f t="shared" si="4"/>
        <v>23202540</v>
      </c>
      <c r="K93" s="133">
        <f t="shared" si="5"/>
        <v>-22747</v>
      </c>
      <c r="L93" s="134">
        <f t="shared" si="6"/>
        <v>0.85000329706561162</v>
      </c>
      <c r="N93" t="str">
        <f t="shared" si="7"/>
        <v>OK</v>
      </c>
    </row>
    <row r="94" spans="1:14" ht="60.75" customHeight="1">
      <c r="A94" s="302" t="s">
        <v>164</v>
      </c>
      <c r="B94" s="302"/>
      <c r="C94" s="303" t="s">
        <v>217</v>
      </c>
      <c r="D94" s="303"/>
      <c r="E94" s="303"/>
      <c r="F94" s="97" t="s">
        <v>113</v>
      </c>
      <c r="G94" s="98">
        <v>60</v>
      </c>
      <c r="H94" s="88">
        <v>170847</v>
      </c>
      <c r="I94" s="88">
        <v>145220</v>
      </c>
      <c r="J94" s="88">
        <f t="shared" si="4"/>
        <v>8713200</v>
      </c>
      <c r="K94" s="133">
        <f t="shared" si="5"/>
        <v>-25627</v>
      </c>
      <c r="L94" s="134">
        <f t="shared" si="6"/>
        <v>0.85000029265951405</v>
      </c>
      <c r="N94" t="str">
        <f t="shared" si="7"/>
        <v>OK</v>
      </c>
    </row>
    <row r="95" spans="1:14" ht="60.75" customHeight="1">
      <c r="A95" s="302" t="s">
        <v>166</v>
      </c>
      <c r="B95" s="302"/>
      <c r="C95" s="303" t="s">
        <v>218</v>
      </c>
      <c r="D95" s="303"/>
      <c r="E95" s="303"/>
      <c r="F95" s="97" t="s">
        <v>113</v>
      </c>
      <c r="G95" s="98">
        <v>42</v>
      </c>
      <c r="H95" s="88">
        <v>308438</v>
      </c>
      <c r="I95" s="88">
        <v>262172</v>
      </c>
      <c r="J95" s="88">
        <f t="shared" si="4"/>
        <v>11011224</v>
      </c>
      <c r="K95" s="133">
        <f t="shared" si="5"/>
        <v>-46266</v>
      </c>
      <c r="L95" s="134">
        <f t="shared" si="6"/>
        <v>0.84999902735719979</v>
      </c>
      <c r="N95" t="str">
        <f t="shared" si="7"/>
        <v>OK</v>
      </c>
    </row>
    <row r="96" spans="1:14" ht="60.75" customHeight="1">
      <c r="A96" s="302" t="s">
        <v>168</v>
      </c>
      <c r="B96" s="302"/>
      <c r="C96" s="303" t="s">
        <v>219</v>
      </c>
      <c r="D96" s="303"/>
      <c r="E96" s="303"/>
      <c r="F96" s="97" t="s">
        <v>113</v>
      </c>
      <c r="G96" s="98">
        <v>88</v>
      </c>
      <c r="H96" s="88">
        <v>106167</v>
      </c>
      <c r="I96" s="88">
        <v>90242</v>
      </c>
      <c r="J96" s="88">
        <f t="shared" si="4"/>
        <v>7941296</v>
      </c>
      <c r="K96" s="133">
        <f t="shared" si="5"/>
        <v>-15925</v>
      </c>
      <c r="L96" s="134">
        <f t="shared" si="6"/>
        <v>0.85000047095613518</v>
      </c>
      <c r="N96" t="str">
        <f t="shared" si="7"/>
        <v>OK</v>
      </c>
    </row>
    <row r="97" spans="1:14" ht="60.75" customHeight="1">
      <c r="A97" s="302" t="s">
        <v>220</v>
      </c>
      <c r="B97" s="302"/>
      <c r="C97" s="303" t="s">
        <v>169</v>
      </c>
      <c r="D97" s="303"/>
      <c r="E97" s="303"/>
      <c r="F97" s="97" t="s">
        <v>113</v>
      </c>
      <c r="G97" s="98">
        <v>22</v>
      </c>
      <c r="H97" s="88">
        <v>215408</v>
      </c>
      <c r="I97" s="88">
        <v>183097</v>
      </c>
      <c r="J97" s="88">
        <f t="shared" si="4"/>
        <v>4028134</v>
      </c>
      <c r="K97" s="133">
        <f t="shared" si="5"/>
        <v>-32311</v>
      </c>
      <c r="L97" s="134">
        <f t="shared" si="6"/>
        <v>0.85000092847062314</v>
      </c>
      <c r="N97" t="str">
        <f t="shared" si="7"/>
        <v>OK</v>
      </c>
    </row>
    <row r="98" spans="1:14" ht="60.75" customHeight="1">
      <c r="A98" s="302" t="s">
        <v>172</v>
      </c>
      <c r="B98" s="302"/>
      <c r="C98" s="303" t="s">
        <v>173</v>
      </c>
      <c r="D98" s="303"/>
      <c r="E98" s="303"/>
      <c r="F98" s="97" t="s">
        <v>113</v>
      </c>
      <c r="G98" s="98">
        <v>14</v>
      </c>
      <c r="H98" s="88">
        <v>226550</v>
      </c>
      <c r="I98" s="88">
        <v>192568</v>
      </c>
      <c r="J98" s="88">
        <f t="shared" si="4"/>
        <v>2695952</v>
      </c>
      <c r="K98" s="133">
        <f t="shared" si="5"/>
        <v>-33982</v>
      </c>
      <c r="L98" s="134">
        <f t="shared" si="6"/>
        <v>0.8500022070183183</v>
      </c>
      <c r="N98" t="str">
        <f t="shared" si="7"/>
        <v>OK</v>
      </c>
    </row>
    <row r="99" spans="1:14" ht="60.75" customHeight="1">
      <c r="A99" s="302" t="s">
        <v>174</v>
      </c>
      <c r="B99" s="302"/>
      <c r="C99" s="303" t="s">
        <v>221</v>
      </c>
      <c r="D99" s="303"/>
      <c r="E99" s="303"/>
      <c r="F99" s="97" t="s">
        <v>113</v>
      </c>
      <c r="G99" s="98">
        <v>11</v>
      </c>
      <c r="H99" s="88">
        <v>203875</v>
      </c>
      <c r="I99" s="88">
        <v>173294</v>
      </c>
      <c r="J99" s="88">
        <f t="shared" si="4"/>
        <v>1906234</v>
      </c>
      <c r="K99" s="133">
        <f t="shared" si="5"/>
        <v>-30581</v>
      </c>
      <c r="L99" s="134">
        <f t="shared" si="6"/>
        <v>0.8500012262415696</v>
      </c>
      <c r="N99" t="str">
        <f t="shared" si="7"/>
        <v>OK</v>
      </c>
    </row>
    <row r="100" spans="1:14" ht="60.75" customHeight="1">
      <c r="A100" s="302" t="s">
        <v>176</v>
      </c>
      <c r="B100" s="302"/>
      <c r="C100" s="303" t="s">
        <v>222</v>
      </c>
      <c r="D100" s="303"/>
      <c r="E100" s="303"/>
      <c r="F100" s="97" t="s">
        <v>113</v>
      </c>
      <c r="G100" s="98">
        <v>23</v>
      </c>
      <c r="H100" s="88">
        <v>178332</v>
      </c>
      <c r="I100" s="88">
        <v>151582</v>
      </c>
      <c r="J100" s="88">
        <f t="shared" si="4"/>
        <v>3486386</v>
      </c>
      <c r="K100" s="133">
        <f t="shared" si="5"/>
        <v>-26750</v>
      </c>
      <c r="L100" s="134">
        <f t="shared" si="6"/>
        <v>0.84999887849628786</v>
      </c>
      <c r="N100" t="str">
        <f t="shared" si="7"/>
        <v>OK</v>
      </c>
    </row>
    <row r="101" spans="1:14" ht="60.75" customHeight="1">
      <c r="A101" s="302" t="s">
        <v>178</v>
      </c>
      <c r="B101" s="302"/>
      <c r="C101" s="303" t="s">
        <v>223</v>
      </c>
      <c r="D101" s="303"/>
      <c r="E101" s="303"/>
      <c r="F101" s="97" t="s">
        <v>95</v>
      </c>
      <c r="G101" s="98">
        <v>150</v>
      </c>
      <c r="H101" s="88">
        <v>16471</v>
      </c>
      <c r="I101" s="88">
        <v>14000</v>
      </c>
      <c r="J101" s="88">
        <f t="shared" si="4"/>
        <v>2100000</v>
      </c>
      <c r="K101" s="133">
        <f t="shared" si="5"/>
        <v>-2471</v>
      </c>
      <c r="L101" s="134">
        <f t="shared" si="6"/>
        <v>0.84997875053123673</v>
      </c>
      <c r="N101" t="str">
        <f t="shared" si="7"/>
        <v>OK</v>
      </c>
    </row>
    <row r="102" spans="1:14" ht="60.75" customHeight="1">
      <c r="A102" s="302" t="s">
        <v>181</v>
      </c>
      <c r="B102" s="302"/>
      <c r="C102" s="303" t="s">
        <v>224</v>
      </c>
      <c r="D102" s="303"/>
      <c r="E102" s="303"/>
      <c r="F102" s="97" t="s">
        <v>95</v>
      </c>
      <c r="G102" s="98">
        <v>50</v>
      </c>
      <c r="H102" s="88">
        <v>159622</v>
      </c>
      <c r="I102" s="88">
        <v>135679</v>
      </c>
      <c r="J102" s="88">
        <f t="shared" si="4"/>
        <v>6783950</v>
      </c>
      <c r="K102" s="133">
        <f t="shared" si="5"/>
        <v>-23943</v>
      </c>
      <c r="L102" s="134">
        <f t="shared" si="6"/>
        <v>0.85000187944017747</v>
      </c>
      <c r="N102" t="str">
        <f t="shared" si="7"/>
        <v>OK</v>
      </c>
    </row>
    <row r="103" spans="1:14" ht="60.75" customHeight="1">
      <c r="A103" s="302" t="s">
        <v>183</v>
      </c>
      <c r="B103" s="302"/>
      <c r="C103" s="303" t="s">
        <v>225</v>
      </c>
      <c r="D103" s="303"/>
      <c r="E103" s="303"/>
      <c r="F103" s="97" t="s">
        <v>95</v>
      </c>
      <c r="G103" s="98">
        <v>120</v>
      </c>
      <c r="H103" s="88">
        <v>326273</v>
      </c>
      <c r="I103" s="88">
        <v>277332</v>
      </c>
      <c r="J103" s="88">
        <f t="shared" si="4"/>
        <v>33279840</v>
      </c>
      <c r="K103" s="133">
        <f t="shared" si="5"/>
        <v>-48941</v>
      </c>
      <c r="L103" s="134">
        <f t="shared" si="6"/>
        <v>0.84999984675409856</v>
      </c>
      <c r="N103" t="str">
        <f t="shared" si="7"/>
        <v>OK</v>
      </c>
    </row>
    <row r="104" spans="1:14" ht="60.75" customHeight="1">
      <c r="A104" s="302" t="s">
        <v>185</v>
      </c>
      <c r="B104" s="302"/>
      <c r="C104" s="303" t="s">
        <v>226</v>
      </c>
      <c r="D104" s="303"/>
      <c r="E104" s="303"/>
      <c r="F104" s="97" t="s">
        <v>113</v>
      </c>
      <c r="G104" s="98">
        <v>1</v>
      </c>
      <c r="H104" s="88">
        <v>3554535</v>
      </c>
      <c r="I104" s="88">
        <v>3021355</v>
      </c>
      <c r="J104" s="88">
        <f t="shared" si="4"/>
        <v>3021355</v>
      </c>
      <c r="K104" s="133">
        <f t="shared" si="5"/>
        <v>-533180</v>
      </c>
      <c r="L104" s="134">
        <f t="shared" si="6"/>
        <v>0.85000007033268765</v>
      </c>
      <c r="N104" t="str">
        <f t="shared" si="7"/>
        <v>OK</v>
      </c>
    </row>
    <row r="105" spans="1:14" ht="60.75" customHeight="1">
      <c r="A105" s="302" t="s">
        <v>187</v>
      </c>
      <c r="B105" s="302"/>
      <c r="C105" s="303" t="s">
        <v>227</v>
      </c>
      <c r="D105" s="303"/>
      <c r="E105" s="303"/>
      <c r="F105" s="97" t="s">
        <v>95</v>
      </c>
      <c r="G105" s="98">
        <v>3.22</v>
      </c>
      <c r="H105" s="88">
        <v>1454712</v>
      </c>
      <c r="I105" s="88">
        <v>1236505</v>
      </c>
      <c r="J105" s="88">
        <f t="shared" si="4"/>
        <v>3981546</v>
      </c>
      <c r="K105" s="133">
        <f t="shared" si="5"/>
        <v>-218207</v>
      </c>
      <c r="L105" s="134">
        <f t="shared" si="6"/>
        <v>0.849999862515742</v>
      </c>
      <c r="N105" t="str">
        <f t="shared" si="7"/>
        <v>OK</v>
      </c>
    </row>
    <row r="106" spans="1:14" ht="60.75" customHeight="1">
      <c r="A106" s="302" t="s">
        <v>189</v>
      </c>
      <c r="B106" s="302"/>
      <c r="C106" s="303" t="s">
        <v>228</v>
      </c>
      <c r="D106" s="303"/>
      <c r="E106" s="303"/>
      <c r="F106" s="97" t="s">
        <v>113</v>
      </c>
      <c r="G106" s="98">
        <v>1</v>
      </c>
      <c r="H106" s="88">
        <v>2638957</v>
      </c>
      <c r="I106" s="88">
        <v>2243113</v>
      </c>
      <c r="J106" s="88">
        <f t="shared" si="4"/>
        <v>2243113</v>
      </c>
      <c r="K106" s="133">
        <f t="shared" si="5"/>
        <v>-395844</v>
      </c>
      <c r="L106" s="134">
        <f t="shared" si="6"/>
        <v>0.8499998294780855</v>
      </c>
      <c r="N106" t="str">
        <f t="shared" si="7"/>
        <v>OK</v>
      </c>
    </row>
    <row r="107" spans="1:14" ht="60.75" customHeight="1">
      <c r="A107" s="302" t="s">
        <v>195</v>
      </c>
      <c r="B107" s="302"/>
      <c r="C107" s="303" t="s">
        <v>229</v>
      </c>
      <c r="D107" s="303"/>
      <c r="E107" s="303"/>
      <c r="F107" s="97" t="s">
        <v>98</v>
      </c>
      <c r="G107" s="98">
        <v>279.83999999999997</v>
      </c>
      <c r="H107" s="88">
        <v>879575</v>
      </c>
      <c r="I107" s="88">
        <v>747639</v>
      </c>
      <c r="J107" s="88">
        <f t="shared" si="4"/>
        <v>209219298</v>
      </c>
      <c r="K107" s="133">
        <f t="shared" si="5"/>
        <v>-131936</v>
      </c>
      <c r="L107" s="134">
        <f t="shared" si="6"/>
        <v>0.85000028422817842</v>
      </c>
      <c r="N107" t="str">
        <f t="shared" si="7"/>
        <v>OK</v>
      </c>
    </row>
    <row r="108" spans="1:14" ht="60.75" customHeight="1">
      <c r="A108" s="302" t="s">
        <v>230</v>
      </c>
      <c r="B108" s="302"/>
      <c r="C108" s="303" t="s">
        <v>231</v>
      </c>
      <c r="D108" s="303"/>
      <c r="E108" s="303"/>
      <c r="F108" s="97" t="s">
        <v>98</v>
      </c>
      <c r="G108" s="98">
        <v>40</v>
      </c>
      <c r="H108" s="88">
        <v>882113</v>
      </c>
      <c r="I108" s="88">
        <v>749796</v>
      </c>
      <c r="J108" s="88">
        <f t="shared" si="4"/>
        <v>29991840</v>
      </c>
      <c r="K108" s="133">
        <f t="shared" si="5"/>
        <v>-132317</v>
      </c>
      <c r="L108" s="134">
        <f t="shared" si="6"/>
        <v>0.84999994331791962</v>
      </c>
      <c r="N108" t="str">
        <f t="shared" si="7"/>
        <v>OK</v>
      </c>
    </row>
    <row r="109" spans="1:14" ht="60.75" customHeight="1">
      <c r="A109" s="302" t="s">
        <v>232</v>
      </c>
      <c r="B109" s="302"/>
      <c r="C109" s="303" t="s">
        <v>233</v>
      </c>
      <c r="D109" s="303"/>
      <c r="E109" s="303"/>
      <c r="F109" s="97" t="s">
        <v>98</v>
      </c>
      <c r="G109" s="98">
        <v>8</v>
      </c>
      <c r="H109" s="88">
        <v>1651657</v>
      </c>
      <c r="I109" s="88">
        <v>1403908</v>
      </c>
      <c r="J109" s="88">
        <f t="shared" si="4"/>
        <v>11231264</v>
      </c>
      <c r="K109" s="133">
        <f t="shared" si="5"/>
        <v>-247749</v>
      </c>
      <c r="L109" s="134">
        <f t="shared" si="6"/>
        <v>0.84999972754633679</v>
      </c>
      <c r="N109" t="str">
        <f t="shared" si="7"/>
        <v>OK</v>
      </c>
    </row>
    <row r="110" spans="1:14" ht="60.75" customHeight="1">
      <c r="A110" s="302" t="s">
        <v>234</v>
      </c>
      <c r="B110" s="302"/>
      <c r="C110" s="303" t="s">
        <v>235</v>
      </c>
      <c r="D110" s="303"/>
      <c r="E110" s="303"/>
      <c r="F110" s="97" t="s">
        <v>95</v>
      </c>
      <c r="G110" s="98">
        <v>60</v>
      </c>
      <c r="H110" s="88">
        <v>84894</v>
      </c>
      <c r="I110" s="88">
        <v>72160</v>
      </c>
      <c r="J110" s="88">
        <f t="shared" si="4"/>
        <v>4329600</v>
      </c>
      <c r="K110" s="133">
        <f t="shared" si="5"/>
        <v>-12734</v>
      </c>
      <c r="L110" s="134">
        <f t="shared" si="6"/>
        <v>0.8500011779395481</v>
      </c>
      <c r="N110" t="str">
        <f t="shared" si="7"/>
        <v>OK</v>
      </c>
    </row>
    <row r="111" spans="1:14" ht="60.75" customHeight="1">
      <c r="A111" s="302" t="s">
        <v>236</v>
      </c>
      <c r="B111" s="302"/>
      <c r="C111" s="303" t="s">
        <v>237</v>
      </c>
      <c r="D111" s="303"/>
      <c r="E111" s="303"/>
      <c r="F111" s="97" t="s">
        <v>113</v>
      </c>
      <c r="G111" s="98">
        <v>46</v>
      </c>
      <c r="H111" s="88">
        <v>142900</v>
      </c>
      <c r="I111" s="88">
        <v>121465</v>
      </c>
      <c r="J111" s="88">
        <f t="shared" si="4"/>
        <v>5587390</v>
      </c>
      <c r="K111" s="133">
        <f t="shared" si="5"/>
        <v>-21435</v>
      </c>
      <c r="L111" s="134">
        <f t="shared" si="6"/>
        <v>0.85</v>
      </c>
      <c r="N111" t="str">
        <f t="shared" si="7"/>
        <v>OK</v>
      </c>
    </row>
    <row r="112" spans="1:14" ht="60.75" customHeight="1">
      <c r="A112" s="302" t="s">
        <v>197</v>
      </c>
      <c r="B112" s="302"/>
      <c r="C112" s="303" t="s">
        <v>238</v>
      </c>
      <c r="D112" s="303"/>
      <c r="E112" s="303"/>
      <c r="F112" s="97" t="s">
        <v>113</v>
      </c>
      <c r="G112" s="98">
        <v>1</v>
      </c>
      <c r="H112" s="88">
        <v>1176585</v>
      </c>
      <c r="I112" s="88">
        <v>1000097</v>
      </c>
      <c r="J112" s="88">
        <f t="shared" si="4"/>
        <v>1000097</v>
      </c>
      <c r="K112" s="133">
        <f t="shared" si="5"/>
        <v>-176488</v>
      </c>
      <c r="L112" s="134">
        <f t="shared" si="6"/>
        <v>0.84999978752066363</v>
      </c>
      <c r="N112" t="str">
        <f t="shared" si="7"/>
        <v>OK</v>
      </c>
    </row>
    <row r="113" spans="1:14" ht="60.75" customHeight="1">
      <c r="A113" s="302" t="s">
        <v>199</v>
      </c>
      <c r="B113" s="302"/>
      <c r="C113" s="303" t="s">
        <v>239</v>
      </c>
      <c r="D113" s="303"/>
      <c r="E113" s="303"/>
      <c r="F113" s="97" t="s">
        <v>95</v>
      </c>
      <c r="G113" s="98">
        <v>30</v>
      </c>
      <c r="H113" s="88">
        <v>363800</v>
      </c>
      <c r="I113" s="88">
        <v>309230</v>
      </c>
      <c r="J113" s="88">
        <f t="shared" si="4"/>
        <v>9276900</v>
      </c>
      <c r="K113" s="133">
        <f t="shared" si="5"/>
        <v>-54570</v>
      </c>
      <c r="L113" s="134">
        <f t="shared" si="6"/>
        <v>0.85</v>
      </c>
      <c r="N113" t="str">
        <f t="shared" si="7"/>
        <v>OK</v>
      </c>
    </row>
    <row r="114" spans="1:14" ht="60.75" customHeight="1">
      <c r="A114" s="302" t="s">
        <v>240</v>
      </c>
      <c r="B114" s="302"/>
      <c r="C114" s="303" t="s">
        <v>241</v>
      </c>
      <c r="D114" s="303"/>
      <c r="E114" s="303"/>
      <c r="F114" s="94" t="s">
        <v>98</v>
      </c>
      <c r="G114" s="95">
        <v>509.69</v>
      </c>
      <c r="H114" s="88">
        <v>33664</v>
      </c>
      <c r="I114" s="88">
        <v>28614</v>
      </c>
      <c r="J114" s="88">
        <f t="shared" si="4"/>
        <v>14584270</v>
      </c>
      <c r="K114" s="133">
        <f t="shared" si="5"/>
        <v>-5050</v>
      </c>
      <c r="L114" s="134">
        <f t="shared" si="6"/>
        <v>0.84998811787072248</v>
      </c>
      <c r="N114" t="str">
        <f t="shared" si="7"/>
        <v>OK</v>
      </c>
    </row>
    <row r="115" spans="1:14" ht="60.75" customHeight="1">
      <c r="A115" s="302" t="s">
        <v>242</v>
      </c>
      <c r="B115" s="302"/>
      <c r="C115" s="303" t="s">
        <v>243</v>
      </c>
      <c r="D115" s="303"/>
      <c r="E115" s="303"/>
      <c r="F115" s="94" t="s">
        <v>98</v>
      </c>
      <c r="G115" s="95">
        <v>100</v>
      </c>
      <c r="H115" s="88">
        <v>40123</v>
      </c>
      <c r="I115" s="88">
        <v>34105</v>
      </c>
      <c r="J115" s="88">
        <f t="shared" si="4"/>
        <v>3410500</v>
      </c>
      <c r="K115" s="133">
        <f t="shared" si="5"/>
        <v>-6018</v>
      </c>
      <c r="L115" s="134">
        <f t="shared" si="6"/>
        <v>0.85001121551229963</v>
      </c>
      <c r="N115" t="str">
        <f t="shared" si="7"/>
        <v>OK</v>
      </c>
    </row>
    <row r="116" spans="1:14" ht="60.75" customHeight="1">
      <c r="A116" s="302" t="s">
        <v>244</v>
      </c>
      <c r="B116" s="302"/>
      <c r="C116" s="303" t="s">
        <v>245</v>
      </c>
      <c r="D116" s="303"/>
      <c r="E116" s="303"/>
      <c r="F116" s="94" t="s">
        <v>98</v>
      </c>
      <c r="G116" s="95">
        <v>40</v>
      </c>
      <c r="H116" s="88">
        <v>38208</v>
      </c>
      <c r="I116" s="88">
        <v>32477</v>
      </c>
      <c r="J116" s="88">
        <f t="shared" si="4"/>
        <v>1299080</v>
      </c>
      <c r="K116" s="133">
        <f t="shared" si="5"/>
        <v>-5731</v>
      </c>
      <c r="L116" s="134">
        <f t="shared" si="6"/>
        <v>0.85000523450586263</v>
      </c>
      <c r="N116" t="str">
        <f t="shared" si="7"/>
        <v>OK</v>
      </c>
    </row>
    <row r="117" spans="1:14" ht="60.75" customHeight="1">
      <c r="A117" s="302" t="s">
        <v>246</v>
      </c>
      <c r="B117" s="302"/>
      <c r="C117" s="303" t="s">
        <v>247</v>
      </c>
      <c r="D117" s="303"/>
      <c r="E117" s="303"/>
      <c r="F117" s="94" t="s">
        <v>98</v>
      </c>
      <c r="G117" s="95">
        <v>25</v>
      </c>
      <c r="H117" s="88">
        <v>38208</v>
      </c>
      <c r="I117" s="88">
        <v>32477</v>
      </c>
      <c r="J117" s="88">
        <f t="shared" si="4"/>
        <v>811925</v>
      </c>
      <c r="K117" s="133">
        <f t="shared" si="5"/>
        <v>-5731</v>
      </c>
      <c r="L117" s="134">
        <f t="shared" si="6"/>
        <v>0.85000523450586263</v>
      </c>
      <c r="N117" t="str">
        <f t="shared" si="7"/>
        <v>OK</v>
      </c>
    </row>
    <row r="118" spans="1:14" ht="60.75" customHeight="1">
      <c r="A118" s="304" t="s">
        <v>248</v>
      </c>
      <c r="B118" s="305"/>
      <c r="C118" s="305"/>
      <c r="D118" s="305"/>
      <c r="E118" s="305"/>
      <c r="F118" s="305"/>
      <c r="G118" s="305"/>
      <c r="H118" s="305"/>
      <c r="I118" s="306"/>
      <c r="J118" s="101">
        <f>SUM(J79:J117)</f>
        <v>809576589</v>
      </c>
      <c r="K118" s="133">
        <f t="shared" si="5"/>
        <v>0</v>
      </c>
      <c r="L118" s="134" t="e">
        <f t="shared" si="6"/>
        <v>#DIV/0!</v>
      </c>
      <c r="N118" t="str">
        <f t="shared" si="7"/>
        <v xml:space="preserve"> </v>
      </c>
    </row>
    <row r="119" spans="1:14" ht="60.75" customHeight="1">
      <c r="A119" s="302" t="s">
        <v>93</v>
      </c>
      <c r="B119" s="302"/>
      <c r="C119" s="303" t="s">
        <v>249</v>
      </c>
      <c r="D119" s="303"/>
      <c r="E119" s="303"/>
      <c r="F119" s="94" t="s">
        <v>98</v>
      </c>
      <c r="G119" s="95">
        <v>860</v>
      </c>
      <c r="H119" s="88">
        <v>38338</v>
      </c>
      <c r="I119" s="88">
        <v>32587</v>
      </c>
      <c r="J119" s="88">
        <f t="shared" si="4"/>
        <v>28024820</v>
      </c>
      <c r="K119" s="133">
        <f t="shared" si="5"/>
        <v>-5751</v>
      </c>
      <c r="L119" s="134">
        <f t="shared" si="6"/>
        <v>0.84999217486566858</v>
      </c>
      <c r="N119" t="str">
        <f t="shared" si="7"/>
        <v>OK</v>
      </c>
    </row>
    <row r="120" spans="1:14" ht="60.75" customHeight="1">
      <c r="A120" s="302" t="s">
        <v>96</v>
      </c>
      <c r="B120" s="302"/>
      <c r="C120" s="303" t="s">
        <v>150</v>
      </c>
      <c r="D120" s="303"/>
      <c r="E120" s="303"/>
      <c r="F120" s="94" t="s">
        <v>113</v>
      </c>
      <c r="G120" s="95">
        <v>180</v>
      </c>
      <c r="H120" s="88">
        <v>96339</v>
      </c>
      <c r="I120" s="88">
        <v>81888</v>
      </c>
      <c r="J120" s="88">
        <f t="shared" si="4"/>
        <v>14739840</v>
      </c>
      <c r="K120" s="133">
        <f t="shared" si="5"/>
        <v>-14451</v>
      </c>
      <c r="L120" s="134">
        <f t="shared" si="6"/>
        <v>0.84999844299816274</v>
      </c>
      <c r="N120" t="str">
        <f t="shared" si="7"/>
        <v>OK</v>
      </c>
    </row>
    <row r="121" spans="1:14" ht="60.75" customHeight="1">
      <c r="A121" s="302" t="s">
        <v>145</v>
      </c>
      <c r="B121" s="302"/>
      <c r="C121" s="303" t="s">
        <v>152</v>
      </c>
      <c r="D121" s="303"/>
      <c r="E121" s="303"/>
      <c r="F121" s="94" t="s">
        <v>98</v>
      </c>
      <c r="G121" s="102">
        <v>4</v>
      </c>
      <c r="H121" s="88">
        <v>95199</v>
      </c>
      <c r="I121" s="88">
        <v>80919</v>
      </c>
      <c r="J121" s="88">
        <f t="shared" si="4"/>
        <v>323676</v>
      </c>
      <c r="K121" s="133">
        <f t="shared" si="5"/>
        <v>-14280</v>
      </c>
      <c r="L121" s="134">
        <f t="shared" si="6"/>
        <v>0.84999842435319695</v>
      </c>
      <c r="N121" t="str">
        <f t="shared" si="7"/>
        <v>OK</v>
      </c>
    </row>
    <row r="122" spans="1:14" ht="60.75" customHeight="1">
      <c r="A122" s="302" t="s">
        <v>99</v>
      </c>
      <c r="B122" s="302"/>
      <c r="C122" s="303" t="s">
        <v>250</v>
      </c>
      <c r="D122" s="303"/>
      <c r="E122" s="303"/>
      <c r="F122" s="94" t="s">
        <v>98</v>
      </c>
      <c r="G122" s="95">
        <v>860</v>
      </c>
      <c r="H122" s="88">
        <v>130620</v>
      </c>
      <c r="I122" s="88">
        <v>111027</v>
      </c>
      <c r="J122" s="88">
        <f t="shared" si="4"/>
        <v>95483220</v>
      </c>
      <c r="K122" s="133">
        <f t="shared" si="5"/>
        <v>-19593</v>
      </c>
      <c r="L122" s="134">
        <f t="shared" si="6"/>
        <v>0.85</v>
      </c>
      <c r="N122" t="str">
        <f t="shared" si="7"/>
        <v>OK</v>
      </c>
    </row>
    <row r="123" spans="1:14" ht="60.75" customHeight="1">
      <c r="A123" s="302" t="s">
        <v>116</v>
      </c>
      <c r="B123" s="302"/>
      <c r="C123" s="303" t="s">
        <v>158</v>
      </c>
      <c r="D123" s="303"/>
      <c r="E123" s="303"/>
      <c r="F123" s="94" t="s">
        <v>98</v>
      </c>
      <c r="G123" s="95">
        <v>860</v>
      </c>
      <c r="H123" s="88">
        <v>194913</v>
      </c>
      <c r="I123" s="88">
        <v>165676</v>
      </c>
      <c r="J123" s="88">
        <f t="shared" si="4"/>
        <v>142481360</v>
      </c>
      <c r="K123" s="133">
        <f t="shared" si="5"/>
        <v>-29237</v>
      </c>
      <c r="L123" s="134">
        <f t="shared" si="6"/>
        <v>0.84999974347529406</v>
      </c>
      <c r="N123" t="str">
        <f t="shared" si="7"/>
        <v>OK</v>
      </c>
    </row>
    <row r="124" spans="1:14" ht="60.75" customHeight="1">
      <c r="A124" s="302" t="s">
        <v>124</v>
      </c>
      <c r="B124" s="302"/>
      <c r="C124" s="303" t="s">
        <v>167</v>
      </c>
      <c r="D124" s="303"/>
      <c r="E124" s="303"/>
      <c r="F124" s="94" t="s">
        <v>113</v>
      </c>
      <c r="G124" s="95">
        <v>20</v>
      </c>
      <c r="H124" s="88">
        <v>319533</v>
      </c>
      <c r="I124" s="88">
        <v>271603</v>
      </c>
      <c r="J124" s="88">
        <f t="shared" si="4"/>
        <v>5432060</v>
      </c>
      <c r="K124" s="133">
        <f t="shared" si="5"/>
        <v>-47930</v>
      </c>
      <c r="L124" s="134">
        <f t="shared" si="6"/>
        <v>0.84999984352163938</v>
      </c>
      <c r="N124" t="str">
        <f t="shared" si="7"/>
        <v>OK</v>
      </c>
    </row>
    <row r="125" spans="1:14" ht="60.75" customHeight="1">
      <c r="A125" s="302" t="s">
        <v>126</v>
      </c>
      <c r="B125" s="302"/>
      <c r="C125" s="303" t="s">
        <v>169</v>
      </c>
      <c r="D125" s="303"/>
      <c r="E125" s="303"/>
      <c r="F125" s="94" t="s">
        <v>113</v>
      </c>
      <c r="G125" s="95">
        <v>20</v>
      </c>
      <c r="H125" s="88">
        <v>233891</v>
      </c>
      <c r="I125" s="88">
        <v>198807</v>
      </c>
      <c r="J125" s="88">
        <f t="shared" si="4"/>
        <v>3976140</v>
      </c>
      <c r="K125" s="133">
        <f t="shared" si="5"/>
        <v>-35084</v>
      </c>
      <c r="L125" s="134">
        <f t="shared" si="6"/>
        <v>0.84999850357645224</v>
      </c>
      <c r="N125" t="str">
        <f t="shared" si="7"/>
        <v>OK</v>
      </c>
    </row>
    <row r="126" spans="1:14" ht="60.75" customHeight="1">
      <c r="A126" s="302" t="s">
        <v>128</v>
      </c>
      <c r="B126" s="302"/>
      <c r="C126" s="303" t="s">
        <v>251</v>
      </c>
      <c r="D126" s="303"/>
      <c r="E126" s="303"/>
      <c r="F126" s="94" t="s">
        <v>113</v>
      </c>
      <c r="G126" s="95">
        <v>113</v>
      </c>
      <c r="H126" s="88">
        <v>98830</v>
      </c>
      <c r="I126" s="88">
        <v>84006</v>
      </c>
      <c r="J126" s="88">
        <f t="shared" si="4"/>
        <v>9492678</v>
      </c>
      <c r="K126" s="133">
        <f t="shared" si="5"/>
        <v>-14824</v>
      </c>
      <c r="L126" s="134">
        <f t="shared" si="6"/>
        <v>0.85000505919255287</v>
      </c>
      <c r="N126" t="str">
        <f t="shared" si="7"/>
        <v>OK</v>
      </c>
    </row>
    <row r="127" spans="1:14" ht="60.75" customHeight="1">
      <c r="A127" s="302" t="s">
        <v>130</v>
      </c>
      <c r="B127" s="302"/>
      <c r="C127" s="303" t="s">
        <v>173</v>
      </c>
      <c r="D127" s="303"/>
      <c r="E127" s="303"/>
      <c r="F127" s="94" t="s">
        <v>113</v>
      </c>
      <c r="G127" s="95">
        <v>8</v>
      </c>
      <c r="H127" s="88">
        <v>215750</v>
      </c>
      <c r="I127" s="88">
        <v>183388</v>
      </c>
      <c r="J127" s="88">
        <f t="shared" si="4"/>
        <v>1467104</v>
      </c>
      <c r="K127" s="133">
        <f t="shared" si="5"/>
        <v>-32362</v>
      </c>
      <c r="L127" s="134">
        <f t="shared" si="6"/>
        <v>0.85000231749710309</v>
      </c>
      <c r="N127" t="str">
        <f t="shared" si="7"/>
        <v>OK</v>
      </c>
    </row>
    <row r="128" spans="1:14" ht="60.75" customHeight="1">
      <c r="A128" s="302" t="s">
        <v>132</v>
      </c>
      <c r="B128" s="302"/>
      <c r="C128" s="303" t="s">
        <v>175</v>
      </c>
      <c r="D128" s="303"/>
      <c r="E128" s="303"/>
      <c r="F128" s="94" t="s">
        <v>113</v>
      </c>
      <c r="G128" s="95">
        <v>4</v>
      </c>
      <c r="H128" s="88">
        <v>200830</v>
      </c>
      <c r="I128" s="88">
        <v>170706</v>
      </c>
      <c r="J128" s="88">
        <f t="shared" si="4"/>
        <v>682824</v>
      </c>
      <c r="K128" s="133">
        <f t="shared" si="5"/>
        <v>-30124</v>
      </c>
      <c r="L128" s="134">
        <f t="shared" si="6"/>
        <v>0.85000248966787828</v>
      </c>
      <c r="N128" t="str">
        <f t="shared" si="7"/>
        <v>OK</v>
      </c>
    </row>
    <row r="129" spans="1:14" ht="60.75" customHeight="1">
      <c r="A129" s="302" t="s">
        <v>136</v>
      </c>
      <c r="B129" s="302"/>
      <c r="C129" s="303" t="s">
        <v>196</v>
      </c>
      <c r="D129" s="303"/>
      <c r="E129" s="303"/>
      <c r="F129" s="94" t="s">
        <v>113</v>
      </c>
      <c r="G129" s="95">
        <v>1</v>
      </c>
      <c r="H129" s="88">
        <v>1025000</v>
      </c>
      <c r="I129" s="88">
        <v>871250</v>
      </c>
      <c r="J129" s="88">
        <f t="shared" si="4"/>
        <v>871250</v>
      </c>
      <c r="K129" s="133">
        <f t="shared" si="5"/>
        <v>-153750</v>
      </c>
      <c r="L129" s="134">
        <f t="shared" si="6"/>
        <v>0.85</v>
      </c>
      <c r="N129" t="str">
        <f t="shared" si="7"/>
        <v>OK</v>
      </c>
    </row>
    <row r="130" spans="1:14" ht="60.75" customHeight="1">
      <c r="A130" s="302" t="s">
        <v>140</v>
      </c>
      <c r="B130" s="302"/>
      <c r="C130" s="303" t="s">
        <v>198</v>
      </c>
      <c r="D130" s="303"/>
      <c r="E130" s="303"/>
      <c r="F130" s="94" t="s">
        <v>98</v>
      </c>
      <c r="G130" s="95">
        <v>880</v>
      </c>
      <c r="H130" s="88">
        <v>35833</v>
      </c>
      <c r="I130" s="88">
        <v>30458</v>
      </c>
      <c r="J130" s="88">
        <f t="shared" si="4"/>
        <v>26803040</v>
      </c>
      <c r="K130" s="133">
        <f t="shared" si="5"/>
        <v>-5375</v>
      </c>
      <c r="L130" s="134">
        <f t="shared" si="6"/>
        <v>0.84999860463818266</v>
      </c>
      <c r="N130" t="str">
        <f t="shared" si="7"/>
        <v>OK</v>
      </c>
    </row>
    <row r="131" spans="1:14" ht="60.75" customHeight="1">
      <c r="A131" s="296" t="s">
        <v>252</v>
      </c>
      <c r="B131" s="297"/>
      <c r="C131" s="297"/>
      <c r="D131" s="297"/>
      <c r="E131" s="297"/>
      <c r="F131" s="297"/>
      <c r="G131" s="297"/>
      <c r="H131" s="297"/>
      <c r="I131" s="298"/>
      <c r="J131" s="104">
        <f>SUM(J119:J130)</f>
        <v>329778012</v>
      </c>
      <c r="K131" s="133">
        <f t="shared" si="5"/>
        <v>0</v>
      </c>
      <c r="L131" s="134" t="e">
        <f t="shared" si="6"/>
        <v>#DIV/0!</v>
      </c>
      <c r="N131" t="str">
        <f t="shared" si="7"/>
        <v xml:space="preserve"> </v>
      </c>
    </row>
    <row r="132" spans="1:14" ht="60.75" customHeight="1">
      <c r="A132" s="299" t="s">
        <v>253</v>
      </c>
      <c r="B132" s="300"/>
      <c r="C132" s="300"/>
      <c r="D132" s="300"/>
      <c r="E132" s="300"/>
      <c r="F132" s="300"/>
      <c r="G132" s="300"/>
      <c r="H132" s="301"/>
      <c r="I132" s="105">
        <v>331003825</v>
      </c>
      <c r="J132" s="104">
        <f>+J118+J78+J73+J39+J131</f>
        <v>3310038253</v>
      </c>
      <c r="K132" s="133"/>
      <c r="L132" s="134"/>
    </row>
    <row r="133" spans="1:14" ht="41.25" customHeight="1">
      <c r="A133" s="286" t="s">
        <v>254</v>
      </c>
      <c r="B133" s="287"/>
      <c r="C133" s="287"/>
      <c r="D133" s="288"/>
      <c r="E133" s="106">
        <v>0.12</v>
      </c>
      <c r="F133" s="289">
        <v>0.12</v>
      </c>
      <c r="G133" s="290"/>
      <c r="H133" s="291"/>
      <c r="I133" s="108">
        <f>+ROUND($I$132*F133,0)</f>
        <v>39720459</v>
      </c>
      <c r="J133" s="108">
        <f>+ROUND($J$132*F133,0)</f>
        <v>397204590</v>
      </c>
      <c r="K133" s="135">
        <f>+F133-E133</f>
        <v>0</v>
      </c>
      <c r="L133" s="134">
        <f>+F133/E133</f>
        <v>1</v>
      </c>
    </row>
    <row r="134" spans="1:14" ht="35.25" customHeight="1">
      <c r="A134" s="286" t="s">
        <v>255</v>
      </c>
      <c r="B134" s="287"/>
      <c r="C134" s="287"/>
      <c r="D134" s="288"/>
      <c r="E134" s="106">
        <v>0.03</v>
      </c>
      <c r="F134" s="289">
        <v>0.03</v>
      </c>
      <c r="G134" s="290"/>
      <c r="H134" s="291"/>
      <c r="I134" s="108">
        <f>+ROUND($I$132*F134,0)</f>
        <v>9930115</v>
      </c>
      <c r="J134" s="108">
        <f t="shared" ref="J134:J135" si="8">+ROUND($J$132*F134,0)</f>
        <v>99301148</v>
      </c>
      <c r="K134" s="135">
        <f t="shared" ref="K134:K135" si="9">+F134-E134</f>
        <v>0</v>
      </c>
      <c r="L134" s="134">
        <f t="shared" ref="L134:L135" si="10">+F134/E134</f>
        <v>1</v>
      </c>
    </row>
    <row r="135" spans="1:14" ht="31.5" customHeight="1">
      <c r="A135" s="286" t="s">
        <v>256</v>
      </c>
      <c r="B135" s="287"/>
      <c r="C135" s="287"/>
      <c r="D135" s="288"/>
      <c r="E135" s="106">
        <v>7.0000000000000007E-2</v>
      </c>
      <c r="F135" s="289">
        <v>7.0000000000000007E-2</v>
      </c>
      <c r="G135" s="290"/>
      <c r="H135" s="291"/>
      <c r="I135" s="108">
        <f>+ROUND($I$132*F135,0)</f>
        <v>23170268</v>
      </c>
      <c r="J135" s="108">
        <f t="shared" si="8"/>
        <v>231702678</v>
      </c>
      <c r="K135" s="135">
        <f t="shared" si="9"/>
        <v>0</v>
      </c>
      <c r="L135" s="134">
        <f t="shared" si="10"/>
        <v>1</v>
      </c>
    </row>
    <row r="136" spans="1:14" ht="33.75" customHeight="1">
      <c r="A136" s="286" t="s">
        <v>257</v>
      </c>
      <c r="B136" s="287"/>
      <c r="C136" s="287"/>
      <c r="D136" s="288"/>
      <c r="E136" s="289">
        <v>0.19</v>
      </c>
      <c r="F136" s="290"/>
      <c r="G136" s="290"/>
      <c r="H136" s="291"/>
      <c r="I136" s="108">
        <f>+ROUND(I135*E136,0)</f>
        <v>4402351</v>
      </c>
      <c r="J136" s="108">
        <f>+ROUND(J135*E136,0)</f>
        <v>44023509</v>
      </c>
      <c r="K136" s="135"/>
      <c r="L136" s="134"/>
    </row>
    <row r="137" spans="1:14" ht="42" customHeight="1">
      <c r="A137" s="292" t="s">
        <v>258</v>
      </c>
      <c r="B137" s="293"/>
      <c r="C137" s="293"/>
      <c r="D137" s="293"/>
      <c r="E137" s="293"/>
      <c r="F137" s="293"/>
      <c r="G137" s="293"/>
      <c r="H137" s="294"/>
      <c r="I137" s="109">
        <v>408227018</v>
      </c>
      <c r="J137" s="109">
        <f>SUM(J132:J136)</f>
        <v>4082270178</v>
      </c>
      <c r="K137" s="133"/>
      <c r="L137" s="134"/>
    </row>
    <row r="138" spans="1:14" ht="60.75" customHeight="1">
      <c r="A138" s="295" t="s">
        <v>259</v>
      </c>
      <c r="B138" s="295"/>
      <c r="C138" s="295"/>
      <c r="D138" s="295"/>
      <c r="E138" s="295"/>
      <c r="F138" s="295"/>
      <c r="G138" s="295"/>
      <c r="H138" s="295"/>
      <c r="I138" s="295"/>
      <c r="J138" s="111">
        <f>+I137+J137</f>
        <v>4490497196</v>
      </c>
      <c r="K138" s="137">
        <f>+J138-'CONSOLIDADO FINANCIERO'!L7</f>
        <v>-792434770</v>
      </c>
      <c r="L138" s="134">
        <f>+J138/'CONSOLIDADO FINANCIERO'!L7</f>
        <v>0.85000095115743157</v>
      </c>
      <c r="N138" t="str">
        <f t="shared" si="7"/>
        <v xml:space="preserve"> </v>
      </c>
    </row>
    <row r="139" spans="1:14" ht="15.75" customHeight="1" thickBot="1"/>
    <row r="140" spans="1:14" ht="215.25" customHeight="1" thickBot="1">
      <c r="A140" s="282" t="s">
        <v>260</v>
      </c>
      <c r="B140" s="283"/>
      <c r="C140" s="283"/>
      <c r="D140" s="283"/>
      <c r="E140" s="283"/>
      <c r="F140" s="283"/>
      <c r="G140" s="283"/>
      <c r="H140" s="283"/>
      <c r="I140" s="283"/>
      <c r="J140" s="283"/>
      <c r="K140" s="283"/>
      <c r="L140" s="283"/>
      <c r="M140" s="284"/>
    </row>
    <row r="141" spans="1:14" ht="2.25" customHeight="1" thickBot="1">
      <c r="A141" s="112"/>
      <c r="B141" s="112"/>
      <c r="C141" s="112"/>
      <c r="D141" s="112"/>
      <c r="E141" s="112"/>
      <c r="F141" s="113"/>
      <c r="G141" s="113"/>
      <c r="H141" s="113"/>
      <c r="I141" s="113"/>
      <c r="J141" s="113"/>
      <c r="K141" s="113"/>
      <c r="L141" s="113"/>
      <c r="M141" s="113"/>
    </row>
    <row r="142" spans="1:14" ht="57" customHeight="1" thickBot="1">
      <c r="A142" s="114"/>
      <c r="B142" s="115"/>
      <c r="C142" s="116"/>
      <c r="D142" s="116"/>
      <c r="E142" s="117"/>
      <c r="F142" s="117"/>
      <c r="G142" s="117"/>
      <c r="H142" s="117"/>
      <c r="I142" s="117"/>
      <c r="J142" s="117"/>
      <c r="K142" s="117"/>
      <c r="L142" s="117"/>
      <c r="M142" s="118"/>
    </row>
    <row r="143" spans="1:14" ht="16.5">
      <c r="A143" s="119"/>
      <c r="B143" s="285" t="s">
        <v>261</v>
      </c>
      <c r="C143" s="285"/>
      <c r="D143" s="121"/>
      <c r="E143" s="122"/>
      <c r="F143" s="112"/>
      <c r="G143" s="112"/>
      <c r="H143" s="112"/>
      <c r="I143" s="112"/>
      <c r="J143" s="112"/>
      <c r="K143" s="112"/>
      <c r="L143" s="112"/>
      <c r="M143" s="123"/>
    </row>
    <row r="144" spans="1:14" ht="17.25" thickBot="1">
      <c r="A144" s="124"/>
      <c r="B144" s="125" t="s">
        <v>262</v>
      </c>
      <c r="C144" s="126" t="s">
        <v>263</v>
      </c>
      <c r="D144" s="126"/>
      <c r="E144" s="127"/>
      <c r="F144" s="128"/>
      <c r="G144" s="128"/>
      <c r="H144" s="128"/>
      <c r="I144" s="128"/>
      <c r="J144" s="128"/>
      <c r="K144" s="128"/>
      <c r="L144" s="128"/>
      <c r="M144" s="129"/>
    </row>
    <row r="145" spans="1:7">
      <c r="A145" s="130"/>
      <c r="C145" s="131"/>
      <c r="D145" s="131"/>
      <c r="E145" s="131"/>
      <c r="F145" s="131"/>
      <c r="G145" s="131"/>
    </row>
  </sheetData>
  <sheetProtection algorithmName="SHA-512" hashValue="WzCcsmqPZcGf9XqzVYun+tXoYHiGf4soWKzE/Mk1jwY9e3MOUo1qopVrAAUkGlcXFnNQc5zwB7BINdFU1rJLWw==" saltValue="o/Tcks6vx9j0ro1FPWt3+Q==" spinCount="100000" sheet="1" objects="1" scenarios="1"/>
  <mergeCells count="262">
    <mergeCell ref="A8:D8"/>
    <mergeCell ref="E8:J8"/>
    <mergeCell ref="A9:D9"/>
    <mergeCell ref="E9:J9"/>
    <mergeCell ref="A10:D10"/>
    <mergeCell ref="E10:J10"/>
    <mergeCell ref="A1:D4"/>
    <mergeCell ref="E1:J4"/>
    <mergeCell ref="A5:J5"/>
    <mergeCell ref="A6:D6"/>
    <mergeCell ref="E6:J6"/>
    <mergeCell ref="A7:D7"/>
    <mergeCell ref="E7:J7"/>
    <mergeCell ref="A16:B16"/>
    <mergeCell ref="C16:E16"/>
    <mergeCell ref="A17:B17"/>
    <mergeCell ref="C17:E17"/>
    <mergeCell ref="A18:B18"/>
    <mergeCell ref="C18:E18"/>
    <mergeCell ref="A11:D11"/>
    <mergeCell ref="E11:J11"/>
    <mergeCell ref="A12:J12"/>
    <mergeCell ref="A14:B15"/>
    <mergeCell ref="C14:E15"/>
    <mergeCell ref="F14:F15"/>
    <mergeCell ref="G14:G15"/>
    <mergeCell ref="H14:H15"/>
    <mergeCell ref="I14:J14"/>
    <mergeCell ref="A22:B22"/>
    <mergeCell ref="C22:E22"/>
    <mergeCell ref="A23:B23"/>
    <mergeCell ref="C23:E23"/>
    <mergeCell ref="A24:B24"/>
    <mergeCell ref="C24:E24"/>
    <mergeCell ref="A19:B19"/>
    <mergeCell ref="C19:E19"/>
    <mergeCell ref="A20:B20"/>
    <mergeCell ref="C20:E20"/>
    <mergeCell ref="A21:B21"/>
    <mergeCell ref="C21:E21"/>
    <mergeCell ref="A28:B28"/>
    <mergeCell ref="C28:E28"/>
    <mergeCell ref="A29:B29"/>
    <mergeCell ref="C29:E29"/>
    <mergeCell ref="A30:B30"/>
    <mergeCell ref="C30:E30"/>
    <mergeCell ref="A25:B25"/>
    <mergeCell ref="C25:E25"/>
    <mergeCell ref="A26:B26"/>
    <mergeCell ref="C26:E26"/>
    <mergeCell ref="A27:B27"/>
    <mergeCell ref="C27:E27"/>
    <mergeCell ref="A34:B34"/>
    <mergeCell ref="C34:E34"/>
    <mergeCell ref="A35:B35"/>
    <mergeCell ref="C35:E35"/>
    <mergeCell ref="A36:B36"/>
    <mergeCell ref="C36:E36"/>
    <mergeCell ref="A31:B31"/>
    <mergeCell ref="C31:E31"/>
    <mergeCell ref="A32:B32"/>
    <mergeCell ref="C32:E32"/>
    <mergeCell ref="A33:B33"/>
    <mergeCell ref="C33:E33"/>
    <mergeCell ref="A41:B41"/>
    <mergeCell ref="C41:E41"/>
    <mergeCell ref="A42:B42"/>
    <mergeCell ref="C42:E42"/>
    <mergeCell ref="A43:B43"/>
    <mergeCell ref="C43:E43"/>
    <mergeCell ref="A37:B37"/>
    <mergeCell ref="C37:E37"/>
    <mergeCell ref="A38:B38"/>
    <mergeCell ref="C38:E38"/>
    <mergeCell ref="A39:I39"/>
    <mergeCell ref="A40:B40"/>
    <mergeCell ref="C40:E40"/>
    <mergeCell ref="A47:B47"/>
    <mergeCell ref="C47:E47"/>
    <mergeCell ref="A48:B48"/>
    <mergeCell ref="C48:E48"/>
    <mergeCell ref="A49:B49"/>
    <mergeCell ref="C49:E49"/>
    <mergeCell ref="A44:B44"/>
    <mergeCell ref="C44:E44"/>
    <mergeCell ref="A45:B45"/>
    <mergeCell ref="C45:E45"/>
    <mergeCell ref="A46:B46"/>
    <mergeCell ref="C46:E46"/>
    <mergeCell ref="A53:B53"/>
    <mergeCell ref="C53:E53"/>
    <mergeCell ref="A54:B54"/>
    <mergeCell ref="C54:E54"/>
    <mergeCell ref="A55:B55"/>
    <mergeCell ref="C55:E55"/>
    <mergeCell ref="A50:B50"/>
    <mergeCell ref="C50:E50"/>
    <mergeCell ref="A51:B51"/>
    <mergeCell ref="C51:E51"/>
    <mergeCell ref="A52:B52"/>
    <mergeCell ref="C52:E52"/>
    <mergeCell ref="A59:B59"/>
    <mergeCell ref="C59:E59"/>
    <mergeCell ref="A60:B60"/>
    <mergeCell ref="C60:E60"/>
    <mergeCell ref="A61:B61"/>
    <mergeCell ref="C61:E61"/>
    <mergeCell ref="A56:B56"/>
    <mergeCell ref="C56:E56"/>
    <mergeCell ref="A57:B57"/>
    <mergeCell ref="C57:E57"/>
    <mergeCell ref="A58:B58"/>
    <mergeCell ref="C58:E58"/>
    <mergeCell ref="A65:B65"/>
    <mergeCell ref="C65:E65"/>
    <mergeCell ref="A66:B66"/>
    <mergeCell ref="C66:E66"/>
    <mergeCell ref="A67:B67"/>
    <mergeCell ref="C67:E67"/>
    <mergeCell ref="A62:B62"/>
    <mergeCell ref="C62:E62"/>
    <mergeCell ref="A63:B63"/>
    <mergeCell ref="C63:E63"/>
    <mergeCell ref="A64:B64"/>
    <mergeCell ref="C64:E64"/>
    <mergeCell ref="A71:B71"/>
    <mergeCell ref="C71:E71"/>
    <mergeCell ref="A72:B72"/>
    <mergeCell ref="C72:E72"/>
    <mergeCell ref="A73:I73"/>
    <mergeCell ref="A74:B74"/>
    <mergeCell ref="C74:E74"/>
    <mergeCell ref="A68:B68"/>
    <mergeCell ref="C68:E68"/>
    <mergeCell ref="A69:B69"/>
    <mergeCell ref="C69:E69"/>
    <mergeCell ref="A70:B70"/>
    <mergeCell ref="C70:E70"/>
    <mergeCell ref="A78:I78"/>
    <mergeCell ref="A79:B79"/>
    <mergeCell ref="C79:E79"/>
    <mergeCell ref="A80:B80"/>
    <mergeCell ref="C80:E80"/>
    <mergeCell ref="A81:B81"/>
    <mergeCell ref="C81:E81"/>
    <mergeCell ref="A75:B75"/>
    <mergeCell ref="C75:E75"/>
    <mergeCell ref="A76:B76"/>
    <mergeCell ref="C76:E76"/>
    <mergeCell ref="A77:B77"/>
    <mergeCell ref="C77:E77"/>
    <mergeCell ref="A85:B85"/>
    <mergeCell ref="C85:E85"/>
    <mergeCell ref="A86:B86"/>
    <mergeCell ref="C86:E86"/>
    <mergeCell ref="A87:B87"/>
    <mergeCell ref="C87:E87"/>
    <mergeCell ref="A82:B82"/>
    <mergeCell ref="C82:E82"/>
    <mergeCell ref="A83:B83"/>
    <mergeCell ref="C83:E83"/>
    <mergeCell ref="A84:B84"/>
    <mergeCell ref="C84:E84"/>
    <mergeCell ref="A91:B91"/>
    <mergeCell ref="C91:E91"/>
    <mergeCell ref="A92:B92"/>
    <mergeCell ref="C92:E92"/>
    <mergeCell ref="A93:B93"/>
    <mergeCell ref="C93:E93"/>
    <mergeCell ref="A88:B88"/>
    <mergeCell ref="C88:E88"/>
    <mergeCell ref="A89:B89"/>
    <mergeCell ref="C89:E89"/>
    <mergeCell ref="A90:B90"/>
    <mergeCell ref="C90:E90"/>
    <mergeCell ref="A97:B97"/>
    <mergeCell ref="C97:E97"/>
    <mergeCell ref="A98:B98"/>
    <mergeCell ref="C98:E98"/>
    <mergeCell ref="A99:B99"/>
    <mergeCell ref="C99:E99"/>
    <mergeCell ref="A94:B94"/>
    <mergeCell ref="C94:E94"/>
    <mergeCell ref="A95:B95"/>
    <mergeCell ref="C95:E95"/>
    <mergeCell ref="A96:B96"/>
    <mergeCell ref="C96:E96"/>
    <mergeCell ref="A103:B103"/>
    <mergeCell ref="C103:E103"/>
    <mergeCell ref="A104:B104"/>
    <mergeCell ref="C104:E104"/>
    <mergeCell ref="A105:B105"/>
    <mergeCell ref="C105:E105"/>
    <mergeCell ref="A100:B100"/>
    <mergeCell ref="C100:E100"/>
    <mergeCell ref="A101:B101"/>
    <mergeCell ref="C101:E101"/>
    <mergeCell ref="A102:B102"/>
    <mergeCell ref="C102:E102"/>
    <mergeCell ref="A109:B109"/>
    <mergeCell ref="C109:E109"/>
    <mergeCell ref="A110:B110"/>
    <mergeCell ref="C110:E110"/>
    <mergeCell ref="A111:B111"/>
    <mergeCell ref="C111:E111"/>
    <mergeCell ref="A106:B106"/>
    <mergeCell ref="C106:E106"/>
    <mergeCell ref="A107:B107"/>
    <mergeCell ref="C107:E107"/>
    <mergeCell ref="A108:B108"/>
    <mergeCell ref="C108:E108"/>
    <mergeCell ref="A115:B115"/>
    <mergeCell ref="C115:E115"/>
    <mergeCell ref="A116:B116"/>
    <mergeCell ref="C116:E116"/>
    <mergeCell ref="A117:B117"/>
    <mergeCell ref="C117:E117"/>
    <mergeCell ref="A112:B112"/>
    <mergeCell ref="C112:E112"/>
    <mergeCell ref="A113:B113"/>
    <mergeCell ref="C113:E113"/>
    <mergeCell ref="A114:B114"/>
    <mergeCell ref="C114:E114"/>
    <mergeCell ref="A122:B122"/>
    <mergeCell ref="C122:E122"/>
    <mergeCell ref="A123:B123"/>
    <mergeCell ref="C123:E123"/>
    <mergeCell ref="A124:B124"/>
    <mergeCell ref="C124:E124"/>
    <mergeCell ref="A118:I118"/>
    <mergeCell ref="A119:B119"/>
    <mergeCell ref="C119:E119"/>
    <mergeCell ref="A120:B120"/>
    <mergeCell ref="C120:E120"/>
    <mergeCell ref="A121:B121"/>
    <mergeCell ref="C121:E121"/>
    <mergeCell ref="A128:B128"/>
    <mergeCell ref="C128:E128"/>
    <mergeCell ref="A129:B129"/>
    <mergeCell ref="C129:E129"/>
    <mergeCell ref="A130:B130"/>
    <mergeCell ref="C130:E130"/>
    <mergeCell ref="A125:B125"/>
    <mergeCell ref="C125:E125"/>
    <mergeCell ref="A126:B126"/>
    <mergeCell ref="C126:E126"/>
    <mergeCell ref="A127:B127"/>
    <mergeCell ref="C127:E127"/>
    <mergeCell ref="A140:M140"/>
    <mergeCell ref="B143:C143"/>
    <mergeCell ref="A135:D135"/>
    <mergeCell ref="F135:H135"/>
    <mergeCell ref="A136:D136"/>
    <mergeCell ref="E136:H136"/>
    <mergeCell ref="A137:H137"/>
    <mergeCell ref="A138:I138"/>
    <mergeCell ref="A131:I131"/>
    <mergeCell ref="A132:H132"/>
    <mergeCell ref="A133:D133"/>
    <mergeCell ref="F133:H133"/>
    <mergeCell ref="A134:D134"/>
    <mergeCell ref="F134:H134"/>
  </mergeCells>
  <conditionalFormatting sqref="K16:K138">
    <cfRule type="cellIs" dxfId="294" priority="3" operator="greaterThan">
      <formula>0</formula>
    </cfRule>
    <cfRule type="cellIs" dxfId="293" priority="4" operator="lessThan">
      <formula>0</formula>
    </cfRule>
    <cfRule type="cellIs" dxfId="292" priority="5" operator="lessThan">
      <formula>0</formula>
    </cfRule>
  </conditionalFormatting>
  <conditionalFormatting sqref="L16:L138">
    <cfRule type="cellIs" dxfId="291" priority="1" operator="greaterThan">
      <formula>0.8</formula>
    </cfRule>
    <cfRule type="cellIs" dxfId="290" priority="2" operator="lessThan">
      <formula>0.8</formula>
    </cfRule>
  </conditionalFormatting>
  <pageMargins left="0.7" right="0.7" top="0.75" bottom="0.75" header="0.3" footer="0.3"/>
  <pageSetup paperSize="9" scale="2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C1893-3876-4B9F-B873-02AD3F62175E}">
  <sheetPr>
    <tabColor rgb="FF92D050"/>
    <pageSetUpPr fitToPage="1"/>
  </sheetPr>
  <dimension ref="A1:AZ49"/>
  <sheetViews>
    <sheetView topLeftCell="C40" zoomScale="55" zoomScaleNormal="55" zoomScaleSheetLayoutView="50" workbookViewId="0">
      <selection activeCell="G61" sqref="G61"/>
    </sheetView>
  </sheetViews>
  <sheetFormatPr baseColWidth="10" defaultColWidth="11.42578125" defaultRowHeight="16.5"/>
  <cols>
    <col min="1" max="1" width="16" style="2" customWidth="1"/>
    <col min="2" max="2" width="25.42578125" style="2" customWidth="1"/>
    <col min="3" max="3" width="43.42578125" style="2" customWidth="1"/>
    <col min="4" max="4" width="28.28515625" style="2" customWidth="1"/>
    <col min="5" max="5" width="26.140625" style="2" customWidth="1"/>
    <col min="6" max="6" width="32.42578125" style="2" customWidth="1"/>
    <col min="7" max="7" width="29.5703125" style="2" customWidth="1"/>
    <col min="8" max="8" width="32.42578125" style="2" hidden="1" customWidth="1"/>
    <col min="9" max="9" width="33.85546875" style="2" customWidth="1"/>
    <col min="10" max="10" width="23.28515625" style="2" customWidth="1"/>
    <col min="11" max="11" width="28.42578125" style="2" customWidth="1"/>
    <col min="12" max="12" width="33.5703125" style="2" customWidth="1"/>
    <col min="13" max="13" width="11.42578125" style="3" hidden="1" customWidth="1"/>
    <col min="14" max="14" width="15.7109375" style="14" customWidth="1"/>
    <col min="15" max="15" width="41.7109375" style="14" customWidth="1"/>
    <col min="16" max="16" width="23.28515625" style="14" customWidth="1"/>
    <col min="17" max="17" width="11.42578125" style="14" customWidth="1"/>
    <col min="18" max="18" width="11.42578125" style="2"/>
    <col min="19" max="19" width="53.7109375" style="2" customWidth="1"/>
    <col min="20" max="16384" width="11.42578125" style="2"/>
  </cols>
  <sheetData>
    <row r="1" spans="1:17" ht="85.5" customHeight="1" thickBot="1">
      <c r="A1" s="1">
        <v>2</v>
      </c>
      <c r="C1" s="214" t="s">
        <v>29</v>
      </c>
      <c r="D1" s="215"/>
      <c r="E1" s="215"/>
      <c r="F1" s="215"/>
      <c r="G1" s="215"/>
      <c r="H1" s="215"/>
      <c r="I1" s="215"/>
      <c r="J1" s="215"/>
      <c r="K1" s="216"/>
      <c r="L1" s="39"/>
      <c r="N1" s="3"/>
      <c r="O1" s="3"/>
      <c r="P1" s="3"/>
      <c r="Q1" s="3"/>
    </row>
    <row r="2" spans="1:17" ht="16.5" customHeight="1" thickBot="1">
      <c r="A2" s="4"/>
      <c r="B2" s="5"/>
      <c r="C2" s="5"/>
      <c r="D2" s="5"/>
      <c r="E2" s="5"/>
      <c r="F2" s="5"/>
      <c r="G2" s="5"/>
      <c r="H2" s="5"/>
      <c r="I2" s="5"/>
      <c r="J2" s="5"/>
      <c r="K2" s="5"/>
      <c r="L2" s="5"/>
      <c r="N2" s="3"/>
      <c r="O2" s="3"/>
      <c r="P2" s="3"/>
      <c r="Q2" s="3"/>
    </row>
    <row r="3" spans="1:17" ht="54.75" customHeight="1" thickBot="1">
      <c r="A3" s="4"/>
      <c r="B3" s="4"/>
      <c r="C3" s="80" t="s">
        <v>2</v>
      </c>
      <c r="D3" s="217" t="str">
        <f>+'CONSOLIDADO FINANCIERO'!L5</f>
        <v>REALIZAR LAS REPARACIONES LOCATIVAS DE LA INFRAESTRUCTURA FÍSICA DE LA SEDE PRINCIPAL - CNA DEL FONDO NACIONAL DEL AHORRO S.A.</v>
      </c>
      <c r="E3" s="218"/>
      <c r="F3" s="218"/>
      <c r="G3" s="218"/>
      <c r="H3" s="218"/>
      <c r="I3" s="218"/>
      <c r="J3" s="218"/>
      <c r="K3" s="219"/>
      <c r="L3" s="40"/>
      <c r="N3" s="3"/>
      <c r="O3" s="3"/>
      <c r="P3" s="3"/>
      <c r="Q3" s="3"/>
    </row>
    <row r="4" spans="1:17" ht="36.75" customHeight="1">
      <c r="A4" s="4"/>
      <c r="B4" s="4"/>
      <c r="C4" s="7" t="s">
        <v>4</v>
      </c>
      <c r="D4" s="220" t="str">
        <f>+'CONSOLIDADO FINANCIERO'!D6</f>
        <v>FNA-VGHA-CP-015-2024</v>
      </c>
      <c r="E4" s="220"/>
      <c r="F4" s="220"/>
      <c r="G4" s="220"/>
      <c r="H4" s="220"/>
      <c r="I4" s="220"/>
      <c r="J4" s="220"/>
      <c r="K4" s="221"/>
      <c r="L4" s="40"/>
      <c r="N4" s="3"/>
      <c r="O4" s="3"/>
      <c r="P4" s="3"/>
      <c r="Q4" s="3"/>
    </row>
    <row r="5" spans="1:17" ht="35.25" customHeight="1" thickBot="1">
      <c r="A5" s="4"/>
      <c r="B5" s="4"/>
      <c r="C5" s="8" t="s">
        <v>30</v>
      </c>
      <c r="D5" s="222">
        <f>+'CONSOLIDADO FINANCIERO'!L7</f>
        <v>5282931966</v>
      </c>
      <c r="E5" s="222"/>
      <c r="F5" s="222"/>
      <c r="G5" s="222"/>
      <c r="H5" s="222"/>
      <c r="I5" s="222"/>
      <c r="J5" s="222"/>
      <c r="K5" s="223"/>
      <c r="L5" s="40"/>
      <c r="N5" s="3"/>
      <c r="O5" s="3"/>
      <c r="P5" s="3"/>
      <c r="Q5" s="3"/>
    </row>
    <row r="6" spans="1:17" ht="16.5" customHeight="1" thickBot="1">
      <c r="A6" s="4"/>
      <c r="B6" s="4"/>
      <c r="C6" s="9"/>
      <c r="D6" s="10"/>
      <c r="E6" s="10"/>
      <c r="F6" s="10"/>
      <c r="G6" s="10"/>
      <c r="H6" s="10"/>
      <c r="I6" s="10"/>
      <c r="J6" s="10"/>
      <c r="K6" s="10"/>
      <c r="L6" s="40"/>
      <c r="N6" s="3"/>
      <c r="O6" s="3"/>
      <c r="P6" s="3"/>
      <c r="Q6" s="3"/>
    </row>
    <row r="7" spans="1:17" ht="60" customHeight="1" thickBot="1">
      <c r="A7" s="4"/>
      <c r="B7" s="4"/>
      <c r="C7" s="224" t="s">
        <v>31</v>
      </c>
      <c r="D7" s="225"/>
      <c r="E7" s="225"/>
      <c r="F7" s="225"/>
      <c r="G7" s="225"/>
      <c r="H7" s="225"/>
      <c r="I7" s="225"/>
      <c r="J7" s="225"/>
      <c r="K7" s="226"/>
      <c r="L7" s="40"/>
      <c r="N7" s="3"/>
      <c r="O7" s="3"/>
      <c r="P7" s="3"/>
      <c r="Q7" s="3"/>
    </row>
    <row r="8" spans="1:17" ht="60" customHeight="1" thickBot="1">
      <c r="A8" s="4"/>
      <c r="B8" s="4"/>
      <c r="C8" s="241" t="s">
        <v>264</v>
      </c>
      <c r="D8" s="242"/>
      <c r="E8" s="242"/>
      <c r="F8" s="242"/>
      <c r="G8" s="242"/>
      <c r="H8" s="242"/>
      <c r="I8" s="242"/>
      <c r="J8" s="242"/>
      <c r="K8" s="353"/>
      <c r="L8" s="40"/>
      <c r="N8" s="3"/>
      <c r="O8" s="3"/>
      <c r="P8" s="3"/>
      <c r="Q8" s="3"/>
    </row>
    <row r="9" spans="1:17" ht="42.75" customHeight="1" thickBot="1">
      <c r="A9" s="4"/>
      <c r="B9" s="4"/>
      <c r="C9" s="227" t="s">
        <v>265</v>
      </c>
      <c r="D9" s="228"/>
      <c r="E9" s="228"/>
      <c r="F9" s="228"/>
      <c r="G9" s="228"/>
      <c r="H9" s="228"/>
      <c r="I9" s="228"/>
      <c r="J9" s="228"/>
      <c r="K9" s="229"/>
      <c r="L9" s="40"/>
      <c r="N9" s="3"/>
      <c r="O9" s="3"/>
      <c r="P9" s="3"/>
      <c r="Q9" s="3"/>
    </row>
    <row r="10" spans="1:17" ht="36.75" customHeight="1">
      <c r="A10" s="4"/>
      <c r="B10" s="4"/>
      <c r="C10" s="6" t="s">
        <v>33</v>
      </c>
      <c r="D10" s="234">
        <v>45643</v>
      </c>
      <c r="E10" s="234"/>
      <c r="F10" s="234"/>
      <c r="G10" s="234"/>
      <c r="H10" s="234"/>
      <c r="I10" s="234"/>
      <c r="J10" s="235"/>
      <c r="K10" s="236"/>
      <c r="L10" s="40"/>
      <c r="N10" s="3"/>
      <c r="O10" s="3"/>
      <c r="P10" s="3"/>
      <c r="Q10" s="3"/>
    </row>
    <row r="11" spans="1:17" ht="36.75" customHeight="1" thickBot="1">
      <c r="A11" s="4"/>
      <c r="B11" s="4"/>
      <c r="C11" s="7" t="s">
        <v>34</v>
      </c>
      <c r="D11" s="230">
        <v>45642</v>
      </c>
      <c r="E11" s="230"/>
      <c r="F11" s="230"/>
      <c r="G11" s="230"/>
      <c r="H11" s="230"/>
      <c r="I11" s="230"/>
      <c r="J11" s="237" t="str">
        <f>IF(D11&gt;=O11,"CUMPLE","NO CUMPLE")</f>
        <v>CUMPLE</v>
      </c>
      <c r="K11" s="238"/>
      <c r="L11" s="41" t="s">
        <v>35</v>
      </c>
      <c r="M11" s="42">
        <f>IF(J11="CUMPLE",0,1)</f>
        <v>0</v>
      </c>
      <c r="N11" s="13">
        <f ca="1">+TODAY()-30</f>
        <v>45622</v>
      </c>
      <c r="O11" s="12">
        <f>+D10-30</f>
        <v>45613</v>
      </c>
      <c r="P11" s="3" t="s">
        <v>36</v>
      </c>
      <c r="Q11" s="3"/>
    </row>
    <row r="12" spans="1:17" ht="36.75" customHeight="1" thickBot="1">
      <c r="A12" s="4"/>
      <c r="B12" s="4"/>
      <c r="C12" s="7" t="s">
        <v>37</v>
      </c>
      <c r="D12" s="230">
        <v>45397</v>
      </c>
      <c r="E12" s="230"/>
      <c r="F12" s="230"/>
      <c r="G12" s="230"/>
      <c r="H12" s="230"/>
      <c r="I12" s="230"/>
      <c r="J12" s="237" t="str">
        <f>IF(D11&gt;=O12,"CUMPLE","NO CUMPLE")</f>
        <v>CUMPLE</v>
      </c>
      <c r="K12" s="238"/>
      <c r="L12" s="41" t="s">
        <v>35</v>
      </c>
      <c r="M12" s="11">
        <f>IF(J12="CUMPLE",0,1)</f>
        <v>0</v>
      </c>
      <c r="N12" s="3"/>
      <c r="O12" s="13">
        <f>+D12+15</f>
        <v>45412</v>
      </c>
      <c r="P12" s="3" t="s">
        <v>38</v>
      </c>
      <c r="Q12" s="3"/>
    </row>
    <row r="13" spans="1:17" s="14" customFormat="1" ht="41.25" customHeight="1" thickBot="1">
      <c r="A13" s="4"/>
      <c r="B13" s="4"/>
      <c r="C13" s="8" t="s">
        <v>39</v>
      </c>
      <c r="D13" s="230">
        <v>45291</v>
      </c>
      <c r="E13" s="230"/>
      <c r="F13" s="230"/>
      <c r="G13" s="230"/>
      <c r="H13" s="230"/>
      <c r="I13" s="230"/>
      <c r="J13" s="231" t="str">
        <f>IF(D11&gt;=O13,"CUMPLE","NO CUMPLE")</f>
        <v>CUMPLE</v>
      </c>
      <c r="K13" s="232"/>
      <c r="L13" s="41" t="s">
        <v>35</v>
      </c>
      <c r="M13" s="11">
        <f>IF(J13="CUMPLE",0,1)</f>
        <v>0</v>
      </c>
      <c r="N13" s="3"/>
      <c r="O13" s="13">
        <f>+D13+15</f>
        <v>45306</v>
      </c>
      <c r="P13" s="3"/>
      <c r="Q13" s="3"/>
    </row>
    <row r="14" spans="1:17" ht="31.5" customHeight="1" thickBot="1">
      <c r="A14" s="4"/>
      <c r="B14" s="4"/>
      <c r="C14" s="233"/>
      <c r="D14" s="233"/>
      <c r="E14" s="233"/>
      <c r="F14" s="233"/>
      <c r="G14" s="233"/>
      <c r="H14" s="233"/>
      <c r="I14" s="233"/>
      <c r="J14" s="233"/>
      <c r="K14" s="233"/>
      <c r="L14" s="41"/>
      <c r="N14" s="3"/>
      <c r="O14" s="3"/>
      <c r="P14" s="3"/>
      <c r="Q14" s="3"/>
    </row>
    <row r="15" spans="1:17" ht="37.5" customHeight="1" thickBot="1">
      <c r="A15" s="4"/>
      <c r="B15" s="4"/>
      <c r="C15" s="227" t="s">
        <v>266</v>
      </c>
      <c r="D15" s="228"/>
      <c r="E15" s="228"/>
      <c r="F15" s="228"/>
      <c r="G15" s="228"/>
      <c r="H15" s="228"/>
      <c r="I15" s="228"/>
      <c r="J15" s="228"/>
      <c r="K15" s="229"/>
      <c r="L15" s="41"/>
      <c r="N15" s="3"/>
      <c r="O15" s="3"/>
      <c r="P15" s="3"/>
      <c r="Q15" s="3"/>
    </row>
    <row r="16" spans="1:17" ht="36.75" customHeight="1">
      <c r="A16" s="4"/>
      <c r="B16" s="4"/>
      <c r="C16" s="6" t="s">
        <v>33</v>
      </c>
      <c r="D16" s="234">
        <v>45643</v>
      </c>
      <c r="E16" s="234"/>
      <c r="F16" s="234"/>
      <c r="G16" s="234"/>
      <c r="H16" s="234"/>
      <c r="I16" s="234"/>
      <c r="J16" s="235"/>
      <c r="K16" s="236"/>
      <c r="L16" s="41"/>
      <c r="N16" s="3"/>
      <c r="O16" s="3"/>
      <c r="P16" s="3"/>
      <c r="Q16" s="3"/>
    </row>
    <row r="17" spans="1:19" ht="36.75" customHeight="1">
      <c r="A17" s="4"/>
      <c r="B17" s="4"/>
      <c r="C17" s="7" t="s">
        <v>34</v>
      </c>
      <c r="D17" s="239">
        <v>45620</v>
      </c>
      <c r="E17" s="239"/>
      <c r="F17" s="239"/>
      <c r="G17" s="239"/>
      <c r="H17" s="239"/>
      <c r="I17" s="239"/>
      <c r="J17" s="237" t="str">
        <f>IF(D17&gt;=O17,"CUMPLE","NO CUMPLE")</f>
        <v>CUMPLE</v>
      </c>
      <c r="K17" s="238"/>
      <c r="L17" s="41" t="s">
        <v>35</v>
      </c>
      <c r="M17" s="11">
        <f>IF(J17="CUMPLE",0,1)</f>
        <v>0</v>
      </c>
      <c r="N17" s="3"/>
      <c r="O17" s="12">
        <f>+D16-30</f>
        <v>45613</v>
      </c>
      <c r="P17" s="3" t="s">
        <v>36</v>
      </c>
      <c r="Q17" s="3"/>
    </row>
    <row r="18" spans="1:19" ht="36.75" customHeight="1">
      <c r="A18" s="4"/>
      <c r="B18" s="4"/>
      <c r="C18" s="7" t="s">
        <v>37</v>
      </c>
      <c r="D18" s="239">
        <v>45448</v>
      </c>
      <c r="E18" s="239"/>
      <c r="F18" s="239"/>
      <c r="G18" s="239"/>
      <c r="H18" s="239"/>
      <c r="I18" s="239"/>
      <c r="J18" s="237" t="str">
        <f>IF(D17&gt;=O18,"CUMPLE","NO CUMPLE")</f>
        <v>CUMPLE</v>
      </c>
      <c r="K18" s="238"/>
      <c r="L18" s="41" t="s">
        <v>35</v>
      </c>
      <c r="M18" s="11">
        <f>IF(J18="CUMPLE",0,1)</f>
        <v>0</v>
      </c>
      <c r="N18" s="3"/>
      <c r="O18" s="13">
        <f>+D18+15</f>
        <v>45463</v>
      </c>
      <c r="P18" s="3" t="s">
        <v>38</v>
      </c>
      <c r="Q18" s="3"/>
    </row>
    <row r="19" spans="1:19" s="14" customFormat="1" ht="36" customHeight="1" thickBot="1">
      <c r="A19" s="4"/>
      <c r="B19" s="4"/>
      <c r="C19" s="8" t="s">
        <v>39</v>
      </c>
      <c r="D19" s="230">
        <v>45291</v>
      </c>
      <c r="E19" s="230"/>
      <c r="F19" s="230"/>
      <c r="G19" s="230"/>
      <c r="H19" s="230"/>
      <c r="I19" s="230"/>
      <c r="J19" s="231" t="str">
        <f>IF(D17&gt;=O19,"CUMPLE","NO CUMPLE")</f>
        <v>CUMPLE</v>
      </c>
      <c r="K19" s="232"/>
      <c r="L19" s="41" t="s">
        <v>35</v>
      </c>
      <c r="M19" s="11">
        <f>IF(J19="CUMPLE",0,1)</f>
        <v>0</v>
      </c>
      <c r="N19" s="3"/>
      <c r="O19" s="13">
        <f>+D19+15</f>
        <v>45306</v>
      </c>
      <c r="P19" s="3"/>
      <c r="Q19" s="3"/>
    </row>
    <row r="20" spans="1:19" ht="13.5" customHeight="1">
      <c r="B20" s="4"/>
      <c r="C20" s="15"/>
      <c r="D20" s="16"/>
      <c r="E20" s="16"/>
      <c r="F20" s="17"/>
      <c r="G20" s="16"/>
      <c r="H20" s="16"/>
      <c r="I20" s="16"/>
      <c r="J20" s="18"/>
      <c r="K20" s="19"/>
      <c r="L20" s="40"/>
      <c r="M20" s="11"/>
      <c r="N20" s="3"/>
      <c r="O20" s="3"/>
      <c r="P20" s="3"/>
      <c r="Q20" s="3"/>
    </row>
    <row r="21" spans="1:19" ht="31.5" hidden="1" customHeight="1" thickBot="1">
      <c r="A21" s="4"/>
      <c r="B21" s="4"/>
      <c r="C21" s="224"/>
      <c r="D21" s="225"/>
      <c r="E21" s="225"/>
      <c r="F21" s="225"/>
      <c r="G21" s="225"/>
      <c r="H21" s="225"/>
      <c r="I21" s="225"/>
      <c r="J21" s="225"/>
      <c r="K21" s="226"/>
      <c r="L21" s="41"/>
      <c r="N21" s="3"/>
      <c r="O21" s="3"/>
      <c r="P21" s="3"/>
      <c r="Q21" s="3"/>
    </row>
    <row r="22" spans="1:19" ht="5.0999999999999996" hidden="1" customHeight="1" thickBot="1">
      <c r="A22" s="4"/>
      <c r="B22" s="4"/>
      <c r="C22" s="9"/>
      <c r="D22" s="10"/>
      <c r="E22" s="10"/>
      <c r="F22" s="10"/>
      <c r="G22" s="10"/>
      <c r="H22" s="10"/>
      <c r="I22" s="10"/>
      <c r="J22" s="10"/>
      <c r="K22" s="10"/>
      <c r="L22" s="41"/>
      <c r="N22" s="3"/>
      <c r="O22" s="3"/>
      <c r="P22" s="3"/>
      <c r="Q22" s="3"/>
    </row>
    <row r="23" spans="1:19" ht="36.75" hidden="1" customHeight="1">
      <c r="A23" s="4"/>
      <c r="B23" s="4"/>
      <c r="C23" s="6" t="s">
        <v>33</v>
      </c>
      <c r="D23" s="234"/>
      <c r="E23" s="234"/>
      <c r="F23" s="234"/>
      <c r="G23" s="234"/>
      <c r="H23" s="234"/>
      <c r="I23" s="234"/>
      <c r="J23" s="235"/>
      <c r="K23" s="236"/>
      <c r="L23" s="41"/>
      <c r="N23" s="3"/>
      <c r="O23" s="3"/>
      <c r="P23" s="3"/>
      <c r="Q23" s="3"/>
    </row>
    <row r="24" spans="1:19" ht="36.75" hidden="1" customHeight="1">
      <c r="A24" s="4"/>
      <c r="B24" s="4"/>
      <c r="C24" s="7" t="s">
        <v>34</v>
      </c>
      <c r="D24" s="239"/>
      <c r="E24" s="239"/>
      <c r="F24" s="239"/>
      <c r="G24" s="239"/>
      <c r="H24" s="239"/>
      <c r="I24" s="239"/>
      <c r="J24" s="237"/>
      <c r="K24" s="237"/>
      <c r="L24" s="41" t="s">
        <v>35</v>
      </c>
      <c r="M24" s="11">
        <f>IF(J24="CUMPLE",0,1)</f>
        <v>1</v>
      </c>
      <c r="N24" s="3"/>
      <c r="O24" s="12">
        <f>+D23-30</f>
        <v>-30</v>
      </c>
      <c r="P24" s="3" t="s">
        <v>36</v>
      </c>
      <c r="Q24" s="3"/>
    </row>
    <row r="25" spans="1:19" ht="36.75" hidden="1" customHeight="1">
      <c r="A25" s="4"/>
      <c r="B25" s="4"/>
      <c r="C25" s="7" t="s">
        <v>37</v>
      </c>
      <c r="D25" s="239"/>
      <c r="E25" s="239"/>
      <c r="F25" s="240"/>
      <c r="G25" s="240"/>
      <c r="H25" s="240"/>
      <c r="I25" s="239"/>
      <c r="J25" s="237"/>
      <c r="K25" s="237"/>
      <c r="L25" s="41" t="s">
        <v>35</v>
      </c>
      <c r="M25" s="11">
        <f>IF(J25="CUMPLE",0,1)</f>
        <v>1</v>
      </c>
      <c r="N25" s="3"/>
      <c r="O25" s="13">
        <f>+D25+15</f>
        <v>15</v>
      </c>
      <c r="P25" s="3" t="s">
        <v>38</v>
      </c>
      <c r="Q25" s="3"/>
    </row>
    <row r="26" spans="1:19" s="14" customFormat="1" ht="36" hidden="1" customHeight="1" thickBot="1">
      <c r="A26" s="4"/>
      <c r="B26" s="4"/>
      <c r="C26" s="8" t="s">
        <v>39</v>
      </c>
      <c r="D26" s="230"/>
      <c r="E26" s="230"/>
      <c r="F26" s="230"/>
      <c r="G26" s="230"/>
      <c r="H26" s="230"/>
      <c r="I26" s="230"/>
      <c r="J26" s="237"/>
      <c r="K26" s="237"/>
      <c r="L26" s="41" t="s">
        <v>35</v>
      </c>
      <c r="M26" s="11">
        <f>IF(J26="CUMPLE",0,1)</f>
        <v>1</v>
      </c>
      <c r="N26" s="3"/>
      <c r="O26" s="13">
        <f>+D26+15</f>
        <v>15</v>
      </c>
      <c r="P26" s="3"/>
      <c r="Q26" s="3"/>
    </row>
    <row r="27" spans="1:19" ht="13.5" customHeight="1" thickBot="1">
      <c r="B27" s="4"/>
      <c r="C27" s="15"/>
      <c r="D27" s="16"/>
      <c r="E27" s="16"/>
      <c r="F27" s="17"/>
      <c r="G27" s="16"/>
      <c r="H27" s="16"/>
      <c r="I27" s="16"/>
      <c r="J27" s="18"/>
      <c r="K27" s="19"/>
      <c r="L27" s="40"/>
      <c r="M27" s="11"/>
      <c r="N27" s="3"/>
      <c r="O27" s="3"/>
      <c r="P27" s="3"/>
      <c r="Q27" s="3"/>
    </row>
    <row r="28" spans="1:19" ht="39" customHeight="1" thickBot="1">
      <c r="A28" s="4"/>
      <c r="B28" s="5"/>
      <c r="C28" s="241" t="s">
        <v>40</v>
      </c>
      <c r="D28" s="242"/>
      <c r="E28" s="242"/>
      <c r="F28" s="243"/>
      <c r="G28" s="242"/>
      <c r="H28" s="242"/>
      <c r="I28" s="242"/>
      <c r="J28" s="242"/>
      <c r="K28" s="244"/>
      <c r="L28" s="5"/>
      <c r="N28" s="3"/>
      <c r="O28" s="3"/>
      <c r="P28" s="3"/>
      <c r="Q28" s="3"/>
    </row>
    <row r="29" spans="1:19" ht="7.5" customHeight="1">
      <c r="A29" s="4"/>
      <c r="B29" s="5"/>
      <c r="C29" s="5"/>
      <c r="D29" s="5"/>
      <c r="E29" s="5"/>
      <c r="F29" s="20"/>
      <c r="G29" s="5"/>
      <c r="H29" s="5"/>
      <c r="I29" s="5"/>
      <c r="J29" s="5"/>
      <c r="K29" s="21"/>
      <c r="L29" s="5"/>
      <c r="N29" s="3"/>
      <c r="O29" s="3"/>
      <c r="P29" s="3"/>
      <c r="Q29" s="3"/>
    </row>
    <row r="30" spans="1:19" s="24" customFormat="1" ht="69" customHeight="1">
      <c r="A30" s="245" t="s">
        <v>41</v>
      </c>
      <c r="B30" s="245" t="s">
        <v>42</v>
      </c>
      <c r="C30" s="245" t="s">
        <v>43</v>
      </c>
      <c r="D30" s="245" t="s">
        <v>44</v>
      </c>
      <c r="E30" s="245" t="s">
        <v>45</v>
      </c>
      <c r="F30" s="23" t="str">
        <f>+C9</f>
        <v>MARULANDA FERNANDEZ ARMANDO
NIT:14565656-7</v>
      </c>
      <c r="G30" s="22" t="str">
        <f>+C15</f>
        <v>ELATIN S.A.S
NIT:900424944-2</v>
      </c>
      <c r="H30" s="22"/>
      <c r="I30" s="245" t="s">
        <v>46</v>
      </c>
      <c r="J30" s="245" t="s">
        <v>47</v>
      </c>
      <c r="K30" s="245" t="s">
        <v>48</v>
      </c>
      <c r="L30" s="246" t="s">
        <v>49</v>
      </c>
      <c r="M30" s="3"/>
      <c r="N30" s="3"/>
      <c r="O30" s="3"/>
      <c r="P30" s="3"/>
      <c r="Q30" s="3"/>
    </row>
    <row r="31" spans="1:19" s="24" customFormat="1" ht="27" customHeight="1">
      <c r="A31" s="245"/>
      <c r="B31" s="245"/>
      <c r="C31" s="245"/>
      <c r="D31" s="245"/>
      <c r="E31" s="245"/>
      <c r="F31" s="25">
        <v>0.01</v>
      </c>
      <c r="G31" s="26">
        <v>0.99</v>
      </c>
      <c r="H31" s="26"/>
      <c r="I31" s="245"/>
      <c r="J31" s="245"/>
      <c r="K31" s="245"/>
      <c r="L31" s="246"/>
      <c r="M31" s="3"/>
      <c r="N31" s="3"/>
      <c r="O31" s="3"/>
      <c r="P31" s="3"/>
      <c r="Q31" s="3"/>
    </row>
    <row r="32" spans="1:19" ht="33" customHeight="1">
      <c r="A32" s="247" t="s">
        <v>50</v>
      </c>
      <c r="B32" s="248" t="s">
        <v>51</v>
      </c>
      <c r="C32" s="249" t="s">
        <v>52</v>
      </c>
      <c r="D32" s="250">
        <f>'CONSOLIDADO FINANCIERO'!L7*25%</f>
        <v>1320732991.5</v>
      </c>
      <c r="E32" s="27" t="s">
        <v>53</v>
      </c>
      <c r="F32" s="74">
        <v>3077980730</v>
      </c>
      <c r="G32" s="74">
        <v>3397509015</v>
      </c>
      <c r="H32" s="28"/>
      <c r="I32" s="251">
        <f>(F32-F33)+(G32-G33)</f>
        <v>5064501301</v>
      </c>
      <c r="J32" s="252" t="str">
        <f>IF(I32&gt;=D32,"CUMPLE","NO CUMPLE")</f>
        <v>CUMPLE</v>
      </c>
      <c r="K32" s="253" t="s">
        <v>54</v>
      </c>
      <c r="L32" s="254" t="s">
        <v>55</v>
      </c>
      <c r="M32" s="261">
        <f>IF(J32="CUMPLE",0,1)</f>
        <v>0</v>
      </c>
      <c r="N32" s="29"/>
      <c r="O32" s="3"/>
      <c r="P32" s="3"/>
      <c r="Q32" s="3"/>
      <c r="S32" s="46"/>
    </row>
    <row r="33" spans="1:52" ht="33" customHeight="1">
      <c r="A33" s="247"/>
      <c r="B33" s="248"/>
      <c r="C33" s="249"/>
      <c r="D33" s="250"/>
      <c r="E33" s="27" t="s">
        <v>56</v>
      </c>
      <c r="F33" s="74">
        <v>726909128</v>
      </c>
      <c r="G33" s="74">
        <v>684079316</v>
      </c>
      <c r="H33" s="28"/>
      <c r="I33" s="251"/>
      <c r="J33" s="252"/>
      <c r="K33" s="253"/>
      <c r="L33" s="255"/>
      <c r="M33" s="261"/>
      <c r="N33" s="3"/>
      <c r="O33" s="3"/>
      <c r="P33" s="3"/>
      <c r="Q33" s="3"/>
      <c r="S33" s="46"/>
    </row>
    <row r="34" spans="1:52" ht="33" customHeight="1">
      <c r="A34" s="247" t="s">
        <v>50</v>
      </c>
      <c r="B34" s="248" t="str">
        <f>B32</f>
        <v>4.3.1 CAPACIDAD FINANCIERA</v>
      </c>
      <c r="C34" s="249" t="s">
        <v>10</v>
      </c>
      <c r="D34" s="262">
        <v>1.9</v>
      </c>
      <c r="E34" s="27" t="s">
        <v>53</v>
      </c>
      <c r="F34" s="75">
        <f>+F32</f>
        <v>3077980730</v>
      </c>
      <c r="G34" s="75">
        <f>+G32</f>
        <v>3397509015</v>
      </c>
      <c r="H34" s="43"/>
      <c r="I34" s="263">
        <f>+((F34*F31)+(G34*G31)+(H34*H31))/((F35*F31)+(G35*G31)+(H35*H31))</f>
        <v>4.9587669474118483</v>
      </c>
      <c r="J34" s="264" t="str">
        <f>IF(I34&gt;=D34,"CUMPLE","NO CUMPLE")</f>
        <v>CUMPLE</v>
      </c>
      <c r="K34" s="253" t="s">
        <v>54</v>
      </c>
      <c r="L34" s="255"/>
      <c r="M34" s="261">
        <f>IF(J34="CUMPLE",0,1)</f>
        <v>0</v>
      </c>
      <c r="N34" s="3"/>
      <c r="O34" s="3"/>
      <c r="P34" s="3"/>
      <c r="Q34" s="3"/>
      <c r="S34" s="46"/>
    </row>
    <row r="35" spans="1:52" ht="33" customHeight="1">
      <c r="A35" s="247"/>
      <c r="B35" s="248"/>
      <c r="C35" s="249"/>
      <c r="D35" s="262"/>
      <c r="E35" s="27" t="s">
        <v>56</v>
      </c>
      <c r="F35" s="75">
        <f>+F33</f>
        <v>726909128</v>
      </c>
      <c r="G35" s="75">
        <f>+G33</f>
        <v>684079316</v>
      </c>
      <c r="H35" s="35"/>
      <c r="I35" s="263"/>
      <c r="J35" s="264"/>
      <c r="K35" s="257"/>
      <c r="L35" s="255"/>
      <c r="M35" s="261"/>
      <c r="N35" s="3"/>
      <c r="O35" s="3"/>
      <c r="P35" s="3"/>
      <c r="Q35" s="3"/>
    </row>
    <row r="36" spans="1:52" ht="33" customHeight="1">
      <c r="A36" s="247" t="s">
        <v>50</v>
      </c>
      <c r="B36" s="248" t="str">
        <f>B34</f>
        <v>4.3.1 CAPACIDAD FINANCIERA</v>
      </c>
      <c r="C36" s="249" t="s">
        <v>11</v>
      </c>
      <c r="D36" s="267">
        <v>0.6</v>
      </c>
      <c r="E36" s="30" t="s">
        <v>57</v>
      </c>
      <c r="F36" s="74">
        <v>3254478062</v>
      </c>
      <c r="G36" s="74">
        <v>3426515229</v>
      </c>
      <c r="H36" s="35"/>
      <c r="I36" s="268">
        <f>((F36*F31)+(G36*G31)+(H36*H31))/((F37*F31)+(G37*G31)+(H37*H31))</f>
        <v>0.46822100783169679</v>
      </c>
      <c r="J36" s="264" t="str">
        <f>IF(I36&lt;=D36,"CUMPLE","NO CUMPLE")</f>
        <v>CUMPLE</v>
      </c>
      <c r="K36" s="253" t="s">
        <v>54</v>
      </c>
      <c r="L36" s="255"/>
      <c r="M36" s="261">
        <f>IF(J36="CUMPLE",0,1)</f>
        <v>0</v>
      </c>
      <c r="N36" s="3"/>
      <c r="O36" s="3"/>
      <c r="P36" s="3"/>
      <c r="Q36" s="3"/>
    </row>
    <row r="37" spans="1:52" ht="33" customHeight="1">
      <c r="A37" s="247"/>
      <c r="B37" s="248"/>
      <c r="C37" s="249"/>
      <c r="D37" s="267"/>
      <c r="E37" s="30" t="s">
        <v>58</v>
      </c>
      <c r="F37" s="74">
        <v>6534051721</v>
      </c>
      <c r="G37" s="74">
        <v>7322366695</v>
      </c>
      <c r="H37" s="35"/>
      <c r="I37" s="268"/>
      <c r="J37" s="264"/>
      <c r="K37" s="257"/>
      <c r="L37" s="255"/>
      <c r="M37" s="261"/>
      <c r="N37" s="3"/>
      <c r="O37" s="3"/>
      <c r="P37" s="3"/>
      <c r="Q37" s="3"/>
    </row>
    <row r="38" spans="1:52" s="32" customFormat="1" ht="27.75" customHeight="1">
      <c r="A38" s="247" t="s">
        <v>50</v>
      </c>
      <c r="B38" s="248" t="str">
        <f>B36</f>
        <v>4.3.1 CAPACIDAD FINANCIERA</v>
      </c>
      <c r="C38" s="249" t="s">
        <v>12</v>
      </c>
      <c r="D38" s="265">
        <v>1.49</v>
      </c>
      <c r="E38" s="30" t="s">
        <v>59</v>
      </c>
      <c r="F38" s="74">
        <v>707805492</v>
      </c>
      <c r="G38" s="74">
        <v>1512548689</v>
      </c>
      <c r="H38" s="35"/>
      <c r="I38" s="266">
        <f>((F38*F31)+(G38*G31)+(H38*H31))/((F39*F31)+(G39*G31)+(H39*H31))</f>
        <v>16.068840401193938</v>
      </c>
      <c r="J38" s="264" t="str">
        <f>IF(I38&gt;=D38,"CUMPLE","NO CUMPLE")</f>
        <v>CUMPLE</v>
      </c>
      <c r="K38" s="258" t="s">
        <v>54</v>
      </c>
      <c r="L38" s="255"/>
      <c r="M38" s="261">
        <f>IF(J38="CUMPLE",0,1)</f>
        <v>0</v>
      </c>
      <c r="N38" s="31"/>
      <c r="O38" s="31"/>
      <c r="P38" s="31"/>
      <c r="Q38" s="31"/>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row>
    <row r="39" spans="1:52" s="32" customFormat="1" ht="27.75" customHeight="1">
      <c r="A39" s="247"/>
      <c r="B39" s="248"/>
      <c r="C39" s="249"/>
      <c r="D39" s="265"/>
      <c r="E39" s="30" t="s">
        <v>60</v>
      </c>
      <c r="F39" s="74">
        <v>124101842</v>
      </c>
      <c r="G39" s="74">
        <v>93320678</v>
      </c>
      <c r="H39" s="35"/>
      <c r="I39" s="266"/>
      <c r="J39" s="264"/>
      <c r="K39" s="258"/>
      <c r="L39" s="255"/>
      <c r="M39" s="261"/>
      <c r="N39" s="31"/>
      <c r="O39" s="31"/>
      <c r="P39" s="31"/>
      <c r="Q39" s="31"/>
      <c r="R39" s="37"/>
      <c r="S39" s="37"/>
      <c r="T39" s="37"/>
      <c r="U39" s="37"/>
      <c r="V39" s="37"/>
      <c r="W39" s="37"/>
      <c r="X39" s="37"/>
      <c r="Y39" s="37"/>
      <c r="Z39" s="37"/>
      <c r="AA39" s="37"/>
      <c r="AB39" s="37"/>
      <c r="AC39" s="37"/>
      <c r="AD39" s="37"/>
      <c r="AE39" s="37"/>
      <c r="AF39" s="37"/>
      <c r="AG39" s="37"/>
      <c r="AH39" s="37"/>
      <c r="AI39" s="37"/>
      <c r="AJ39" s="37"/>
      <c r="AK39" s="37"/>
      <c r="AL39" s="37"/>
      <c r="AM39" s="37"/>
      <c r="AN39" s="37"/>
      <c r="AO39" s="37"/>
      <c r="AP39" s="37"/>
      <c r="AQ39" s="37"/>
      <c r="AR39" s="37"/>
      <c r="AS39" s="37"/>
      <c r="AT39" s="37"/>
      <c r="AU39" s="37"/>
      <c r="AV39" s="37"/>
      <c r="AW39" s="37"/>
      <c r="AX39" s="37"/>
      <c r="AY39" s="37"/>
      <c r="AZ39" s="37"/>
    </row>
    <row r="40" spans="1:52" s="34" customFormat="1" ht="33" customHeight="1">
      <c r="A40" s="247" t="s">
        <v>61</v>
      </c>
      <c r="B40" s="248" t="s">
        <v>62</v>
      </c>
      <c r="C40" s="269" t="s">
        <v>13</v>
      </c>
      <c r="D40" s="270">
        <v>0.11</v>
      </c>
      <c r="E40" s="30" t="s">
        <v>63</v>
      </c>
      <c r="F40" s="75">
        <f>+F38</f>
        <v>707805492</v>
      </c>
      <c r="G40" s="75">
        <f>+G38</f>
        <v>1512548689</v>
      </c>
      <c r="H40" s="33"/>
      <c r="I40" s="271">
        <f>((F40*F31)+(G40*G31)+(H40*H31))/((F41*F31)+(G41*G31)+(H41*H31))</f>
        <v>0.38679220311347323</v>
      </c>
      <c r="J40" s="264" t="str">
        <f>IF(I40&gt;=D40,"CUMPLE","NO CUMPLE")</f>
        <v>CUMPLE</v>
      </c>
      <c r="K40" s="258" t="s">
        <v>54</v>
      </c>
      <c r="L40" s="255"/>
      <c r="M40" s="261">
        <f>IF(J40="CUMPLE",0,1)</f>
        <v>0</v>
      </c>
      <c r="N40" s="3"/>
      <c r="O40" s="3"/>
      <c r="P40" s="3"/>
      <c r="Q40" s="3"/>
    </row>
    <row r="41" spans="1:52" s="34" customFormat="1" ht="33" customHeight="1">
      <c r="A41" s="247"/>
      <c r="B41" s="248"/>
      <c r="C41" s="269"/>
      <c r="D41" s="270"/>
      <c r="E41" s="30" t="s">
        <v>64</v>
      </c>
      <c r="F41" s="74">
        <v>3279573659</v>
      </c>
      <c r="G41" s="74">
        <v>3895851466</v>
      </c>
      <c r="H41" s="35"/>
      <c r="I41" s="271"/>
      <c r="J41" s="264"/>
      <c r="K41" s="258"/>
      <c r="L41" s="255"/>
      <c r="M41" s="261"/>
      <c r="N41" s="3"/>
      <c r="O41" s="3"/>
      <c r="P41" s="3"/>
      <c r="Q41" s="3"/>
    </row>
    <row r="42" spans="1:52" s="34" customFormat="1" ht="33" customHeight="1">
      <c r="A42" s="247" t="s">
        <v>61</v>
      </c>
      <c r="B42" s="248" t="str">
        <f>+B40</f>
        <v>4.3.2 capacidad Organizacional</v>
      </c>
      <c r="C42" s="269" t="s">
        <v>65</v>
      </c>
      <c r="D42" s="270">
        <v>0.05</v>
      </c>
      <c r="E42" s="30" t="s">
        <v>63</v>
      </c>
      <c r="F42" s="75">
        <f>+F38</f>
        <v>707805492</v>
      </c>
      <c r="G42" s="75">
        <f>+G38</f>
        <v>1512548689</v>
      </c>
      <c r="H42" s="35"/>
      <c r="I42" s="271">
        <f>((F42*F31)+(G42*G31)+(H42*H31))/((F43*F31)+(G43*G31)+(H43*H31))</f>
        <v>0.20568796795024044</v>
      </c>
      <c r="J42" s="264" t="str">
        <f>IF(I42&gt;=D42,"CUMPLE","NO CUMPLE")</f>
        <v>CUMPLE</v>
      </c>
      <c r="K42" s="258" t="s">
        <v>54</v>
      </c>
      <c r="L42" s="255"/>
      <c r="M42" s="261">
        <f>IF(J42="CUMPLE",0,1)</f>
        <v>0</v>
      </c>
      <c r="N42" s="3"/>
      <c r="O42" s="3"/>
      <c r="P42" s="3"/>
      <c r="Q42" s="3"/>
    </row>
    <row r="43" spans="1:52" s="34" customFormat="1" ht="33" customHeight="1">
      <c r="A43" s="247"/>
      <c r="B43" s="248"/>
      <c r="C43" s="269"/>
      <c r="D43" s="270"/>
      <c r="E43" s="30" t="s">
        <v>66</v>
      </c>
      <c r="F43" s="75">
        <f>+F37</f>
        <v>6534051721</v>
      </c>
      <c r="G43" s="75">
        <f>+G37</f>
        <v>7322366695</v>
      </c>
      <c r="H43" s="35"/>
      <c r="I43" s="271"/>
      <c r="J43" s="264"/>
      <c r="K43" s="258"/>
      <c r="L43" s="255"/>
      <c r="M43" s="261"/>
      <c r="N43" s="3"/>
      <c r="O43" s="3"/>
      <c r="P43" s="3"/>
      <c r="Q43" s="3"/>
    </row>
    <row r="44" spans="1:52" s="37" customFormat="1" ht="27.75" customHeight="1">
      <c r="A44" s="247" t="s">
        <v>50</v>
      </c>
      <c r="B44" s="248" t="str">
        <f>B32</f>
        <v>4.3.1 CAPACIDAD FINANCIERA</v>
      </c>
      <c r="C44" s="249" t="s">
        <v>67</v>
      </c>
      <c r="D44" s="278">
        <f>'CONSOLIDADO FINANCIERO'!L7*30%</f>
        <v>1584879589.8</v>
      </c>
      <c r="E44" s="30" t="s">
        <v>66</v>
      </c>
      <c r="F44" s="75">
        <f>+F37</f>
        <v>6534051721</v>
      </c>
      <c r="G44" s="75">
        <f>+G37</f>
        <v>7322366695</v>
      </c>
      <c r="H44" s="33"/>
      <c r="I44" s="279">
        <f>(F44-F45)+(G44-G45)</f>
        <v>7175425125</v>
      </c>
      <c r="J44" s="252" t="str">
        <f>IF(I44&gt;=D44,"CUMPLE","NO CUMPLE")</f>
        <v>CUMPLE</v>
      </c>
      <c r="K44" s="259" t="s">
        <v>54</v>
      </c>
      <c r="L44" s="255"/>
      <c r="M44" s="261">
        <f>IF(J44="CUMPLE",0,1)</f>
        <v>0</v>
      </c>
      <c r="N44" s="36"/>
      <c r="O44" s="31"/>
      <c r="P44" s="31"/>
      <c r="Q44" s="31"/>
    </row>
    <row r="45" spans="1:52" s="37" customFormat="1" ht="27.75" customHeight="1" thickBot="1">
      <c r="A45" s="247"/>
      <c r="B45" s="248"/>
      <c r="C45" s="249"/>
      <c r="D45" s="278"/>
      <c r="E45" s="44" t="s">
        <v>68</v>
      </c>
      <c r="F45" s="76">
        <f>+F36</f>
        <v>3254478062</v>
      </c>
      <c r="G45" s="76">
        <f>+G36</f>
        <v>3426515229</v>
      </c>
      <c r="H45" s="33"/>
      <c r="I45" s="280"/>
      <c r="J45" s="281"/>
      <c r="K45" s="260"/>
      <c r="L45" s="256"/>
      <c r="M45" s="261"/>
      <c r="N45" s="31"/>
      <c r="O45" s="31"/>
      <c r="P45" s="31"/>
      <c r="Q45" s="31"/>
    </row>
    <row r="46" spans="1:52" ht="34.5" customHeight="1" thickBot="1">
      <c r="A46" s="4"/>
      <c r="B46" s="4"/>
      <c r="C46" s="4"/>
      <c r="D46" s="4"/>
      <c r="E46" s="272" t="s">
        <v>69</v>
      </c>
      <c r="F46" s="273"/>
      <c r="G46" s="274"/>
      <c r="H46" s="38"/>
      <c r="I46" s="275" t="str">
        <f>IF(M46&gt;0,"NO CUMPLE","CUMPLE")</f>
        <v>CUMPLE</v>
      </c>
      <c r="J46" s="276"/>
      <c r="K46" s="277"/>
      <c r="L46" s="4"/>
      <c r="M46" s="81">
        <f>SUM(M32:M45)</f>
        <v>0</v>
      </c>
      <c r="N46" s="3"/>
      <c r="O46" s="3"/>
      <c r="P46" s="3"/>
      <c r="Q46" s="3"/>
    </row>
    <row r="47" spans="1:52">
      <c r="A47" s="4"/>
      <c r="B47" s="4"/>
      <c r="C47" s="4"/>
      <c r="D47" s="4"/>
      <c r="E47" s="38"/>
      <c r="F47" s="38"/>
      <c r="G47" s="38"/>
      <c r="H47" s="38"/>
      <c r="I47" s="38"/>
      <c r="J47" s="38"/>
      <c r="K47" s="38"/>
      <c r="L47" s="4"/>
      <c r="N47" s="3"/>
      <c r="O47" s="3"/>
      <c r="P47" s="3"/>
      <c r="Q47" s="3"/>
    </row>
    <row r="48" spans="1:52">
      <c r="A48" s="4"/>
      <c r="B48" s="4"/>
      <c r="C48" s="4"/>
      <c r="D48" s="4"/>
      <c r="E48" s="4"/>
      <c r="F48" s="4"/>
      <c r="G48" s="4"/>
      <c r="H48" s="4"/>
      <c r="I48" s="4"/>
      <c r="J48" s="4"/>
      <c r="K48" s="4"/>
      <c r="L48" s="4"/>
      <c r="N48" s="3"/>
      <c r="O48" s="3"/>
      <c r="P48" s="3"/>
      <c r="Q48" s="3"/>
    </row>
    <row r="49" spans="1:17">
      <c r="A49" s="4"/>
      <c r="B49" s="4"/>
      <c r="C49" s="4"/>
      <c r="D49" s="4"/>
      <c r="E49" s="4"/>
      <c r="F49" s="4"/>
      <c r="G49" s="4"/>
      <c r="H49" s="4"/>
      <c r="I49" s="4"/>
      <c r="J49" s="4"/>
      <c r="K49" s="4"/>
      <c r="L49" s="4"/>
      <c r="N49" s="3"/>
      <c r="O49" s="3"/>
      <c r="P49" s="3"/>
      <c r="Q49" s="3"/>
    </row>
  </sheetData>
  <sheetProtection algorithmName="SHA-512" hashValue="CAJ+lSQOeE/3MmfqPIjXiEUzFTLBoQgb2/jZQZ/e5rMRE9Kub62eT3DcVkjUWQnEv91g+0wmUlxCGK+gp4UfGg==" saltValue="ORufKQ3AxFoAk4y8nbxOrQ==" spinCount="100000" sheet="1" objects="1" scenarios="1"/>
  <mergeCells count="103">
    <mergeCell ref="C1:K1"/>
    <mergeCell ref="D3:K3"/>
    <mergeCell ref="D4:K4"/>
    <mergeCell ref="D5:K5"/>
    <mergeCell ref="C7:K7"/>
    <mergeCell ref="C9:K9"/>
    <mergeCell ref="D13:I13"/>
    <mergeCell ref="J13:K13"/>
    <mergeCell ref="C14:K14"/>
    <mergeCell ref="C8:K8"/>
    <mergeCell ref="C15:K15"/>
    <mergeCell ref="D16:I16"/>
    <mergeCell ref="J16:K16"/>
    <mergeCell ref="D10:I10"/>
    <mergeCell ref="J10:K10"/>
    <mergeCell ref="D11:I11"/>
    <mergeCell ref="J11:K11"/>
    <mergeCell ref="D12:I12"/>
    <mergeCell ref="J12:K12"/>
    <mergeCell ref="C21:K21"/>
    <mergeCell ref="D23:I23"/>
    <mergeCell ref="J23:K23"/>
    <mergeCell ref="D24:I24"/>
    <mergeCell ref="J24:K24"/>
    <mergeCell ref="D25:I25"/>
    <mergeCell ref="J25:K25"/>
    <mergeCell ref="D17:I17"/>
    <mergeCell ref="J17:K17"/>
    <mergeCell ref="D18:I18"/>
    <mergeCell ref="J18:K18"/>
    <mergeCell ref="D19:I19"/>
    <mergeCell ref="J19:K19"/>
    <mergeCell ref="D26:I26"/>
    <mergeCell ref="J26:K26"/>
    <mergeCell ref="C28:K28"/>
    <mergeCell ref="A30:A31"/>
    <mergeCell ref="B30:B31"/>
    <mergeCell ref="C30:C31"/>
    <mergeCell ref="D30:D31"/>
    <mergeCell ref="E30:E31"/>
    <mergeCell ref="I30:I31"/>
    <mergeCell ref="J30:J31"/>
    <mergeCell ref="K30:K31"/>
    <mergeCell ref="L30:L31"/>
    <mergeCell ref="A32:A33"/>
    <mergeCell ref="B32:B33"/>
    <mergeCell ref="C32:C33"/>
    <mergeCell ref="D32:D33"/>
    <mergeCell ref="I32:I33"/>
    <mergeCell ref="J32:J33"/>
    <mergeCell ref="K32:K33"/>
    <mergeCell ref="L32:L45"/>
    <mergeCell ref="D40:D41"/>
    <mergeCell ref="I40:I41"/>
    <mergeCell ref="J40:J41"/>
    <mergeCell ref="K36:K37"/>
    <mergeCell ref="K44:K45"/>
    <mergeCell ref="A38:A39"/>
    <mergeCell ref="B38:B39"/>
    <mergeCell ref="C38:C39"/>
    <mergeCell ref="D38:D39"/>
    <mergeCell ref="I38:I39"/>
    <mergeCell ref="J38:J39"/>
    <mergeCell ref="K38:K39"/>
    <mergeCell ref="K42:K43"/>
    <mergeCell ref="M32:M33"/>
    <mergeCell ref="A34:A35"/>
    <mergeCell ref="B34:B35"/>
    <mergeCell ref="C34:C35"/>
    <mergeCell ref="D34:D35"/>
    <mergeCell ref="I34:I35"/>
    <mergeCell ref="J34:J35"/>
    <mergeCell ref="K34:K35"/>
    <mergeCell ref="M34:M35"/>
    <mergeCell ref="M44:M45"/>
    <mergeCell ref="E46:G46"/>
    <mergeCell ref="I46:K46"/>
    <mergeCell ref="A44:A45"/>
    <mergeCell ref="B44:B45"/>
    <mergeCell ref="C44:C45"/>
    <mergeCell ref="D44:D45"/>
    <mergeCell ref="I44:I45"/>
    <mergeCell ref="J44:J45"/>
    <mergeCell ref="M42:M43"/>
    <mergeCell ref="A40:A41"/>
    <mergeCell ref="B40:B41"/>
    <mergeCell ref="C40:C41"/>
    <mergeCell ref="M36:M37"/>
    <mergeCell ref="M38:M39"/>
    <mergeCell ref="A36:A37"/>
    <mergeCell ref="B36:B37"/>
    <mergeCell ref="C36:C37"/>
    <mergeCell ref="D36:D37"/>
    <mergeCell ref="I36:I37"/>
    <mergeCell ref="J36:J37"/>
    <mergeCell ref="K40:K41"/>
    <mergeCell ref="M40:M41"/>
    <mergeCell ref="A42:A43"/>
    <mergeCell ref="B42:B43"/>
    <mergeCell ref="C42:C43"/>
    <mergeCell ref="D42:D43"/>
    <mergeCell ref="I42:I43"/>
    <mergeCell ref="J42:J43"/>
  </mergeCells>
  <conditionalFormatting sqref="J11:J13">
    <cfRule type="cellIs" dxfId="289" priority="11" operator="equal">
      <formula>"CUMPLE"</formula>
    </cfRule>
  </conditionalFormatting>
  <conditionalFormatting sqref="J17:J19">
    <cfRule type="cellIs" dxfId="288" priority="1" operator="equal">
      <formula>"CUMPLE"</formula>
    </cfRule>
  </conditionalFormatting>
  <conditionalFormatting sqref="J24:J26">
    <cfRule type="cellIs" dxfId="287" priority="3" operator="equal">
      <formula>"CUMPLE"</formula>
    </cfRule>
  </conditionalFormatting>
  <conditionalFormatting sqref="J32:J45">
    <cfRule type="cellIs" dxfId="286" priority="6" operator="equal">
      <formula>"CUMPLE"</formula>
    </cfRule>
    <cfRule type="cellIs" dxfId="285" priority="7" operator="equal">
      <formula>"NO CUMPLE"</formula>
    </cfRule>
  </conditionalFormatting>
  <conditionalFormatting sqref="J20:K20">
    <cfRule type="cellIs" dxfId="284" priority="10" operator="equal">
      <formula>"CUMPLE"</formula>
    </cfRule>
  </conditionalFormatting>
  <conditionalFormatting sqref="J27:K27">
    <cfRule type="cellIs" dxfId="283" priority="2" operator="equal">
      <formula>"CUMPLE"</formula>
    </cfRule>
  </conditionalFormatting>
  <conditionalFormatting sqref="K32">
    <cfRule type="cellIs" dxfId="282" priority="20" operator="equal">
      <formula>"CUMPLE"</formula>
    </cfRule>
    <cfRule type="cellIs" dxfId="281" priority="21" operator="equal">
      <formula>"NO CUMPLE"</formula>
    </cfRule>
  </conditionalFormatting>
  <conditionalFormatting sqref="K34 K36 K40 K42">
    <cfRule type="cellIs" dxfId="280" priority="16" operator="equal">
      <formula>"CUMPLE"</formula>
    </cfRule>
    <cfRule type="cellIs" dxfId="279" priority="17" operator="equal">
      <formula>"NO CUMPLE"</formula>
    </cfRule>
  </conditionalFormatting>
  <conditionalFormatting sqref="K38">
    <cfRule type="cellIs" dxfId="278" priority="4" operator="equal">
      <formula>"CUMPLE"</formula>
    </cfRule>
    <cfRule type="cellIs" dxfId="277" priority="5" operator="equal">
      <formula>"NO CUMPLE"</formula>
    </cfRule>
  </conditionalFormatting>
  <conditionalFormatting sqref="K44">
    <cfRule type="cellIs" dxfId="276" priority="8" operator="equal">
      <formula>"CUMPLE"</formula>
    </cfRule>
    <cfRule type="cellIs" dxfId="275" priority="9" operator="equal">
      <formula>"NO CUMPLE"</formula>
    </cfRule>
  </conditionalFormatting>
  <conditionalFormatting sqref="M11:M13">
    <cfRule type="cellIs" dxfId="274" priority="14" operator="equal">
      <formula>"CUMPLE"</formula>
    </cfRule>
    <cfRule type="cellIs" dxfId="273" priority="15" operator="equal">
      <formula>"NO CUMPLE"</formula>
    </cfRule>
  </conditionalFormatting>
  <conditionalFormatting sqref="M17:M20 M24:M27">
    <cfRule type="cellIs" dxfId="272" priority="12" operator="equal">
      <formula>"CUMPLE"</formula>
    </cfRule>
    <cfRule type="cellIs" dxfId="271" priority="13" operator="equal">
      <formula>"NO CUMPLE"</formula>
    </cfRule>
  </conditionalFormatting>
  <conditionalFormatting sqref="M32 M34 M36 M38 M40 M42 M44">
    <cfRule type="cellIs" dxfId="270" priority="18" operator="equal">
      <formula>"CUMPLE"</formula>
    </cfRule>
    <cfRule type="cellIs" dxfId="269" priority="19" operator="equal">
      <formula>"NO CUMPLE"</formula>
    </cfRule>
  </conditionalFormatting>
  <pageMargins left="0.70866141732283472" right="0.70866141732283472" top="0.74803149606299213" bottom="0.74803149606299213" header="0.31496062992125984" footer="0.31496062992125984"/>
  <pageSetup scale="33"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0462C-9F25-4431-AAC0-DCD24EE61EB1}">
  <sheetPr>
    <tabColor rgb="FF92D050"/>
    <pageSetUpPr fitToPage="1"/>
  </sheetPr>
  <dimension ref="A1:BN155"/>
  <sheetViews>
    <sheetView showGridLines="0" topLeftCell="E12" zoomScale="70" zoomScaleNormal="70" workbookViewId="0">
      <selection activeCell="K15" sqref="K15"/>
    </sheetView>
  </sheetViews>
  <sheetFormatPr baseColWidth="10" defaultColWidth="11.42578125" defaultRowHeight="15"/>
  <cols>
    <col min="2" max="2" width="8.42578125" customWidth="1"/>
    <col min="3" max="3" width="8" customWidth="1"/>
    <col min="4" max="4" width="23.85546875" bestFit="1" customWidth="1"/>
    <col min="5" max="5" width="64.140625" customWidth="1"/>
    <col min="6" max="6" width="19.140625" bestFit="1" customWidth="1"/>
    <col min="7" max="7" width="13.7109375" bestFit="1" customWidth="1"/>
    <col min="8" max="8" width="27" customWidth="1"/>
    <col min="9" max="10" width="32.140625" customWidth="1"/>
    <col min="11" max="11" width="19.5703125" customWidth="1"/>
    <col min="12" max="12" width="18.7109375" bestFit="1" customWidth="1"/>
    <col min="13" max="13" width="19.42578125" customWidth="1"/>
    <col min="14" max="14" width="20.7109375" customWidth="1"/>
    <col min="15" max="15" width="14" bestFit="1" customWidth="1"/>
    <col min="16" max="16" width="20.7109375" customWidth="1"/>
    <col min="17" max="17" width="19.28515625" customWidth="1"/>
    <col min="18" max="18" width="20.28515625" customWidth="1"/>
    <col min="19" max="19" width="20.85546875" customWidth="1"/>
    <col min="20" max="20" width="22" customWidth="1"/>
    <col min="21" max="21" width="20.140625" bestFit="1" customWidth="1"/>
    <col min="22" max="22" width="18.42578125" bestFit="1" customWidth="1"/>
  </cols>
  <sheetData>
    <row r="1" spans="1:66" ht="15" customHeight="1">
      <c r="A1" s="330"/>
      <c r="B1" s="331"/>
      <c r="C1" s="331"/>
      <c r="D1" s="332"/>
      <c r="E1" s="339" t="s">
        <v>70</v>
      </c>
      <c r="F1" s="340"/>
      <c r="G1" s="340"/>
      <c r="H1" s="340"/>
      <c r="I1" s="340"/>
      <c r="J1" s="341"/>
    </row>
    <row r="2" spans="1:66">
      <c r="A2" s="333"/>
      <c r="B2" s="334"/>
      <c r="C2" s="334"/>
      <c r="D2" s="335"/>
      <c r="E2" s="342"/>
      <c r="F2" s="343"/>
      <c r="G2" s="343"/>
      <c r="H2" s="343"/>
      <c r="I2" s="343"/>
      <c r="J2" s="344"/>
    </row>
    <row r="3" spans="1:66">
      <c r="A3" s="333"/>
      <c r="B3" s="334"/>
      <c r="C3" s="334"/>
      <c r="D3" s="335"/>
      <c r="E3" s="342"/>
      <c r="F3" s="343"/>
      <c r="G3" s="343"/>
      <c r="H3" s="343"/>
      <c r="I3" s="343"/>
      <c r="J3" s="344"/>
    </row>
    <row r="4" spans="1:66" ht="38.25" customHeight="1" thickBot="1">
      <c r="A4" s="336"/>
      <c r="B4" s="337"/>
      <c r="C4" s="337"/>
      <c r="D4" s="338"/>
      <c r="E4" s="345"/>
      <c r="F4" s="346"/>
      <c r="G4" s="346"/>
      <c r="H4" s="346"/>
      <c r="I4" s="346"/>
      <c r="J4" s="347"/>
    </row>
    <row r="5" spans="1:66" ht="42" customHeight="1" thickBot="1">
      <c r="A5" s="348" t="s">
        <v>71</v>
      </c>
      <c r="B5" s="349"/>
      <c r="C5" s="349"/>
      <c r="D5" s="349"/>
      <c r="E5" s="349"/>
      <c r="F5" s="349"/>
      <c r="G5" s="349"/>
      <c r="H5" s="349"/>
      <c r="I5" s="349"/>
      <c r="J5" s="349"/>
    </row>
    <row r="6" spans="1:66" ht="34.5" customHeight="1" thickBot="1">
      <c r="A6" s="317" t="s">
        <v>72</v>
      </c>
      <c r="B6" s="318"/>
      <c r="C6" s="318"/>
      <c r="D6" s="319"/>
      <c r="E6" s="363" t="s">
        <v>5</v>
      </c>
      <c r="F6" s="361"/>
      <c r="G6" s="361"/>
      <c r="H6" s="361"/>
      <c r="I6" s="361"/>
      <c r="J6" s="362"/>
    </row>
    <row r="7" spans="1:66" ht="53.25" customHeight="1" thickBot="1">
      <c r="A7" s="317" t="s">
        <v>73</v>
      </c>
      <c r="B7" s="318"/>
      <c r="C7" s="318"/>
      <c r="D7" s="319"/>
      <c r="E7" s="364" t="s">
        <v>74</v>
      </c>
      <c r="F7" s="365"/>
      <c r="G7" s="365"/>
      <c r="H7" s="365"/>
      <c r="I7" s="365"/>
      <c r="J7" s="366"/>
    </row>
    <row r="8" spans="1:66" ht="27" customHeight="1" thickBot="1">
      <c r="A8" s="317" t="s">
        <v>75</v>
      </c>
      <c r="B8" s="318"/>
      <c r="C8" s="318"/>
      <c r="D8" s="319"/>
      <c r="E8" s="363" t="s">
        <v>264</v>
      </c>
      <c r="F8" s="361"/>
      <c r="G8" s="361"/>
      <c r="H8" s="361"/>
      <c r="I8" s="361"/>
      <c r="J8" s="362"/>
    </row>
    <row r="9" spans="1:66" ht="27" customHeight="1" thickBot="1">
      <c r="A9" s="317" t="s">
        <v>77</v>
      </c>
      <c r="B9" s="318"/>
      <c r="C9" s="318"/>
      <c r="D9" s="319"/>
      <c r="E9" s="363" t="s">
        <v>267</v>
      </c>
      <c r="F9" s="361"/>
      <c r="G9" s="361"/>
      <c r="H9" s="361"/>
      <c r="I9" s="361"/>
      <c r="J9" s="362"/>
    </row>
    <row r="10" spans="1:66" ht="27" customHeight="1" thickBot="1">
      <c r="A10" s="317" t="s">
        <v>79</v>
      </c>
      <c r="B10" s="318"/>
      <c r="C10" s="318"/>
      <c r="D10" s="319"/>
      <c r="E10" s="363" t="s">
        <v>268</v>
      </c>
      <c r="F10" s="361"/>
      <c r="G10" s="361"/>
      <c r="H10" s="361"/>
      <c r="I10" s="361"/>
      <c r="J10" s="362"/>
    </row>
    <row r="11" spans="1:66" ht="27" customHeight="1" thickBot="1">
      <c r="A11" s="317" t="s">
        <v>81</v>
      </c>
      <c r="B11" s="318"/>
      <c r="C11" s="318"/>
      <c r="D11" s="319"/>
      <c r="E11" s="360">
        <v>18511653</v>
      </c>
      <c r="F11" s="361"/>
      <c r="G11" s="361"/>
      <c r="H11" s="361"/>
      <c r="I11" s="361"/>
      <c r="J11" s="362"/>
    </row>
    <row r="12" spans="1:66" ht="225.75" customHeight="1" thickBot="1">
      <c r="A12" s="323" t="s">
        <v>269</v>
      </c>
      <c r="B12" s="324"/>
      <c r="C12" s="324"/>
      <c r="D12" s="324"/>
      <c r="E12" s="324"/>
      <c r="F12" s="324"/>
      <c r="G12" s="324"/>
      <c r="H12" s="324"/>
      <c r="I12" s="324"/>
      <c r="J12" s="325"/>
    </row>
    <row r="13" spans="1:66" ht="12.75" customHeight="1"/>
    <row r="14" spans="1:66" ht="48" customHeight="1">
      <c r="A14" s="326" t="s">
        <v>83</v>
      </c>
      <c r="B14" s="326"/>
      <c r="C14" s="326" t="s">
        <v>84</v>
      </c>
      <c r="D14" s="326"/>
      <c r="E14" s="326"/>
      <c r="F14" s="327" t="s">
        <v>85</v>
      </c>
      <c r="G14" s="327" t="s">
        <v>86</v>
      </c>
      <c r="H14" s="327" t="s">
        <v>87</v>
      </c>
      <c r="I14" s="328" t="s">
        <v>88</v>
      </c>
      <c r="J14" s="328"/>
      <c r="BN14" s="84"/>
    </row>
    <row r="15" spans="1:66" ht="48.75" customHeight="1">
      <c r="A15" s="326"/>
      <c r="B15" s="326"/>
      <c r="C15" s="326"/>
      <c r="D15" s="326"/>
      <c r="E15" s="326"/>
      <c r="F15" s="327"/>
      <c r="G15" s="327"/>
      <c r="H15" s="327"/>
      <c r="I15" s="85" t="s">
        <v>89</v>
      </c>
      <c r="J15" s="85" t="s">
        <v>90</v>
      </c>
      <c r="K15" s="132" t="s">
        <v>91</v>
      </c>
      <c r="L15" s="132" t="s">
        <v>92</v>
      </c>
      <c r="BN15" s="84"/>
    </row>
    <row r="16" spans="1:66" ht="60.75" customHeight="1">
      <c r="A16" s="310" t="s">
        <v>93</v>
      </c>
      <c r="B16" s="310"/>
      <c r="C16" s="303" t="s">
        <v>94</v>
      </c>
      <c r="D16" s="303"/>
      <c r="E16" s="303"/>
      <c r="F16" s="86" t="s">
        <v>95</v>
      </c>
      <c r="G16" s="87">
        <v>2000</v>
      </c>
      <c r="H16" s="88">
        <v>16341</v>
      </c>
      <c r="I16" s="88">
        <v>14200</v>
      </c>
      <c r="J16" s="88">
        <f>+ROUND(I16*G16,0)</f>
        <v>28400000</v>
      </c>
      <c r="K16" s="133">
        <f>+I16-H16</f>
        <v>-2141</v>
      </c>
      <c r="L16" s="134">
        <f>+I16/H16</f>
        <v>0.86897986659323179</v>
      </c>
      <c r="O16" s="136"/>
      <c r="BN16" s="89"/>
    </row>
    <row r="17" spans="1:66" ht="60.75" customHeight="1">
      <c r="A17" s="310" t="s">
        <v>96</v>
      </c>
      <c r="B17" s="310"/>
      <c r="C17" s="303" t="s">
        <v>97</v>
      </c>
      <c r="D17" s="303"/>
      <c r="E17" s="303"/>
      <c r="F17" s="86" t="s">
        <v>98</v>
      </c>
      <c r="G17" s="87">
        <v>300</v>
      </c>
      <c r="H17" s="88">
        <v>43227</v>
      </c>
      <c r="I17" s="88">
        <v>37600</v>
      </c>
      <c r="J17" s="88">
        <f t="shared" ref="J17:J72" si="0">+ROUND(I17*G17,0)</f>
        <v>11280000</v>
      </c>
      <c r="K17" s="133">
        <f t="shared" ref="K17:K80" si="1">+I17-H17</f>
        <v>-5627</v>
      </c>
      <c r="L17" s="134">
        <f t="shared" ref="L17:L80" si="2">+I17/H17</f>
        <v>0.86982672866495481</v>
      </c>
      <c r="O17" s="136"/>
      <c r="BN17" s="90"/>
    </row>
    <row r="18" spans="1:66" ht="60.75" customHeight="1">
      <c r="A18" s="310" t="s">
        <v>99</v>
      </c>
      <c r="B18" s="310"/>
      <c r="C18" s="303" t="s">
        <v>100</v>
      </c>
      <c r="D18" s="303"/>
      <c r="E18" s="303"/>
      <c r="F18" s="86" t="s">
        <v>98</v>
      </c>
      <c r="G18" s="87">
        <v>2332.42</v>
      </c>
      <c r="H18" s="88">
        <v>30375</v>
      </c>
      <c r="I18" s="88">
        <v>26400</v>
      </c>
      <c r="J18" s="88">
        <f t="shared" si="0"/>
        <v>61575888</v>
      </c>
      <c r="K18" s="133">
        <f t="shared" si="1"/>
        <v>-3975</v>
      </c>
      <c r="L18" s="134">
        <f t="shared" si="2"/>
        <v>0.8691358024691358</v>
      </c>
      <c r="O18" s="136"/>
      <c r="BN18" s="89"/>
    </row>
    <row r="19" spans="1:66" ht="60.75" customHeight="1">
      <c r="A19" s="310" t="s">
        <v>101</v>
      </c>
      <c r="B19" s="310"/>
      <c r="C19" s="303" t="s">
        <v>102</v>
      </c>
      <c r="D19" s="303"/>
      <c r="E19" s="303"/>
      <c r="F19" s="86" t="s">
        <v>98</v>
      </c>
      <c r="G19" s="87">
        <v>2332.42</v>
      </c>
      <c r="H19" s="88">
        <v>64685</v>
      </c>
      <c r="I19" s="88">
        <v>56300</v>
      </c>
      <c r="J19" s="88">
        <f t="shared" si="0"/>
        <v>131315246</v>
      </c>
      <c r="K19" s="133">
        <f t="shared" si="1"/>
        <v>-8385</v>
      </c>
      <c r="L19" s="134">
        <f t="shared" si="2"/>
        <v>0.87037180180876561</v>
      </c>
      <c r="O19" s="136"/>
      <c r="BN19" s="90"/>
    </row>
    <row r="20" spans="1:66" ht="60.75" customHeight="1">
      <c r="A20" s="310" t="s">
        <v>103</v>
      </c>
      <c r="B20" s="310"/>
      <c r="C20" s="303" t="s">
        <v>104</v>
      </c>
      <c r="D20" s="303"/>
      <c r="E20" s="303"/>
      <c r="F20" s="86" t="s">
        <v>98</v>
      </c>
      <c r="G20" s="87">
        <v>2332.42</v>
      </c>
      <c r="H20" s="88">
        <v>129968</v>
      </c>
      <c r="I20" s="88">
        <v>113100</v>
      </c>
      <c r="J20" s="88">
        <f t="shared" si="0"/>
        <v>263796702</v>
      </c>
      <c r="K20" s="133">
        <f t="shared" si="1"/>
        <v>-16868</v>
      </c>
      <c r="L20" s="134">
        <f t="shared" si="2"/>
        <v>0.8702142065739259</v>
      </c>
      <c r="O20" s="136"/>
      <c r="BN20" s="90"/>
    </row>
    <row r="21" spans="1:66" ht="60.75" customHeight="1">
      <c r="A21" s="310" t="s">
        <v>105</v>
      </c>
      <c r="B21" s="310"/>
      <c r="C21" s="303" t="s">
        <v>106</v>
      </c>
      <c r="D21" s="303"/>
      <c r="E21" s="303"/>
      <c r="F21" s="86" t="s">
        <v>98</v>
      </c>
      <c r="G21" s="87">
        <v>150</v>
      </c>
      <c r="H21" s="88">
        <v>53922</v>
      </c>
      <c r="I21" s="88">
        <v>46900</v>
      </c>
      <c r="J21" s="88">
        <f t="shared" si="0"/>
        <v>7035000</v>
      </c>
      <c r="K21" s="133">
        <f t="shared" si="1"/>
        <v>-7022</v>
      </c>
      <c r="L21" s="134">
        <f t="shared" si="2"/>
        <v>0.86977485998293835</v>
      </c>
      <c r="O21" s="136"/>
      <c r="BB21" s="91"/>
      <c r="BC21" s="92"/>
      <c r="BD21" s="91"/>
      <c r="BE21" s="91"/>
      <c r="BF21" s="93"/>
      <c r="BH21" s="91"/>
      <c r="BI21" s="92"/>
      <c r="BJ21" s="91"/>
      <c r="BK21" s="91"/>
      <c r="BL21" s="93"/>
      <c r="BN21" s="90"/>
    </row>
    <row r="22" spans="1:66" ht="60.75" customHeight="1">
      <c r="A22" s="310" t="s">
        <v>107</v>
      </c>
      <c r="B22" s="310"/>
      <c r="C22" s="303" t="s">
        <v>108</v>
      </c>
      <c r="D22" s="303"/>
      <c r="E22" s="303"/>
      <c r="F22" s="86" t="s">
        <v>98</v>
      </c>
      <c r="G22" s="87">
        <v>150</v>
      </c>
      <c r="H22" s="88">
        <v>305942</v>
      </c>
      <c r="I22" s="88">
        <v>266200</v>
      </c>
      <c r="J22" s="88">
        <f t="shared" si="0"/>
        <v>39930000</v>
      </c>
      <c r="K22" s="133">
        <f t="shared" si="1"/>
        <v>-39742</v>
      </c>
      <c r="L22" s="134">
        <f t="shared" si="2"/>
        <v>0.87009956135476663</v>
      </c>
      <c r="O22" s="136"/>
      <c r="BB22" s="91"/>
      <c r="BC22" s="92"/>
      <c r="BD22" s="91"/>
      <c r="BE22" s="91"/>
      <c r="BF22" s="93"/>
      <c r="BH22" s="91"/>
      <c r="BI22" s="92"/>
      <c r="BJ22" s="91"/>
      <c r="BK22" s="91"/>
      <c r="BL22" s="93"/>
      <c r="BN22" s="90"/>
    </row>
    <row r="23" spans="1:66" ht="92.25" customHeight="1">
      <c r="A23" s="310" t="s">
        <v>109</v>
      </c>
      <c r="B23" s="310"/>
      <c r="C23" s="303" t="s">
        <v>110</v>
      </c>
      <c r="D23" s="303"/>
      <c r="E23" s="303"/>
      <c r="F23" s="86" t="s">
        <v>95</v>
      </c>
      <c r="G23" s="87">
        <v>231</v>
      </c>
      <c r="H23" s="88">
        <v>125271</v>
      </c>
      <c r="I23" s="88">
        <v>109000</v>
      </c>
      <c r="J23" s="88">
        <f t="shared" si="0"/>
        <v>25179000</v>
      </c>
      <c r="K23" s="133">
        <f t="shared" si="1"/>
        <v>-16271</v>
      </c>
      <c r="L23" s="134">
        <f t="shared" si="2"/>
        <v>0.87011359372879593</v>
      </c>
      <c r="O23" s="136"/>
      <c r="BB23" s="91"/>
      <c r="BC23" s="92"/>
      <c r="BD23" s="91"/>
      <c r="BE23" s="91"/>
      <c r="BF23" s="93"/>
      <c r="BH23" s="91"/>
      <c r="BI23" s="92"/>
      <c r="BJ23" s="91"/>
      <c r="BK23" s="91"/>
      <c r="BL23" s="93"/>
      <c r="BN23" s="90"/>
    </row>
    <row r="24" spans="1:66" ht="60.75" customHeight="1">
      <c r="A24" s="310" t="s">
        <v>111</v>
      </c>
      <c r="B24" s="310"/>
      <c r="C24" s="303" t="s">
        <v>112</v>
      </c>
      <c r="D24" s="303"/>
      <c r="E24" s="303"/>
      <c r="F24" s="86" t="s">
        <v>113</v>
      </c>
      <c r="G24" s="87">
        <v>50</v>
      </c>
      <c r="H24" s="88">
        <v>88909</v>
      </c>
      <c r="I24" s="88">
        <v>77400</v>
      </c>
      <c r="J24" s="88">
        <f t="shared" si="0"/>
        <v>3870000</v>
      </c>
      <c r="K24" s="133">
        <f t="shared" si="1"/>
        <v>-11509</v>
      </c>
      <c r="L24" s="134">
        <f t="shared" si="2"/>
        <v>0.87055303737529388</v>
      </c>
      <c r="O24" s="136"/>
      <c r="BB24" s="91"/>
      <c r="BC24" s="92"/>
      <c r="BD24" s="91"/>
      <c r="BE24" s="91"/>
      <c r="BF24" s="93"/>
      <c r="BH24" s="91"/>
      <c r="BI24" s="92"/>
      <c r="BJ24" s="91"/>
      <c r="BK24" s="91"/>
      <c r="BL24" s="93"/>
      <c r="BN24" s="90"/>
    </row>
    <row r="25" spans="1:66" ht="60.75" customHeight="1">
      <c r="A25" s="310" t="s">
        <v>114</v>
      </c>
      <c r="B25" s="310"/>
      <c r="C25" s="303" t="s">
        <v>115</v>
      </c>
      <c r="D25" s="303"/>
      <c r="E25" s="303"/>
      <c r="F25" s="86" t="s">
        <v>113</v>
      </c>
      <c r="G25" s="87">
        <v>50</v>
      </c>
      <c r="H25" s="88">
        <v>97000</v>
      </c>
      <c r="I25" s="88">
        <v>84400</v>
      </c>
      <c r="J25" s="88">
        <f t="shared" si="0"/>
        <v>4220000</v>
      </c>
      <c r="K25" s="133">
        <f t="shared" si="1"/>
        <v>-12600</v>
      </c>
      <c r="L25" s="134">
        <f t="shared" si="2"/>
        <v>0.87010309278350517</v>
      </c>
      <c r="O25" s="136"/>
      <c r="BB25" s="91"/>
      <c r="BC25" s="92"/>
      <c r="BD25" s="91"/>
      <c r="BE25" s="91"/>
      <c r="BF25" s="93"/>
      <c r="BH25" s="91"/>
      <c r="BI25" s="92"/>
      <c r="BJ25" s="91"/>
      <c r="BK25" s="91"/>
      <c r="BL25" s="93"/>
      <c r="BN25" s="90"/>
    </row>
    <row r="26" spans="1:66" ht="60.75" customHeight="1">
      <c r="A26" s="302" t="s">
        <v>116</v>
      </c>
      <c r="B26" s="302"/>
      <c r="C26" s="303" t="s">
        <v>117</v>
      </c>
      <c r="D26" s="303"/>
      <c r="E26" s="303"/>
      <c r="F26" s="94" t="s">
        <v>98</v>
      </c>
      <c r="G26" s="95">
        <v>80</v>
      </c>
      <c r="H26" s="88">
        <v>38338</v>
      </c>
      <c r="I26" s="88">
        <v>33400</v>
      </c>
      <c r="J26" s="88">
        <f t="shared" si="0"/>
        <v>2672000</v>
      </c>
      <c r="K26" s="133">
        <f t="shared" si="1"/>
        <v>-4938</v>
      </c>
      <c r="L26" s="134">
        <f t="shared" si="2"/>
        <v>0.87119828890395956</v>
      </c>
      <c r="O26" s="136"/>
    </row>
    <row r="27" spans="1:66" ht="60.75" customHeight="1">
      <c r="A27" s="302" t="s">
        <v>118</v>
      </c>
      <c r="B27" s="302"/>
      <c r="C27" s="303" t="s">
        <v>119</v>
      </c>
      <c r="D27" s="303"/>
      <c r="E27" s="303"/>
      <c r="F27" s="94" t="s">
        <v>98</v>
      </c>
      <c r="G27" s="95">
        <v>1800</v>
      </c>
      <c r="H27" s="88">
        <v>35000</v>
      </c>
      <c r="I27" s="88">
        <v>30500</v>
      </c>
      <c r="J27" s="88">
        <f t="shared" si="0"/>
        <v>54900000</v>
      </c>
      <c r="K27" s="133">
        <f t="shared" si="1"/>
        <v>-4500</v>
      </c>
      <c r="L27" s="134">
        <f t="shared" si="2"/>
        <v>0.87142857142857144</v>
      </c>
      <c r="O27" s="136"/>
    </row>
    <row r="28" spans="1:66" ht="60.75" customHeight="1">
      <c r="A28" s="302" t="s">
        <v>120</v>
      </c>
      <c r="B28" s="302"/>
      <c r="C28" s="303" t="s">
        <v>121</v>
      </c>
      <c r="D28" s="303"/>
      <c r="E28" s="303"/>
      <c r="F28" s="94" t="s">
        <v>98</v>
      </c>
      <c r="G28" s="95">
        <v>80</v>
      </c>
      <c r="H28" s="88">
        <v>96707</v>
      </c>
      <c r="I28" s="88">
        <v>84100</v>
      </c>
      <c r="J28" s="88">
        <f t="shared" si="0"/>
        <v>6728000</v>
      </c>
      <c r="K28" s="133">
        <f t="shared" si="1"/>
        <v>-12607</v>
      </c>
      <c r="L28" s="134">
        <f t="shared" si="2"/>
        <v>0.86963715139545228</v>
      </c>
      <c r="O28" s="136"/>
    </row>
    <row r="29" spans="1:66" ht="60.75" customHeight="1">
      <c r="A29" s="302" t="s">
        <v>122</v>
      </c>
      <c r="B29" s="302"/>
      <c r="C29" s="303" t="s">
        <v>123</v>
      </c>
      <c r="D29" s="303"/>
      <c r="E29" s="303"/>
      <c r="F29" s="94" t="s">
        <v>98</v>
      </c>
      <c r="G29" s="95">
        <v>80</v>
      </c>
      <c r="H29" s="88">
        <v>130500</v>
      </c>
      <c r="I29" s="88">
        <v>113500</v>
      </c>
      <c r="J29" s="88">
        <f t="shared" si="0"/>
        <v>9080000</v>
      </c>
      <c r="K29" s="133">
        <f t="shared" si="1"/>
        <v>-17000</v>
      </c>
      <c r="L29" s="134">
        <f t="shared" si="2"/>
        <v>0.86973180076628354</v>
      </c>
      <c r="O29" s="136"/>
    </row>
    <row r="30" spans="1:66" ht="60.75" customHeight="1">
      <c r="A30" s="310" t="s">
        <v>124</v>
      </c>
      <c r="B30" s="310"/>
      <c r="C30" s="303" t="s">
        <v>125</v>
      </c>
      <c r="D30" s="303"/>
      <c r="E30" s="303"/>
      <c r="F30" s="94" t="s">
        <v>113</v>
      </c>
      <c r="G30" s="95">
        <v>100</v>
      </c>
      <c r="H30" s="88">
        <v>1233196</v>
      </c>
      <c r="I30" s="88">
        <v>1072900</v>
      </c>
      <c r="J30" s="88">
        <f t="shared" si="0"/>
        <v>107290000</v>
      </c>
      <c r="K30" s="133">
        <f t="shared" si="1"/>
        <v>-160296</v>
      </c>
      <c r="L30" s="134">
        <f t="shared" si="2"/>
        <v>0.87001579635353987</v>
      </c>
      <c r="O30" s="136"/>
    </row>
    <row r="31" spans="1:66" ht="60.75" customHeight="1">
      <c r="A31" s="310" t="s">
        <v>126</v>
      </c>
      <c r="B31" s="310"/>
      <c r="C31" s="303" t="s">
        <v>127</v>
      </c>
      <c r="D31" s="303"/>
      <c r="E31" s="303"/>
      <c r="F31" s="94" t="s">
        <v>113</v>
      </c>
      <c r="G31" s="95">
        <v>85</v>
      </c>
      <c r="H31" s="88">
        <v>749188</v>
      </c>
      <c r="I31" s="88">
        <v>651800</v>
      </c>
      <c r="J31" s="88">
        <f t="shared" si="0"/>
        <v>55403000</v>
      </c>
      <c r="K31" s="133">
        <f t="shared" si="1"/>
        <v>-97388</v>
      </c>
      <c r="L31" s="134">
        <f t="shared" si="2"/>
        <v>0.87000859597324032</v>
      </c>
      <c r="O31" s="136"/>
    </row>
    <row r="32" spans="1:66" ht="60.75" customHeight="1">
      <c r="A32" s="310" t="s">
        <v>128</v>
      </c>
      <c r="B32" s="310"/>
      <c r="C32" s="303" t="s">
        <v>129</v>
      </c>
      <c r="D32" s="303"/>
      <c r="E32" s="303"/>
      <c r="F32" s="94" t="s">
        <v>113</v>
      </c>
      <c r="G32" s="95">
        <v>20</v>
      </c>
      <c r="H32" s="88">
        <v>1242026</v>
      </c>
      <c r="I32" s="88">
        <v>1080600</v>
      </c>
      <c r="J32" s="88">
        <f t="shared" si="0"/>
        <v>21612000</v>
      </c>
      <c r="K32" s="133">
        <f t="shared" si="1"/>
        <v>-161426</v>
      </c>
      <c r="L32" s="134">
        <f t="shared" si="2"/>
        <v>0.8700300959883287</v>
      </c>
      <c r="O32" s="136"/>
    </row>
    <row r="33" spans="1:15" ht="60.75" customHeight="1">
      <c r="A33" s="310" t="s">
        <v>130</v>
      </c>
      <c r="B33" s="310"/>
      <c r="C33" s="303" t="s">
        <v>131</v>
      </c>
      <c r="D33" s="303"/>
      <c r="E33" s="303"/>
      <c r="F33" s="94" t="s">
        <v>98</v>
      </c>
      <c r="G33" s="95">
        <v>45</v>
      </c>
      <c r="H33" s="88">
        <v>40656</v>
      </c>
      <c r="I33" s="88">
        <v>35400</v>
      </c>
      <c r="J33" s="88">
        <f t="shared" si="0"/>
        <v>1593000</v>
      </c>
      <c r="K33" s="133">
        <f t="shared" si="1"/>
        <v>-5256</v>
      </c>
      <c r="L33" s="134">
        <f t="shared" si="2"/>
        <v>0.87072018890200709</v>
      </c>
      <c r="O33" s="136"/>
    </row>
    <row r="34" spans="1:15" ht="60.75" customHeight="1">
      <c r="A34" s="310" t="s">
        <v>132</v>
      </c>
      <c r="B34" s="310"/>
      <c r="C34" s="303" t="s">
        <v>133</v>
      </c>
      <c r="D34" s="303"/>
      <c r="E34" s="303"/>
      <c r="F34" s="94" t="s">
        <v>98</v>
      </c>
      <c r="G34" s="95">
        <v>45</v>
      </c>
      <c r="H34" s="88">
        <v>1032471</v>
      </c>
      <c r="I34" s="88">
        <v>898200</v>
      </c>
      <c r="J34" s="88">
        <f t="shared" si="0"/>
        <v>40419000</v>
      </c>
      <c r="K34" s="133">
        <f t="shared" si="1"/>
        <v>-134271</v>
      </c>
      <c r="L34" s="134">
        <f t="shared" si="2"/>
        <v>0.86995179525623478</v>
      </c>
      <c r="O34" s="136"/>
    </row>
    <row r="35" spans="1:15" ht="60.75" customHeight="1">
      <c r="A35" s="310" t="s">
        <v>134</v>
      </c>
      <c r="B35" s="310"/>
      <c r="C35" s="303" t="s">
        <v>135</v>
      </c>
      <c r="D35" s="303"/>
      <c r="E35" s="303"/>
      <c r="F35" s="94" t="s">
        <v>113</v>
      </c>
      <c r="G35" s="95">
        <v>275</v>
      </c>
      <c r="H35" s="88">
        <v>112609</v>
      </c>
      <c r="I35" s="88">
        <v>98000</v>
      </c>
      <c r="J35" s="88">
        <f t="shared" si="0"/>
        <v>26950000</v>
      </c>
      <c r="K35" s="133">
        <f t="shared" si="1"/>
        <v>-14609</v>
      </c>
      <c r="L35" s="134">
        <f t="shared" si="2"/>
        <v>0.87026791819481564</v>
      </c>
      <c r="O35" s="136"/>
    </row>
    <row r="36" spans="1:15" ht="60.75" customHeight="1">
      <c r="A36" s="310" t="s">
        <v>136</v>
      </c>
      <c r="B36" s="310"/>
      <c r="C36" s="303" t="s">
        <v>137</v>
      </c>
      <c r="D36" s="303"/>
      <c r="E36" s="303"/>
      <c r="F36" s="94" t="s">
        <v>113</v>
      </c>
      <c r="G36" s="95">
        <v>1</v>
      </c>
      <c r="H36" s="88">
        <v>131148</v>
      </c>
      <c r="I36" s="88">
        <v>114100</v>
      </c>
      <c r="J36" s="88">
        <f t="shared" si="0"/>
        <v>114100</v>
      </c>
      <c r="K36" s="133">
        <f t="shared" si="1"/>
        <v>-17048</v>
      </c>
      <c r="L36" s="134">
        <f t="shared" si="2"/>
        <v>0.87000945496690762</v>
      </c>
      <c r="O36" s="136"/>
    </row>
    <row r="37" spans="1:15" ht="60.75" customHeight="1">
      <c r="A37" s="310" t="s">
        <v>138</v>
      </c>
      <c r="B37" s="310"/>
      <c r="C37" s="303" t="s">
        <v>139</v>
      </c>
      <c r="D37" s="303"/>
      <c r="E37" s="303"/>
      <c r="F37" s="94" t="s">
        <v>113</v>
      </c>
      <c r="G37" s="95">
        <v>1</v>
      </c>
      <c r="H37" s="88">
        <v>1224745</v>
      </c>
      <c r="I37" s="88">
        <v>1065500</v>
      </c>
      <c r="J37" s="88">
        <f t="shared" si="0"/>
        <v>1065500</v>
      </c>
      <c r="K37" s="133">
        <f t="shared" si="1"/>
        <v>-159245</v>
      </c>
      <c r="L37" s="134">
        <f t="shared" si="2"/>
        <v>0.86997701562366048</v>
      </c>
      <c r="O37" s="136"/>
    </row>
    <row r="38" spans="1:15" ht="60.75" customHeight="1">
      <c r="A38" s="310" t="s">
        <v>140</v>
      </c>
      <c r="B38" s="310"/>
      <c r="C38" s="303" t="s">
        <v>141</v>
      </c>
      <c r="D38" s="303"/>
      <c r="E38" s="303"/>
      <c r="F38" s="94" t="s">
        <v>98</v>
      </c>
      <c r="G38" s="95">
        <v>4500</v>
      </c>
      <c r="H38" s="88">
        <v>34663</v>
      </c>
      <c r="I38" s="88">
        <v>30200</v>
      </c>
      <c r="J38" s="88">
        <f t="shared" si="0"/>
        <v>135900000</v>
      </c>
      <c r="K38" s="133">
        <f t="shared" si="1"/>
        <v>-4463</v>
      </c>
      <c r="L38" s="134">
        <f t="shared" si="2"/>
        <v>0.87124599717277784</v>
      </c>
      <c r="O38" s="136"/>
    </row>
    <row r="39" spans="1:15" ht="60.75" customHeight="1">
      <c r="A39" s="314" t="s">
        <v>142</v>
      </c>
      <c r="B39" s="315"/>
      <c r="C39" s="315"/>
      <c r="D39" s="315"/>
      <c r="E39" s="315"/>
      <c r="F39" s="315"/>
      <c r="G39" s="315"/>
      <c r="H39" s="315"/>
      <c r="I39" s="316"/>
      <c r="J39" s="96">
        <f>SUM(J16:J38)</f>
        <v>1040328436</v>
      </c>
      <c r="K39" s="133">
        <f t="shared" si="1"/>
        <v>0</v>
      </c>
      <c r="L39" s="134" t="e">
        <f t="shared" si="2"/>
        <v>#DIV/0!</v>
      </c>
      <c r="O39" s="136"/>
    </row>
    <row r="40" spans="1:15" ht="60.75" customHeight="1">
      <c r="A40" s="310" t="s">
        <v>93</v>
      </c>
      <c r="B40" s="310"/>
      <c r="C40" s="303" t="s">
        <v>143</v>
      </c>
      <c r="D40" s="303"/>
      <c r="E40" s="303"/>
      <c r="F40" s="94" t="s">
        <v>98</v>
      </c>
      <c r="G40" s="95">
        <v>250</v>
      </c>
      <c r="H40" s="88">
        <v>49033</v>
      </c>
      <c r="I40" s="88">
        <v>42700</v>
      </c>
      <c r="J40" s="88">
        <f t="shared" si="0"/>
        <v>10675000</v>
      </c>
      <c r="K40" s="133">
        <f t="shared" si="1"/>
        <v>-6333</v>
      </c>
      <c r="L40" s="134">
        <f t="shared" si="2"/>
        <v>0.87084208594212065</v>
      </c>
      <c r="O40" s="136"/>
    </row>
    <row r="41" spans="1:15" ht="60.75" customHeight="1">
      <c r="A41" s="310" t="s">
        <v>96</v>
      </c>
      <c r="B41" s="310"/>
      <c r="C41" s="303" t="s">
        <v>144</v>
      </c>
      <c r="D41" s="303"/>
      <c r="E41" s="303"/>
      <c r="F41" s="94" t="s">
        <v>98</v>
      </c>
      <c r="G41" s="95">
        <v>61</v>
      </c>
      <c r="H41" s="88">
        <v>50667</v>
      </c>
      <c r="I41" s="88">
        <v>44100</v>
      </c>
      <c r="J41" s="88">
        <f t="shared" si="0"/>
        <v>2690100</v>
      </c>
      <c r="K41" s="133">
        <f t="shared" si="1"/>
        <v>-6567</v>
      </c>
      <c r="L41" s="134">
        <f t="shared" si="2"/>
        <v>0.87038901059861451</v>
      </c>
      <c r="O41" s="136"/>
    </row>
    <row r="42" spans="1:15" ht="60.75" customHeight="1">
      <c r="A42" s="310" t="s">
        <v>145</v>
      </c>
      <c r="B42" s="310"/>
      <c r="C42" s="303" t="s">
        <v>117</v>
      </c>
      <c r="D42" s="303"/>
      <c r="E42" s="303"/>
      <c r="F42" s="94" t="s">
        <v>98</v>
      </c>
      <c r="G42" s="95">
        <v>1070</v>
      </c>
      <c r="H42" s="88">
        <v>36183</v>
      </c>
      <c r="I42" s="88">
        <v>31500</v>
      </c>
      <c r="J42" s="88">
        <f t="shared" si="0"/>
        <v>33705000</v>
      </c>
      <c r="K42" s="133">
        <f t="shared" si="1"/>
        <v>-4683</v>
      </c>
      <c r="L42" s="134">
        <f t="shared" si="2"/>
        <v>0.87057457922228676</v>
      </c>
      <c r="O42" s="136"/>
    </row>
    <row r="43" spans="1:15" ht="60.75" customHeight="1">
      <c r="A43" s="310" t="s">
        <v>146</v>
      </c>
      <c r="B43" s="310"/>
      <c r="C43" s="303" t="s">
        <v>147</v>
      </c>
      <c r="D43" s="303"/>
      <c r="E43" s="303"/>
      <c r="F43" s="94" t="s">
        <v>148</v>
      </c>
      <c r="G43" s="95">
        <v>1</v>
      </c>
      <c r="H43" s="88">
        <v>13063210</v>
      </c>
      <c r="I43" s="88">
        <v>11365000</v>
      </c>
      <c r="J43" s="88">
        <f t="shared" si="0"/>
        <v>11365000</v>
      </c>
      <c r="K43" s="133">
        <f t="shared" si="1"/>
        <v>-1698210</v>
      </c>
      <c r="L43" s="134">
        <f t="shared" si="2"/>
        <v>0.87000055882130045</v>
      </c>
      <c r="O43" s="136"/>
    </row>
    <row r="44" spans="1:15" ht="60.75" customHeight="1">
      <c r="A44" s="310" t="s">
        <v>149</v>
      </c>
      <c r="B44" s="310"/>
      <c r="C44" s="303" t="s">
        <v>150</v>
      </c>
      <c r="D44" s="303"/>
      <c r="E44" s="303"/>
      <c r="F44" s="94" t="s">
        <v>113</v>
      </c>
      <c r="G44" s="95">
        <v>135</v>
      </c>
      <c r="H44" s="88">
        <v>96339</v>
      </c>
      <c r="I44" s="88">
        <v>83800</v>
      </c>
      <c r="J44" s="88">
        <f t="shared" si="0"/>
        <v>11313000</v>
      </c>
      <c r="K44" s="133">
        <f t="shared" si="1"/>
        <v>-12539</v>
      </c>
      <c r="L44" s="134">
        <f t="shared" si="2"/>
        <v>0.86984502641713113</v>
      </c>
      <c r="O44" s="136"/>
    </row>
    <row r="45" spans="1:15" ht="60.75" customHeight="1">
      <c r="A45" s="310" t="s">
        <v>151</v>
      </c>
      <c r="B45" s="310"/>
      <c r="C45" s="303" t="s">
        <v>152</v>
      </c>
      <c r="D45" s="303"/>
      <c r="E45" s="303"/>
      <c r="F45" s="94" t="s">
        <v>98</v>
      </c>
      <c r="G45" s="95">
        <v>78</v>
      </c>
      <c r="H45" s="88">
        <v>95199</v>
      </c>
      <c r="I45" s="88">
        <v>82800</v>
      </c>
      <c r="J45" s="88">
        <f t="shared" si="0"/>
        <v>6458400</v>
      </c>
      <c r="K45" s="133">
        <f t="shared" si="1"/>
        <v>-12399</v>
      </c>
      <c r="L45" s="134">
        <f t="shared" si="2"/>
        <v>0.86975703526297543</v>
      </c>
      <c r="O45" s="136"/>
    </row>
    <row r="46" spans="1:15" ht="60.75" customHeight="1">
      <c r="A46" s="310" t="s">
        <v>99</v>
      </c>
      <c r="B46" s="310"/>
      <c r="C46" s="303" t="s">
        <v>153</v>
      </c>
      <c r="D46" s="303"/>
      <c r="E46" s="303"/>
      <c r="F46" s="94" t="s">
        <v>95</v>
      </c>
      <c r="G46" s="95">
        <v>100</v>
      </c>
      <c r="H46" s="88">
        <v>203925</v>
      </c>
      <c r="I46" s="88">
        <v>177400</v>
      </c>
      <c r="J46" s="88">
        <f t="shared" si="0"/>
        <v>17740000</v>
      </c>
      <c r="K46" s="133">
        <f t="shared" si="1"/>
        <v>-26525</v>
      </c>
      <c r="L46" s="134">
        <f t="shared" si="2"/>
        <v>0.86992766948633071</v>
      </c>
      <c r="O46" s="136"/>
    </row>
    <row r="47" spans="1:15" ht="60.75" customHeight="1">
      <c r="A47" s="310" t="s">
        <v>101</v>
      </c>
      <c r="B47" s="310"/>
      <c r="C47" s="303" t="s">
        <v>154</v>
      </c>
      <c r="D47" s="303"/>
      <c r="E47" s="303"/>
      <c r="F47" s="94" t="s">
        <v>95</v>
      </c>
      <c r="G47" s="95">
        <v>130</v>
      </c>
      <c r="H47" s="88">
        <v>186288</v>
      </c>
      <c r="I47" s="88">
        <v>162100</v>
      </c>
      <c r="J47" s="88">
        <f t="shared" si="0"/>
        <v>21073000</v>
      </c>
      <c r="K47" s="133">
        <f t="shared" si="1"/>
        <v>-24188</v>
      </c>
      <c r="L47" s="134">
        <f t="shared" si="2"/>
        <v>0.87015803487073773</v>
      </c>
      <c r="O47" s="136"/>
    </row>
    <row r="48" spans="1:15" ht="60.75" customHeight="1">
      <c r="A48" s="310" t="s">
        <v>116</v>
      </c>
      <c r="B48" s="310"/>
      <c r="C48" s="303" t="s">
        <v>155</v>
      </c>
      <c r="D48" s="303"/>
      <c r="E48" s="303"/>
      <c r="F48" s="94" t="s">
        <v>98</v>
      </c>
      <c r="G48" s="95">
        <v>30</v>
      </c>
      <c r="H48" s="88">
        <v>205133</v>
      </c>
      <c r="I48" s="88">
        <v>178500</v>
      </c>
      <c r="J48" s="88">
        <f t="shared" si="0"/>
        <v>5355000</v>
      </c>
      <c r="K48" s="133">
        <f t="shared" si="1"/>
        <v>-26633</v>
      </c>
      <c r="L48" s="134">
        <f t="shared" si="2"/>
        <v>0.8701671598426387</v>
      </c>
      <c r="O48" s="136"/>
    </row>
    <row r="49" spans="1:15" ht="60.75" customHeight="1">
      <c r="A49" s="310" t="s">
        <v>124</v>
      </c>
      <c r="B49" s="310"/>
      <c r="C49" s="303" t="s">
        <v>156</v>
      </c>
      <c r="D49" s="303"/>
      <c r="E49" s="303"/>
      <c r="F49" s="94" t="s">
        <v>98</v>
      </c>
      <c r="G49" s="95">
        <v>1301</v>
      </c>
      <c r="H49" s="88">
        <v>131613</v>
      </c>
      <c r="I49" s="88">
        <v>114500</v>
      </c>
      <c r="J49" s="88">
        <f t="shared" si="0"/>
        <v>148964500</v>
      </c>
      <c r="K49" s="133">
        <f t="shared" si="1"/>
        <v>-17113</v>
      </c>
      <c r="L49" s="134">
        <f t="shared" si="2"/>
        <v>0.86997485050868839</v>
      </c>
      <c r="O49" s="136"/>
    </row>
    <row r="50" spans="1:15" ht="60.75" customHeight="1">
      <c r="A50" s="310" t="s">
        <v>126</v>
      </c>
      <c r="B50" s="310"/>
      <c r="C50" s="303" t="s">
        <v>157</v>
      </c>
      <c r="D50" s="303"/>
      <c r="E50" s="303"/>
      <c r="F50" s="94" t="s">
        <v>98</v>
      </c>
      <c r="G50" s="95">
        <v>1301</v>
      </c>
      <c r="H50" s="88">
        <v>33384</v>
      </c>
      <c r="I50" s="88">
        <v>29000</v>
      </c>
      <c r="J50" s="88">
        <f t="shared" si="0"/>
        <v>37729000</v>
      </c>
      <c r="K50" s="133">
        <f t="shared" si="1"/>
        <v>-4384</v>
      </c>
      <c r="L50" s="134">
        <f t="shared" si="2"/>
        <v>0.86867960699736402</v>
      </c>
      <c r="O50" s="136"/>
    </row>
    <row r="51" spans="1:15" ht="60.75" customHeight="1">
      <c r="A51" s="302" t="s">
        <v>136</v>
      </c>
      <c r="B51" s="302"/>
      <c r="C51" s="303" t="s">
        <v>158</v>
      </c>
      <c r="D51" s="303"/>
      <c r="E51" s="303"/>
      <c r="F51" s="97" t="s">
        <v>98</v>
      </c>
      <c r="G51" s="98">
        <v>1070</v>
      </c>
      <c r="H51" s="88">
        <v>194913</v>
      </c>
      <c r="I51" s="88">
        <v>169600</v>
      </c>
      <c r="J51" s="88">
        <f t="shared" si="0"/>
        <v>181472000</v>
      </c>
      <c r="K51" s="133">
        <f t="shared" si="1"/>
        <v>-25313</v>
      </c>
      <c r="L51" s="134">
        <f t="shared" si="2"/>
        <v>0.87013180239388854</v>
      </c>
      <c r="O51" s="136"/>
    </row>
    <row r="52" spans="1:15" ht="60.75" customHeight="1">
      <c r="A52" s="310" t="s">
        <v>140</v>
      </c>
      <c r="B52" s="310"/>
      <c r="C52" s="303" t="s">
        <v>159</v>
      </c>
      <c r="D52" s="303"/>
      <c r="E52" s="303"/>
      <c r="F52" s="97" t="s">
        <v>95</v>
      </c>
      <c r="G52" s="98">
        <v>2400</v>
      </c>
      <c r="H52" s="88">
        <v>20487</v>
      </c>
      <c r="I52" s="88">
        <v>17800</v>
      </c>
      <c r="J52" s="88">
        <f t="shared" si="0"/>
        <v>42720000</v>
      </c>
      <c r="K52" s="133">
        <f t="shared" si="1"/>
        <v>-2687</v>
      </c>
      <c r="L52" s="134">
        <f t="shared" si="2"/>
        <v>0.86884365695318988</v>
      </c>
      <c r="O52" s="136"/>
    </row>
    <row r="53" spans="1:15" ht="60.75" customHeight="1">
      <c r="A53" s="310" t="s">
        <v>160</v>
      </c>
      <c r="B53" s="310"/>
      <c r="C53" s="303" t="s">
        <v>161</v>
      </c>
      <c r="D53" s="303"/>
      <c r="E53" s="303"/>
      <c r="F53" s="97" t="s">
        <v>95</v>
      </c>
      <c r="G53" s="98">
        <v>200</v>
      </c>
      <c r="H53" s="88">
        <v>373466</v>
      </c>
      <c r="I53" s="88">
        <v>324900</v>
      </c>
      <c r="J53" s="88">
        <f t="shared" si="0"/>
        <v>64980000</v>
      </c>
      <c r="K53" s="133">
        <f t="shared" si="1"/>
        <v>-48566</v>
      </c>
      <c r="L53" s="134">
        <f t="shared" si="2"/>
        <v>0.86995871110087664</v>
      </c>
      <c r="O53" s="136"/>
    </row>
    <row r="54" spans="1:15" ht="60.75" customHeight="1">
      <c r="A54" s="310" t="s">
        <v>162</v>
      </c>
      <c r="B54" s="310"/>
      <c r="C54" s="303" t="s">
        <v>163</v>
      </c>
      <c r="D54" s="303"/>
      <c r="E54" s="303"/>
      <c r="F54" s="97" t="s">
        <v>113</v>
      </c>
      <c r="G54" s="98">
        <v>240</v>
      </c>
      <c r="H54" s="88">
        <v>157875</v>
      </c>
      <c r="I54" s="88">
        <v>137400</v>
      </c>
      <c r="J54" s="88">
        <f t="shared" si="0"/>
        <v>32976000</v>
      </c>
      <c r="K54" s="133">
        <f t="shared" si="1"/>
        <v>-20475</v>
      </c>
      <c r="L54" s="134">
        <f t="shared" si="2"/>
        <v>0.87030878859857486</v>
      </c>
      <c r="O54" s="136"/>
    </row>
    <row r="55" spans="1:15" ht="60.75" customHeight="1">
      <c r="A55" s="310" t="s">
        <v>164</v>
      </c>
      <c r="B55" s="310"/>
      <c r="C55" s="303" t="s">
        <v>165</v>
      </c>
      <c r="D55" s="303"/>
      <c r="E55" s="303"/>
      <c r="F55" s="97" t="s">
        <v>113</v>
      </c>
      <c r="G55" s="98">
        <v>60</v>
      </c>
      <c r="H55" s="88">
        <v>177999</v>
      </c>
      <c r="I55" s="88">
        <v>154900</v>
      </c>
      <c r="J55" s="88">
        <f t="shared" si="0"/>
        <v>9294000</v>
      </c>
      <c r="K55" s="133">
        <f t="shared" si="1"/>
        <v>-23099</v>
      </c>
      <c r="L55" s="134">
        <f t="shared" si="2"/>
        <v>0.87022960803150584</v>
      </c>
      <c r="O55" s="136"/>
    </row>
    <row r="56" spans="1:15" ht="60.75" customHeight="1">
      <c r="A56" s="310" t="s">
        <v>166</v>
      </c>
      <c r="B56" s="310"/>
      <c r="C56" s="303" t="s">
        <v>167</v>
      </c>
      <c r="D56" s="303"/>
      <c r="E56" s="303"/>
      <c r="F56" s="97" t="s">
        <v>113</v>
      </c>
      <c r="G56" s="98">
        <v>82</v>
      </c>
      <c r="H56" s="88">
        <v>327191</v>
      </c>
      <c r="I56" s="88">
        <v>284700</v>
      </c>
      <c r="J56" s="88">
        <f t="shared" si="0"/>
        <v>23345400</v>
      </c>
      <c r="K56" s="133">
        <f t="shared" si="1"/>
        <v>-42491</v>
      </c>
      <c r="L56" s="134">
        <f t="shared" si="2"/>
        <v>0.87013395845240238</v>
      </c>
      <c r="O56" s="136"/>
    </row>
    <row r="57" spans="1:15" ht="60.75" customHeight="1">
      <c r="A57" s="310" t="s">
        <v>168</v>
      </c>
      <c r="B57" s="310"/>
      <c r="C57" s="303" t="s">
        <v>169</v>
      </c>
      <c r="D57" s="303"/>
      <c r="E57" s="303"/>
      <c r="F57" s="97" t="s">
        <v>113</v>
      </c>
      <c r="G57" s="98">
        <v>90</v>
      </c>
      <c r="H57" s="88">
        <v>230677</v>
      </c>
      <c r="I57" s="88">
        <v>200700</v>
      </c>
      <c r="J57" s="88">
        <f t="shared" si="0"/>
        <v>18063000</v>
      </c>
      <c r="K57" s="133">
        <f t="shared" si="1"/>
        <v>-29977</v>
      </c>
      <c r="L57" s="134">
        <f t="shared" si="2"/>
        <v>0.87004772907572059</v>
      </c>
      <c r="O57" s="136"/>
    </row>
    <row r="58" spans="1:15" ht="60.75" customHeight="1">
      <c r="A58" s="310" t="s">
        <v>170</v>
      </c>
      <c r="B58" s="310"/>
      <c r="C58" s="303" t="s">
        <v>171</v>
      </c>
      <c r="D58" s="303"/>
      <c r="E58" s="303"/>
      <c r="F58" s="97" t="s">
        <v>113</v>
      </c>
      <c r="G58" s="98">
        <v>7</v>
      </c>
      <c r="H58" s="88">
        <v>196020</v>
      </c>
      <c r="I58" s="88">
        <v>170500</v>
      </c>
      <c r="J58" s="88">
        <f t="shared" si="0"/>
        <v>1193500</v>
      </c>
      <c r="K58" s="133">
        <f t="shared" si="1"/>
        <v>-25520</v>
      </c>
      <c r="L58" s="134">
        <f t="shared" si="2"/>
        <v>0.86980920314253651</v>
      </c>
      <c r="O58" s="136"/>
    </row>
    <row r="59" spans="1:15" ht="60.75" customHeight="1">
      <c r="A59" s="310" t="s">
        <v>172</v>
      </c>
      <c r="B59" s="310"/>
      <c r="C59" s="303" t="s">
        <v>173</v>
      </c>
      <c r="D59" s="303"/>
      <c r="E59" s="303"/>
      <c r="F59" s="97" t="s">
        <v>113</v>
      </c>
      <c r="G59" s="98">
        <v>22</v>
      </c>
      <c r="H59" s="88">
        <v>181406</v>
      </c>
      <c r="I59" s="88">
        <v>157800</v>
      </c>
      <c r="J59" s="88">
        <f t="shared" si="0"/>
        <v>3471600</v>
      </c>
      <c r="K59" s="133">
        <f t="shared" si="1"/>
        <v>-23606</v>
      </c>
      <c r="L59" s="134">
        <f t="shared" si="2"/>
        <v>0.86987199982360008</v>
      </c>
      <c r="O59" s="136"/>
    </row>
    <row r="60" spans="1:15" ht="60.75" customHeight="1">
      <c r="A60" s="310" t="s">
        <v>174</v>
      </c>
      <c r="B60" s="310"/>
      <c r="C60" s="303" t="s">
        <v>175</v>
      </c>
      <c r="D60" s="303"/>
      <c r="E60" s="303"/>
      <c r="F60" s="97" t="s">
        <v>113</v>
      </c>
      <c r="G60" s="98">
        <v>10</v>
      </c>
      <c r="H60" s="88">
        <v>200830</v>
      </c>
      <c r="I60" s="88">
        <v>174700</v>
      </c>
      <c r="J60" s="88">
        <f t="shared" si="0"/>
        <v>1747000</v>
      </c>
      <c r="K60" s="133">
        <f t="shared" si="1"/>
        <v>-26130</v>
      </c>
      <c r="L60" s="134">
        <f t="shared" si="2"/>
        <v>0.86988995667977886</v>
      </c>
      <c r="O60" s="136"/>
    </row>
    <row r="61" spans="1:15" ht="60.75" customHeight="1">
      <c r="A61" s="310" t="s">
        <v>176</v>
      </c>
      <c r="B61" s="310"/>
      <c r="C61" s="303" t="s">
        <v>177</v>
      </c>
      <c r="D61" s="303"/>
      <c r="E61" s="303"/>
      <c r="F61" s="97" t="s">
        <v>113</v>
      </c>
      <c r="G61" s="98">
        <v>43</v>
      </c>
      <c r="H61" s="88">
        <v>178332</v>
      </c>
      <c r="I61" s="88">
        <v>155100</v>
      </c>
      <c r="J61" s="88">
        <f t="shared" si="0"/>
        <v>6669300</v>
      </c>
      <c r="K61" s="133">
        <f t="shared" si="1"/>
        <v>-23232</v>
      </c>
      <c r="L61" s="134">
        <f t="shared" si="2"/>
        <v>0.86972612879348632</v>
      </c>
      <c r="O61" s="136"/>
    </row>
    <row r="62" spans="1:15" ht="60.75" customHeight="1">
      <c r="A62" s="310" t="s">
        <v>178</v>
      </c>
      <c r="B62" s="310"/>
      <c r="C62" s="303" t="s">
        <v>179</v>
      </c>
      <c r="D62" s="303"/>
      <c r="E62" s="303"/>
      <c r="F62" s="97" t="s">
        <v>180</v>
      </c>
      <c r="G62" s="98">
        <v>300</v>
      </c>
      <c r="H62" s="88">
        <v>16471</v>
      </c>
      <c r="I62" s="88">
        <v>14300</v>
      </c>
      <c r="J62" s="88">
        <f t="shared" si="0"/>
        <v>4290000</v>
      </c>
      <c r="K62" s="133">
        <f t="shared" si="1"/>
        <v>-2171</v>
      </c>
      <c r="L62" s="134">
        <f t="shared" si="2"/>
        <v>0.86819258089976326</v>
      </c>
      <c r="O62" s="136"/>
    </row>
    <row r="63" spans="1:15" ht="60.75" customHeight="1">
      <c r="A63" s="310" t="s">
        <v>181</v>
      </c>
      <c r="B63" s="310"/>
      <c r="C63" s="303" t="s">
        <v>182</v>
      </c>
      <c r="D63" s="303"/>
      <c r="E63" s="303"/>
      <c r="F63" s="97" t="s">
        <v>95</v>
      </c>
      <c r="G63" s="98">
        <v>180</v>
      </c>
      <c r="H63" s="88">
        <v>159622</v>
      </c>
      <c r="I63" s="88">
        <v>138900</v>
      </c>
      <c r="J63" s="88">
        <f t="shared" si="0"/>
        <v>25002000</v>
      </c>
      <c r="K63" s="133">
        <f t="shared" si="1"/>
        <v>-20722</v>
      </c>
      <c r="L63" s="134">
        <f t="shared" si="2"/>
        <v>0.87018080214506777</v>
      </c>
      <c r="O63" s="136"/>
    </row>
    <row r="64" spans="1:15" ht="60.75" customHeight="1">
      <c r="A64" s="310" t="s">
        <v>183</v>
      </c>
      <c r="B64" s="310"/>
      <c r="C64" s="303" t="s">
        <v>184</v>
      </c>
      <c r="D64" s="303"/>
      <c r="E64" s="303"/>
      <c r="F64" s="97" t="s">
        <v>95</v>
      </c>
      <c r="G64" s="98">
        <v>220</v>
      </c>
      <c r="H64" s="88">
        <v>301400</v>
      </c>
      <c r="I64" s="88">
        <v>262200</v>
      </c>
      <c r="J64" s="88">
        <f t="shared" si="0"/>
        <v>57684000</v>
      </c>
      <c r="K64" s="133">
        <f t="shared" si="1"/>
        <v>-39200</v>
      </c>
      <c r="L64" s="134">
        <f t="shared" si="2"/>
        <v>0.86994027869940282</v>
      </c>
      <c r="O64" s="136"/>
    </row>
    <row r="65" spans="1:15" ht="60.75" customHeight="1">
      <c r="A65" s="310" t="s">
        <v>185</v>
      </c>
      <c r="B65" s="310"/>
      <c r="C65" s="303" t="s">
        <v>186</v>
      </c>
      <c r="D65" s="303"/>
      <c r="E65" s="303"/>
      <c r="F65" s="97" t="s">
        <v>113</v>
      </c>
      <c r="G65" s="98">
        <v>2</v>
      </c>
      <c r="H65" s="88">
        <v>3554535</v>
      </c>
      <c r="I65" s="88">
        <v>3092400</v>
      </c>
      <c r="J65" s="88">
        <f t="shared" si="0"/>
        <v>6184800</v>
      </c>
      <c r="K65" s="133">
        <f t="shared" si="1"/>
        <v>-462135</v>
      </c>
      <c r="L65" s="134">
        <f t="shared" si="2"/>
        <v>0.86998721351737995</v>
      </c>
      <c r="O65" s="136"/>
    </row>
    <row r="66" spans="1:15" ht="60.75" customHeight="1">
      <c r="A66" s="310" t="s">
        <v>187</v>
      </c>
      <c r="B66" s="310"/>
      <c r="C66" s="303" t="s">
        <v>188</v>
      </c>
      <c r="D66" s="303"/>
      <c r="E66" s="303"/>
      <c r="F66" s="97" t="s">
        <v>98</v>
      </c>
      <c r="G66" s="98">
        <v>300</v>
      </c>
      <c r="H66" s="88">
        <v>853000</v>
      </c>
      <c r="I66" s="88">
        <v>742100</v>
      </c>
      <c r="J66" s="88">
        <f t="shared" si="0"/>
        <v>222630000</v>
      </c>
      <c r="K66" s="133">
        <f t="shared" si="1"/>
        <v>-110900</v>
      </c>
      <c r="L66" s="134">
        <f t="shared" si="2"/>
        <v>0.86998827667057443</v>
      </c>
      <c r="O66" s="136"/>
    </row>
    <row r="67" spans="1:15" ht="60.75" customHeight="1">
      <c r="A67" s="310" t="s">
        <v>189</v>
      </c>
      <c r="B67" s="310"/>
      <c r="C67" s="303" t="s">
        <v>190</v>
      </c>
      <c r="D67" s="303"/>
      <c r="E67" s="303"/>
      <c r="F67" s="97" t="s">
        <v>98</v>
      </c>
      <c r="G67" s="98">
        <v>30</v>
      </c>
      <c r="H67" s="88">
        <v>879613</v>
      </c>
      <c r="I67" s="88">
        <v>765300</v>
      </c>
      <c r="J67" s="88">
        <f t="shared" si="0"/>
        <v>22959000</v>
      </c>
      <c r="K67" s="133">
        <f t="shared" si="1"/>
        <v>-114313</v>
      </c>
      <c r="L67" s="134">
        <f t="shared" si="2"/>
        <v>0.87004171152540943</v>
      </c>
      <c r="O67" s="136"/>
    </row>
    <row r="68" spans="1:15" ht="60.75" customHeight="1">
      <c r="A68" s="310" t="s">
        <v>191</v>
      </c>
      <c r="B68" s="310"/>
      <c r="C68" s="303" t="s">
        <v>192</v>
      </c>
      <c r="D68" s="303"/>
      <c r="E68" s="303"/>
      <c r="F68" s="97" t="s">
        <v>95</v>
      </c>
      <c r="G68" s="98">
        <v>60</v>
      </c>
      <c r="H68" s="88">
        <v>87418</v>
      </c>
      <c r="I68" s="88">
        <v>76100</v>
      </c>
      <c r="J68" s="88">
        <f t="shared" si="0"/>
        <v>4566000</v>
      </c>
      <c r="K68" s="133">
        <f t="shared" si="1"/>
        <v>-11318</v>
      </c>
      <c r="L68" s="134">
        <f t="shared" si="2"/>
        <v>0.87053009677640758</v>
      </c>
      <c r="O68" s="136"/>
    </row>
    <row r="69" spans="1:15" ht="60.75" customHeight="1">
      <c r="A69" s="310" t="s">
        <v>193</v>
      </c>
      <c r="B69" s="310"/>
      <c r="C69" s="303" t="s">
        <v>194</v>
      </c>
      <c r="D69" s="303"/>
      <c r="E69" s="303"/>
      <c r="F69" s="97" t="s">
        <v>113</v>
      </c>
      <c r="G69" s="98">
        <v>41</v>
      </c>
      <c r="H69" s="88">
        <v>142900</v>
      </c>
      <c r="I69" s="88">
        <v>124300</v>
      </c>
      <c r="J69" s="88">
        <f t="shared" si="0"/>
        <v>5096300</v>
      </c>
      <c r="K69" s="133">
        <f t="shared" si="1"/>
        <v>-18600</v>
      </c>
      <c r="L69" s="134">
        <f t="shared" si="2"/>
        <v>0.86983904828551439</v>
      </c>
      <c r="O69" s="136"/>
    </row>
    <row r="70" spans="1:15" ht="60.75" customHeight="1">
      <c r="A70" s="310" t="s">
        <v>195</v>
      </c>
      <c r="B70" s="310"/>
      <c r="C70" s="303" t="s">
        <v>196</v>
      </c>
      <c r="D70" s="303"/>
      <c r="E70" s="303"/>
      <c r="F70" s="97" t="s">
        <v>113</v>
      </c>
      <c r="G70" s="98">
        <v>1</v>
      </c>
      <c r="H70" s="88">
        <v>1176585</v>
      </c>
      <c r="I70" s="88">
        <v>1023600</v>
      </c>
      <c r="J70" s="88">
        <f t="shared" si="0"/>
        <v>1023600</v>
      </c>
      <c r="K70" s="133">
        <f t="shared" si="1"/>
        <v>-152985</v>
      </c>
      <c r="L70" s="134">
        <f t="shared" si="2"/>
        <v>0.8699753948928467</v>
      </c>
      <c r="O70" s="136"/>
    </row>
    <row r="71" spans="1:15" ht="60.75" customHeight="1">
      <c r="A71" s="310" t="s">
        <v>197</v>
      </c>
      <c r="B71" s="310"/>
      <c r="C71" s="303" t="s">
        <v>198</v>
      </c>
      <c r="D71" s="303"/>
      <c r="E71" s="303"/>
      <c r="F71" s="97" t="s">
        <v>98</v>
      </c>
      <c r="G71" s="98">
        <v>1000</v>
      </c>
      <c r="H71" s="88">
        <v>38208</v>
      </c>
      <c r="I71" s="88">
        <v>33200</v>
      </c>
      <c r="J71" s="88">
        <f t="shared" si="0"/>
        <v>33200000</v>
      </c>
      <c r="K71" s="133">
        <f t="shared" si="1"/>
        <v>-5008</v>
      </c>
      <c r="L71" s="134">
        <f t="shared" si="2"/>
        <v>0.86892797319933002</v>
      </c>
      <c r="O71" s="136"/>
    </row>
    <row r="72" spans="1:15" ht="60.75" customHeight="1">
      <c r="A72" s="310" t="s">
        <v>199</v>
      </c>
      <c r="B72" s="310"/>
      <c r="C72" s="303" t="s">
        <v>200</v>
      </c>
      <c r="D72" s="303"/>
      <c r="E72" s="303"/>
      <c r="F72" s="97" t="s">
        <v>98</v>
      </c>
      <c r="G72" s="98">
        <v>230.61</v>
      </c>
      <c r="H72" s="88">
        <v>41123</v>
      </c>
      <c r="I72" s="88">
        <v>35800</v>
      </c>
      <c r="J72" s="88">
        <f t="shared" si="0"/>
        <v>8255838</v>
      </c>
      <c r="K72" s="133">
        <f t="shared" si="1"/>
        <v>-5323</v>
      </c>
      <c r="L72" s="134">
        <f t="shared" si="2"/>
        <v>0.87055905454368598</v>
      </c>
      <c r="O72" s="136"/>
    </row>
    <row r="73" spans="1:15" ht="60.75" customHeight="1">
      <c r="A73" s="311" t="s">
        <v>201</v>
      </c>
      <c r="B73" s="312"/>
      <c r="C73" s="312"/>
      <c r="D73" s="312"/>
      <c r="E73" s="312"/>
      <c r="F73" s="312"/>
      <c r="G73" s="312"/>
      <c r="H73" s="312"/>
      <c r="I73" s="313"/>
      <c r="J73" s="99">
        <f>SUM(J40:J72)</f>
        <v>1083891338</v>
      </c>
      <c r="K73" s="133">
        <f t="shared" si="1"/>
        <v>0</v>
      </c>
      <c r="L73" s="134" t="e">
        <f t="shared" si="2"/>
        <v>#DIV/0!</v>
      </c>
      <c r="O73" s="136"/>
    </row>
    <row r="74" spans="1:15" ht="60.75" customHeight="1">
      <c r="A74" s="302" t="s">
        <v>202</v>
      </c>
      <c r="B74" s="302"/>
      <c r="C74" s="303" t="s">
        <v>203</v>
      </c>
      <c r="D74" s="303"/>
      <c r="E74" s="303"/>
      <c r="F74" s="97" t="s">
        <v>98</v>
      </c>
      <c r="G74" s="98">
        <v>450</v>
      </c>
      <c r="H74" s="88">
        <v>194913</v>
      </c>
      <c r="I74" s="88">
        <v>169600</v>
      </c>
      <c r="J74" s="88">
        <f t="shared" ref="J74:J130" si="3">+ROUND(I74*G74,0)</f>
        <v>76320000</v>
      </c>
      <c r="K74" s="133">
        <f t="shared" si="1"/>
        <v>-25313</v>
      </c>
      <c r="L74" s="134">
        <f t="shared" si="2"/>
        <v>0.87013180239388854</v>
      </c>
      <c r="O74" s="136"/>
    </row>
    <row r="75" spans="1:15" ht="60.75" customHeight="1">
      <c r="A75" s="302" t="s">
        <v>197</v>
      </c>
      <c r="B75" s="302"/>
      <c r="C75" s="303" t="s">
        <v>204</v>
      </c>
      <c r="D75" s="303"/>
      <c r="E75" s="303"/>
      <c r="F75" s="97" t="s">
        <v>113</v>
      </c>
      <c r="G75" s="98">
        <v>2</v>
      </c>
      <c r="H75" s="88">
        <v>3334200</v>
      </c>
      <c r="I75" s="88">
        <v>2900800</v>
      </c>
      <c r="J75" s="88">
        <f t="shared" si="3"/>
        <v>5801600</v>
      </c>
      <c r="K75" s="133">
        <f t="shared" si="1"/>
        <v>-433400</v>
      </c>
      <c r="L75" s="134">
        <f t="shared" si="2"/>
        <v>0.87001379641293264</v>
      </c>
      <c r="O75" s="136"/>
    </row>
    <row r="76" spans="1:15" ht="60.75" customHeight="1">
      <c r="A76" s="302" t="s">
        <v>199</v>
      </c>
      <c r="B76" s="302"/>
      <c r="C76" s="303" t="s">
        <v>205</v>
      </c>
      <c r="D76" s="303"/>
      <c r="E76" s="303"/>
      <c r="F76" s="97" t="s">
        <v>113</v>
      </c>
      <c r="G76" s="98">
        <v>12</v>
      </c>
      <c r="H76" s="88">
        <v>858374</v>
      </c>
      <c r="I76" s="88">
        <v>746800</v>
      </c>
      <c r="J76" s="88">
        <f t="shared" si="3"/>
        <v>8961600</v>
      </c>
      <c r="K76" s="133">
        <f t="shared" si="1"/>
        <v>-111574</v>
      </c>
      <c r="L76" s="134">
        <f t="shared" si="2"/>
        <v>0.87001703220274618</v>
      </c>
      <c r="O76" s="136"/>
    </row>
    <row r="77" spans="1:15" ht="60.75" customHeight="1">
      <c r="A77" s="302" t="s">
        <v>206</v>
      </c>
      <c r="B77" s="302"/>
      <c r="C77" s="303" t="s">
        <v>207</v>
      </c>
      <c r="D77" s="303"/>
      <c r="E77" s="303"/>
      <c r="F77" s="97" t="s">
        <v>98</v>
      </c>
      <c r="G77" s="98">
        <v>222.23000000000002</v>
      </c>
      <c r="H77" s="88">
        <v>34663</v>
      </c>
      <c r="I77" s="88">
        <v>30200</v>
      </c>
      <c r="J77" s="88">
        <f t="shared" si="3"/>
        <v>6711346</v>
      </c>
      <c r="K77" s="133">
        <f t="shared" si="1"/>
        <v>-4463</v>
      </c>
      <c r="L77" s="134">
        <f t="shared" si="2"/>
        <v>0.87124599717277784</v>
      </c>
      <c r="O77" s="136"/>
    </row>
    <row r="78" spans="1:15" ht="60.75" customHeight="1">
      <c r="A78" s="307" t="s">
        <v>208</v>
      </c>
      <c r="B78" s="308"/>
      <c r="C78" s="308"/>
      <c r="D78" s="308"/>
      <c r="E78" s="308"/>
      <c r="F78" s="308"/>
      <c r="G78" s="308"/>
      <c r="H78" s="308"/>
      <c r="I78" s="309"/>
      <c r="J78" s="100">
        <f>SUM(J74:J77)</f>
        <v>97794546</v>
      </c>
      <c r="K78" s="133">
        <f t="shared" si="1"/>
        <v>0</v>
      </c>
      <c r="L78" s="134" t="e">
        <f t="shared" si="2"/>
        <v>#DIV/0!</v>
      </c>
      <c r="O78" s="136"/>
    </row>
    <row r="79" spans="1:15" ht="60.75" customHeight="1">
      <c r="A79" s="302" t="s">
        <v>93</v>
      </c>
      <c r="B79" s="302"/>
      <c r="C79" s="303" t="s">
        <v>143</v>
      </c>
      <c r="D79" s="303"/>
      <c r="E79" s="303"/>
      <c r="F79" s="97" t="s">
        <v>98</v>
      </c>
      <c r="G79" s="98">
        <v>161.58000000000001</v>
      </c>
      <c r="H79" s="88">
        <v>49033</v>
      </c>
      <c r="I79" s="88">
        <v>42700</v>
      </c>
      <c r="J79" s="88">
        <f t="shared" si="3"/>
        <v>6899466</v>
      </c>
      <c r="K79" s="133">
        <f t="shared" si="1"/>
        <v>-6333</v>
      </c>
      <c r="L79" s="134">
        <f t="shared" si="2"/>
        <v>0.87084208594212065</v>
      </c>
      <c r="O79" s="136"/>
    </row>
    <row r="80" spans="1:15" ht="60.75" customHeight="1">
      <c r="A80" s="302" t="s">
        <v>96</v>
      </c>
      <c r="B80" s="302"/>
      <c r="C80" s="303" t="s">
        <v>144</v>
      </c>
      <c r="D80" s="303"/>
      <c r="E80" s="303"/>
      <c r="F80" s="97" t="s">
        <v>98</v>
      </c>
      <c r="G80" s="98">
        <v>246.96</v>
      </c>
      <c r="H80" s="88">
        <v>97950</v>
      </c>
      <c r="I80" s="88">
        <v>85200</v>
      </c>
      <c r="J80" s="88">
        <f t="shared" si="3"/>
        <v>21040992</v>
      </c>
      <c r="K80" s="133">
        <f t="shared" si="1"/>
        <v>-12750</v>
      </c>
      <c r="L80" s="134">
        <f t="shared" si="2"/>
        <v>0.86983154670750384</v>
      </c>
      <c r="O80" s="136"/>
    </row>
    <row r="81" spans="1:15" ht="60.75" customHeight="1">
      <c r="A81" s="302" t="s">
        <v>145</v>
      </c>
      <c r="B81" s="302"/>
      <c r="C81" s="303" t="s">
        <v>209</v>
      </c>
      <c r="D81" s="303"/>
      <c r="E81" s="303"/>
      <c r="F81" s="97" t="s">
        <v>98</v>
      </c>
      <c r="G81" s="98">
        <v>888.84</v>
      </c>
      <c r="H81" s="88">
        <v>36183</v>
      </c>
      <c r="I81" s="88">
        <v>31500</v>
      </c>
      <c r="J81" s="88">
        <f t="shared" si="3"/>
        <v>27998460</v>
      </c>
      <c r="K81" s="133">
        <f t="shared" ref="K81:K131" si="4">+I81-H81</f>
        <v>-4683</v>
      </c>
      <c r="L81" s="134">
        <f t="shared" ref="L81:L131" si="5">+I81/H81</f>
        <v>0.87057457922228676</v>
      </c>
      <c r="O81" s="136"/>
    </row>
    <row r="82" spans="1:15" ht="60.75" customHeight="1">
      <c r="A82" s="302" t="s">
        <v>146</v>
      </c>
      <c r="B82" s="302"/>
      <c r="C82" s="303" t="s">
        <v>147</v>
      </c>
      <c r="D82" s="303"/>
      <c r="E82" s="303"/>
      <c r="F82" s="97" t="s">
        <v>148</v>
      </c>
      <c r="G82" s="98">
        <v>1</v>
      </c>
      <c r="H82" s="88">
        <v>6960160</v>
      </c>
      <c r="I82" s="88">
        <v>6055300</v>
      </c>
      <c r="J82" s="88">
        <f t="shared" si="3"/>
        <v>6055300</v>
      </c>
      <c r="K82" s="133">
        <f t="shared" si="4"/>
        <v>-904860</v>
      </c>
      <c r="L82" s="134">
        <f t="shared" si="5"/>
        <v>0.86999436794556451</v>
      </c>
      <c r="O82" s="136"/>
    </row>
    <row r="83" spans="1:15" ht="60.75" customHeight="1">
      <c r="A83" s="302" t="s">
        <v>149</v>
      </c>
      <c r="B83" s="302"/>
      <c r="C83" s="303" t="s">
        <v>210</v>
      </c>
      <c r="D83" s="303"/>
      <c r="E83" s="303"/>
      <c r="F83" s="97" t="s">
        <v>113</v>
      </c>
      <c r="G83" s="98">
        <v>150</v>
      </c>
      <c r="H83" s="88">
        <v>96339</v>
      </c>
      <c r="I83" s="88">
        <v>83800</v>
      </c>
      <c r="J83" s="88">
        <f t="shared" si="3"/>
        <v>12570000</v>
      </c>
      <c r="K83" s="133">
        <f t="shared" si="4"/>
        <v>-12539</v>
      </c>
      <c r="L83" s="134">
        <f t="shared" si="5"/>
        <v>0.86984502641713113</v>
      </c>
      <c r="O83" s="136"/>
    </row>
    <row r="84" spans="1:15" ht="60.75" customHeight="1">
      <c r="A84" s="302" t="s">
        <v>151</v>
      </c>
      <c r="B84" s="302"/>
      <c r="C84" s="303" t="s">
        <v>211</v>
      </c>
      <c r="D84" s="303"/>
      <c r="E84" s="303"/>
      <c r="F84" s="97" t="s">
        <v>98</v>
      </c>
      <c r="G84" s="98">
        <v>37.5</v>
      </c>
      <c r="H84" s="88">
        <v>95199</v>
      </c>
      <c r="I84" s="88">
        <v>82800</v>
      </c>
      <c r="J84" s="88">
        <f t="shared" si="3"/>
        <v>3105000</v>
      </c>
      <c r="K84" s="133">
        <f t="shared" si="4"/>
        <v>-12399</v>
      </c>
      <c r="L84" s="134">
        <f t="shared" si="5"/>
        <v>0.86975703526297543</v>
      </c>
      <c r="O84" s="136"/>
    </row>
    <row r="85" spans="1:15" ht="60.75" customHeight="1">
      <c r="A85" s="302" t="s">
        <v>99</v>
      </c>
      <c r="B85" s="302"/>
      <c r="C85" s="303" t="s">
        <v>153</v>
      </c>
      <c r="D85" s="303"/>
      <c r="E85" s="303"/>
      <c r="F85" s="97" t="s">
        <v>95</v>
      </c>
      <c r="G85" s="98">
        <v>121</v>
      </c>
      <c r="H85" s="88">
        <v>203925</v>
      </c>
      <c r="I85" s="88">
        <v>177400</v>
      </c>
      <c r="J85" s="88">
        <f t="shared" si="3"/>
        <v>21465400</v>
      </c>
      <c r="K85" s="133">
        <f t="shared" si="4"/>
        <v>-26525</v>
      </c>
      <c r="L85" s="134">
        <f t="shared" si="5"/>
        <v>0.86992766948633071</v>
      </c>
      <c r="O85" s="136"/>
    </row>
    <row r="86" spans="1:15" ht="60.75" customHeight="1">
      <c r="A86" s="302" t="s">
        <v>101</v>
      </c>
      <c r="B86" s="302"/>
      <c r="C86" s="303" t="s">
        <v>154</v>
      </c>
      <c r="D86" s="303"/>
      <c r="E86" s="303"/>
      <c r="F86" s="97" t="s">
        <v>95</v>
      </c>
      <c r="G86" s="98">
        <v>145</v>
      </c>
      <c r="H86" s="88">
        <v>186288</v>
      </c>
      <c r="I86" s="88">
        <v>162100</v>
      </c>
      <c r="J86" s="88">
        <f t="shared" si="3"/>
        <v>23504500</v>
      </c>
      <c r="K86" s="133">
        <f t="shared" si="4"/>
        <v>-24188</v>
      </c>
      <c r="L86" s="134">
        <f t="shared" si="5"/>
        <v>0.87015803487073773</v>
      </c>
      <c r="O86" s="136"/>
    </row>
    <row r="87" spans="1:15" ht="60.75" customHeight="1">
      <c r="A87" s="302" t="s">
        <v>103</v>
      </c>
      <c r="B87" s="302"/>
      <c r="C87" s="303" t="s">
        <v>212</v>
      </c>
      <c r="D87" s="303"/>
      <c r="E87" s="303"/>
      <c r="F87" s="97" t="s">
        <v>98</v>
      </c>
      <c r="G87" s="98">
        <v>40</v>
      </c>
      <c r="H87" s="88">
        <v>240790</v>
      </c>
      <c r="I87" s="88">
        <v>209500</v>
      </c>
      <c r="J87" s="88">
        <f t="shared" si="3"/>
        <v>8380000</v>
      </c>
      <c r="K87" s="133">
        <f t="shared" si="4"/>
        <v>-31290</v>
      </c>
      <c r="L87" s="134">
        <f t="shared" si="5"/>
        <v>0.87005274305411351</v>
      </c>
      <c r="O87" s="136"/>
    </row>
    <row r="88" spans="1:15" ht="60.75" customHeight="1">
      <c r="A88" s="302" t="s">
        <v>116</v>
      </c>
      <c r="B88" s="302"/>
      <c r="C88" s="303" t="s">
        <v>213</v>
      </c>
      <c r="D88" s="303"/>
      <c r="E88" s="303"/>
      <c r="F88" s="97" t="s">
        <v>98</v>
      </c>
      <c r="G88" s="98">
        <v>5</v>
      </c>
      <c r="H88" s="88">
        <v>161174</v>
      </c>
      <c r="I88" s="88">
        <v>140200</v>
      </c>
      <c r="J88" s="88">
        <f t="shared" si="3"/>
        <v>701000</v>
      </c>
      <c r="K88" s="133">
        <f t="shared" si="4"/>
        <v>-20974</v>
      </c>
      <c r="L88" s="134">
        <f t="shared" si="5"/>
        <v>0.86986734833161672</v>
      </c>
      <c r="O88" s="136"/>
    </row>
    <row r="89" spans="1:15" ht="60.75" customHeight="1">
      <c r="A89" s="302" t="s">
        <v>124</v>
      </c>
      <c r="B89" s="302"/>
      <c r="C89" s="303" t="s">
        <v>214</v>
      </c>
      <c r="D89" s="303"/>
      <c r="E89" s="303"/>
      <c r="F89" s="97" t="s">
        <v>98</v>
      </c>
      <c r="G89" s="98">
        <v>888.84</v>
      </c>
      <c r="H89" s="88">
        <v>116086</v>
      </c>
      <c r="I89" s="88">
        <v>101000</v>
      </c>
      <c r="J89" s="88">
        <f t="shared" si="3"/>
        <v>89772840</v>
      </c>
      <c r="K89" s="133">
        <f t="shared" si="4"/>
        <v>-15086</v>
      </c>
      <c r="L89" s="134">
        <f t="shared" si="5"/>
        <v>0.87004462209051914</v>
      </c>
      <c r="O89" s="136"/>
    </row>
    <row r="90" spans="1:15" ht="60.75" customHeight="1">
      <c r="A90" s="302" t="s">
        <v>136</v>
      </c>
      <c r="B90" s="302"/>
      <c r="C90" s="303" t="s">
        <v>215</v>
      </c>
      <c r="D90" s="303"/>
      <c r="E90" s="303"/>
      <c r="F90" s="97" t="s">
        <v>98</v>
      </c>
      <c r="G90" s="98">
        <v>888.84</v>
      </c>
      <c r="H90" s="88">
        <v>194913</v>
      </c>
      <c r="I90" s="88">
        <v>169600</v>
      </c>
      <c r="J90" s="88">
        <f t="shared" si="3"/>
        <v>150747264</v>
      </c>
      <c r="K90" s="133">
        <f t="shared" si="4"/>
        <v>-25313</v>
      </c>
      <c r="L90" s="134">
        <f t="shared" si="5"/>
        <v>0.87013180239388854</v>
      </c>
      <c r="O90" s="136"/>
    </row>
    <row r="91" spans="1:15" ht="60.75" customHeight="1">
      <c r="A91" s="302" t="s">
        <v>140</v>
      </c>
      <c r="B91" s="302"/>
      <c r="C91" s="303" t="s">
        <v>159</v>
      </c>
      <c r="D91" s="303"/>
      <c r="E91" s="303"/>
      <c r="F91" s="97" t="s">
        <v>95</v>
      </c>
      <c r="G91" s="98">
        <v>1800</v>
      </c>
      <c r="H91" s="88">
        <v>20382</v>
      </c>
      <c r="I91" s="88">
        <v>17700</v>
      </c>
      <c r="J91" s="88">
        <f t="shared" si="3"/>
        <v>31860000</v>
      </c>
      <c r="K91" s="133">
        <f t="shared" si="4"/>
        <v>-2682</v>
      </c>
      <c r="L91" s="134">
        <f t="shared" si="5"/>
        <v>0.86841330585811005</v>
      </c>
      <c r="O91" s="136"/>
    </row>
    <row r="92" spans="1:15" ht="60.75" customHeight="1">
      <c r="A92" s="302" t="s">
        <v>160</v>
      </c>
      <c r="B92" s="302"/>
      <c r="C92" s="303" t="s">
        <v>161</v>
      </c>
      <c r="D92" s="303"/>
      <c r="E92" s="303"/>
      <c r="F92" s="97" t="s">
        <v>95</v>
      </c>
      <c r="G92" s="98">
        <v>50</v>
      </c>
      <c r="H92" s="88">
        <v>226317</v>
      </c>
      <c r="I92" s="88">
        <v>196900</v>
      </c>
      <c r="J92" s="88">
        <f t="shared" si="3"/>
        <v>9845000</v>
      </c>
      <c r="K92" s="133">
        <f t="shared" si="4"/>
        <v>-29417</v>
      </c>
      <c r="L92" s="134">
        <f t="shared" si="5"/>
        <v>0.87001860222608107</v>
      </c>
      <c r="O92" s="136"/>
    </row>
    <row r="93" spans="1:15" ht="60.75" customHeight="1">
      <c r="A93" s="302" t="s">
        <v>162</v>
      </c>
      <c r="B93" s="302"/>
      <c r="C93" s="303" t="s">
        <v>216</v>
      </c>
      <c r="D93" s="303"/>
      <c r="E93" s="303"/>
      <c r="F93" s="97" t="s">
        <v>113</v>
      </c>
      <c r="G93" s="98">
        <v>180</v>
      </c>
      <c r="H93" s="88">
        <v>151650</v>
      </c>
      <c r="I93" s="88">
        <v>131900</v>
      </c>
      <c r="J93" s="88">
        <f t="shared" si="3"/>
        <v>23742000</v>
      </c>
      <c r="K93" s="133">
        <f t="shared" si="4"/>
        <v>-19750</v>
      </c>
      <c r="L93" s="134">
        <f t="shared" si="5"/>
        <v>0.86976590834157597</v>
      </c>
      <c r="O93" s="136"/>
    </row>
    <row r="94" spans="1:15" ht="60.75" customHeight="1">
      <c r="A94" s="302" t="s">
        <v>164</v>
      </c>
      <c r="B94" s="302"/>
      <c r="C94" s="303" t="s">
        <v>217</v>
      </c>
      <c r="D94" s="303"/>
      <c r="E94" s="303"/>
      <c r="F94" s="97" t="s">
        <v>113</v>
      </c>
      <c r="G94" s="98">
        <v>60</v>
      </c>
      <c r="H94" s="88">
        <v>170847</v>
      </c>
      <c r="I94" s="88">
        <v>148600</v>
      </c>
      <c r="J94" s="88">
        <f t="shared" si="3"/>
        <v>8916000</v>
      </c>
      <c r="K94" s="133">
        <f t="shared" si="4"/>
        <v>-22247</v>
      </c>
      <c r="L94" s="134">
        <f t="shared" si="5"/>
        <v>0.86978407581052053</v>
      </c>
      <c r="O94" s="136"/>
    </row>
    <row r="95" spans="1:15" ht="60.75" customHeight="1">
      <c r="A95" s="302" t="s">
        <v>166</v>
      </c>
      <c r="B95" s="302"/>
      <c r="C95" s="303" t="s">
        <v>218</v>
      </c>
      <c r="D95" s="303"/>
      <c r="E95" s="303"/>
      <c r="F95" s="97" t="s">
        <v>113</v>
      </c>
      <c r="G95" s="98">
        <v>42</v>
      </c>
      <c r="H95" s="88">
        <v>308438</v>
      </c>
      <c r="I95" s="88">
        <v>268300</v>
      </c>
      <c r="J95" s="88">
        <f t="shared" si="3"/>
        <v>11268600</v>
      </c>
      <c r="K95" s="133">
        <f t="shared" si="4"/>
        <v>-40138</v>
      </c>
      <c r="L95" s="134">
        <f t="shared" si="5"/>
        <v>0.86986687762208292</v>
      </c>
      <c r="O95" s="136"/>
    </row>
    <row r="96" spans="1:15" ht="60.75" customHeight="1">
      <c r="A96" s="302" t="s">
        <v>168</v>
      </c>
      <c r="B96" s="302"/>
      <c r="C96" s="303" t="s">
        <v>219</v>
      </c>
      <c r="D96" s="303"/>
      <c r="E96" s="303"/>
      <c r="F96" s="97" t="s">
        <v>113</v>
      </c>
      <c r="G96" s="98">
        <v>88</v>
      </c>
      <c r="H96" s="88">
        <v>106167</v>
      </c>
      <c r="I96" s="88">
        <v>92400</v>
      </c>
      <c r="J96" s="88">
        <f t="shared" si="3"/>
        <v>8131200</v>
      </c>
      <c r="K96" s="133">
        <f t="shared" si="4"/>
        <v>-13767</v>
      </c>
      <c r="L96" s="134">
        <f t="shared" si="5"/>
        <v>0.87032693774901804</v>
      </c>
      <c r="O96" s="136"/>
    </row>
    <row r="97" spans="1:15" ht="60.75" customHeight="1">
      <c r="A97" s="302" t="s">
        <v>220</v>
      </c>
      <c r="B97" s="302"/>
      <c r="C97" s="303" t="s">
        <v>169</v>
      </c>
      <c r="D97" s="303"/>
      <c r="E97" s="303"/>
      <c r="F97" s="97" t="s">
        <v>113</v>
      </c>
      <c r="G97" s="98">
        <v>22</v>
      </c>
      <c r="H97" s="88">
        <v>215408</v>
      </c>
      <c r="I97" s="88">
        <v>187400</v>
      </c>
      <c r="J97" s="88">
        <f t="shared" si="3"/>
        <v>4122800</v>
      </c>
      <c r="K97" s="133">
        <f t="shared" si="4"/>
        <v>-28008</v>
      </c>
      <c r="L97" s="134">
        <f t="shared" si="5"/>
        <v>0.86997697392854489</v>
      </c>
      <c r="O97" s="136"/>
    </row>
    <row r="98" spans="1:15" ht="60.75" customHeight="1">
      <c r="A98" s="302" t="s">
        <v>172</v>
      </c>
      <c r="B98" s="302"/>
      <c r="C98" s="303" t="s">
        <v>173</v>
      </c>
      <c r="D98" s="303"/>
      <c r="E98" s="303"/>
      <c r="F98" s="97" t="s">
        <v>113</v>
      </c>
      <c r="G98" s="98">
        <v>14</v>
      </c>
      <c r="H98" s="88">
        <v>226550</v>
      </c>
      <c r="I98" s="88">
        <v>197100</v>
      </c>
      <c r="J98" s="88">
        <f t="shared" si="3"/>
        <v>2759400</v>
      </c>
      <c r="K98" s="133">
        <f t="shared" si="4"/>
        <v>-29450</v>
      </c>
      <c r="L98" s="134">
        <f t="shared" si="5"/>
        <v>0.87000662105495474</v>
      </c>
      <c r="O98" s="136"/>
    </row>
    <row r="99" spans="1:15" ht="60.75" customHeight="1">
      <c r="A99" s="302" t="s">
        <v>174</v>
      </c>
      <c r="B99" s="302"/>
      <c r="C99" s="303" t="s">
        <v>221</v>
      </c>
      <c r="D99" s="303"/>
      <c r="E99" s="303"/>
      <c r="F99" s="97" t="s">
        <v>113</v>
      </c>
      <c r="G99" s="98">
        <v>11</v>
      </c>
      <c r="H99" s="88">
        <v>203875</v>
      </c>
      <c r="I99" s="88">
        <v>177400</v>
      </c>
      <c r="J99" s="88">
        <f t="shared" si="3"/>
        <v>1951400</v>
      </c>
      <c r="K99" s="133">
        <f t="shared" si="4"/>
        <v>-26475</v>
      </c>
      <c r="L99" s="134">
        <f t="shared" si="5"/>
        <v>0.87014101778050279</v>
      </c>
      <c r="O99" s="136"/>
    </row>
    <row r="100" spans="1:15" ht="60.75" customHeight="1">
      <c r="A100" s="302" t="s">
        <v>176</v>
      </c>
      <c r="B100" s="302"/>
      <c r="C100" s="303" t="s">
        <v>222</v>
      </c>
      <c r="D100" s="303"/>
      <c r="E100" s="303"/>
      <c r="F100" s="97" t="s">
        <v>113</v>
      </c>
      <c r="G100" s="98">
        <v>23</v>
      </c>
      <c r="H100" s="88">
        <v>178332</v>
      </c>
      <c r="I100" s="88">
        <v>155100</v>
      </c>
      <c r="J100" s="88">
        <f t="shared" si="3"/>
        <v>3567300</v>
      </c>
      <c r="K100" s="133">
        <f t="shared" si="4"/>
        <v>-23232</v>
      </c>
      <c r="L100" s="134">
        <f t="shared" si="5"/>
        <v>0.86972612879348632</v>
      </c>
      <c r="O100" s="136"/>
    </row>
    <row r="101" spans="1:15" ht="60.75" customHeight="1">
      <c r="A101" s="302" t="s">
        <v>178</v>
      </c>
      <c r="B101" s="302"/>
      <c r="C101" s="303" t="s">
        <v>223</v>
      </c>
      <c r="D101" s="303"/>
      <c r="E101" s="303"/>
      <c r="F101" s="97" t="s">
        <v>95</v>
      </c>
      <c r="G101" s="98">
        <v>150</v>
      </c>
      <c r="H101" s="88">
        <v>16471</v>
      </c>
      <c r="I101" s="88">
        <v>14300</v>
      </c>
      <c r="J101" s="88">
        <f t="shared" si="3"/>
        <v>2145000</v>
      </c>
      <c r="K101" s="133">
        <f t="shared" si="4"/>
        <v>-2171</v>
      </c>
      <c r="L101" s="134">
        <f t="shared" si="5"/>
        <v>0.86819258089976326</v>
      </c>
      <c r="O101" s="136"/>
    </row>
    <row r="102" spans="1:15" ht="60.75" customHeight="1">
      <c r="A102" s="302" t="s">
        <v>181</v>
      </c>
      <c r="B102" s="302"/>
      <c r="C102" s="303" t="s">
        <v>224</v>
      </c>
      <c r="D102" s="303"/>
      <c r="E102" s="303"/>
      <c r="F102" s="97" t="s">
        <v>95</v>
      </c>
      <c r="G102" s="98">
        <v>50</v>
      </c>
      <c r="H102" s="88">
        <v>159622</v>
      </c>
      <c r="I102" s="88">
        <v>138900</v>
      </c>
      <c r="J102" s="88">
        <f t="shared" si="3"/>
        <v>6945000</v>
      </c>
      <c r="K102" s="133">
        <f t="shared" si="4"/>
        <v>-20722</v>
      </c>
      <c r="L102" s="134">
        <f t="shared" si="5"/>
        <v>0.87018080214506777</v>
      </c>
      <c r="O102" s="136"/>
    </row>
    <row r="103" spans="1:15" ht="60.75" customHeight="1">
      <c r="A103" s="302" t="s">
        <v>183</v>
      </c>
      <c r="B103" s="302"/>
      <c r="C103" s="303" t="s">
        <v>225</v>
      </c>
      <c r="D103" s="303"/>
      <c r="E103" s="303"/>
      <c r="F103" s="97" t="s">
        <v>95</v>
      </c>
      <c r="G103" s="98">
        <v>120</v>
      </c>
      <c r="H103" s="88">
        <v>326273</v>
      </c>
      <c r="I103" s="88">
        <v>283900</v>
      </c>
      <c r="J103" s="88">
        <f t="shared" si="3"/>
        <v>34068000</v>
      </c>
      <c r="K103" s="133">
        <f t="shared" si="4"/>
        <v>-42373</v>
      </c>
      <c r="L103" s="134">
        <f t="shared" si="5"/>
        <v>0.87013022836704235</v>
      </c>
      <c r="O103" s="136"/>
    </row>
    <row r="104" spans="1:15" ht="60.75" customHeight="1">
      <c r="A104" s="302" t="s">
        <v>185</v>
      </c>
      <c r="B104" s="302"/>
      <c r="C104" s="303" t="s">
        <v>226</v>
      </c>
      <c r="D104" s="303"/>
      <c r="E104" s="303"/>
      <c r="F104" s="97" t="s">
        <v>113</v>
      </c>
      <c r="G104" s="98">
        <v>1</v>
      </c>
      <c r="H104" s="88">
        <v>3554535</v>
      </c>
      <c r="I104" s="88">
        <v>3092400</v>
      </c>
      <c r="J104" s="88">
        <f t="shared" si="3"/>
        <v>3092400</v>
      </c>
      <c r="K104" s="133">
        <f t="shared" si="4"/>
        <v>-462135</v>
      </c>
      <c r="L104" s="134">
        <f t="shared" si="5"/>
        <v>0.86998721351737995</v>
      </c>
      <c r="O104" s="136"/>
    </row>
    <row r="105" spans="1:15" ht="60.75" customHeight="1">
      <c r="A105" s="302" t="s">
        <v>187</v>
      </c>
      <c r="B105" s="302"/>
      <c r="C105" s="303" t="s">
        <v>227</v>
      </c>
      <c r="D105" s="303"/>
      <c r="E105" s="303"/>
      <c r="F105" s="97" t="s">
        <v>95</v>
      </c>
      <c r="G105" s="98">
        <v>3.22</v>
      </c>
      <c r="H105" s="88">
        <v>1454712</v>
      </c>
      <c r="I105" s="88">
        <v>1265600</v>
      </c>
      <c r="J105" s="88">
        <f t="shared" si="3"/>
        <v>4075232</v>
      </c>
      <c r="K105" s="133">
        <f t="shared" si="4"/>
        <v>-189112</v>
      </c>
      <c r="L105" s="134">
        <f t="shared" si="5"/>
        <v>0.87000038495592258</v>
      </c>
      <c r="O105" s="136"/>
    </row>
    <row r="106" spans="1:15" ht="60.75" customHeight="1">
      <c r="A106" s="302" t="s">
        <v>189</v>
      </c>
      <c r="B106" s="302"/>
      <c r="C106" s="303" t="s">
        <v>228</v>
      </c>
      <c r="D106" s="303"/>
      <c r="E106" s="303"/>
      <c r="F106" s="97" t="s">
        <v>113</v>
      </c>
      <c r="G106" s="98">
        <v>1</v>
      </c>
      <c r="H106" s="88">
        <v>2638957</v>
      </c>
      <c r="I106" s="88">
        <v>2295900</v>
      </c>
      <c r="J106" s="88">
        <f t="shared" si="3"/>
        <v>2295900</v>
      </c>
      <c r="K106" s="133">
        <f t="shared" si="4"/>
        <v>-343057</v>
      </c>
      <c r="L106" s="134">
        <f t="shared" si="5"/>
        <v>0.87000280792752593</v>
      </c>
      <c r="O106" s="136"/>
    </row>
    <row r="107" spans="1:15" ht="60.75" customHeight="1">
      <c r="A107" s="302" t="s">
        <v>195</v>
      </c>
      <c r="B107" s="302"/>
      <c r="C107" s="303" t="s">
        <v>229</v>
      </c>
      <c r="D107" s="303"/>
      <c r="E107" s="303"/>
      <c r="F107" s="97" t="s">
        <v>98</v>
      </c>
      <c r="G107" s="98">
        <v>279.83999999999997</v>
      </c>
      <c r="H107" s="88">
        <v>879575</v>
      </c>
      <c r="I107" s="88">
        <v>765200</v>
      </c>
      <c r="J107" s="88">
        <f t="shared" si="3"/>
        <v>214133568</v>
      </c>
      <c r="K107" s="133">
        <f t="shared" si="4"/>
        <v>-114375</v>
      </c>
      <c r="L107" s="134">
        <f t="shared" si="5"/>
        <v>0.86996560839041581</v>
      </c>
      <c r="O107" s="136"/>
    </row>
    <row r="108" spans="1:15" ht="60.75" customHeight="1">
      <c r="A108" s="302" t="s">
        <v>230</v>
      </c>
      <c r="B108" s="302"/>
      <c r="C108" s="303" t="s">
        <v>231</v>
      </c>
      <c r="D108" s="303"/>
      <c r="E108" s="303"/>
      <c r="F108" s="97" t="s">
        <v>98</v>
      </c>
      <c r="G108" s="98">
        <v>40</v>
      </c>
      <c r="H108" s="88">
        <v>882113</v>
      </c>
      <c r="I108" s="88">
        <v>767400</v>
      </c>
      <c r="J108" s="88">
        <f t="shared" si="3"/>
        <v>30696000</v>
      </c>
      <c r="K108" s="133">
        <f t="shared" si="4"/>
        <v>-114713</v>
      </c>
      <c r="L108" s="134">
        <f t="shared" si="5"/>
        <v>0.86995657018998696</v>
      </c>
      <c r="O108" s="136"/>
    </row>
    <row r="109" spans="1:15" ht="60.75" customHeight="1">
      <c r="A109" s="302" t="s">
        <v>232</v>
      </c>
      <c r="B109" s="302"/>
      <c r="C109" s="303" t="s">
        <v>233</v>
      </c>
      <c r="D109" s="303"/>
      <c r="E109" s="303"/>
      <c r="F109" s="97" t="s">
        <v>98</v>
      </c>
      <c r="G109" s="98">
        <v>8</v>
      </c>
      <c r="H109" s="88">
        <v>1651657</v>
      </c>
      <c r="I109" s="88">
        <v>1436900</v>
      </c>
      <c r="J109" s="88">
        <f t="shared" si="3"/>
        <v>11495200</v>
      </c>
      <c r="K109" s="133">
        <f t="shared" si="4"/>
        <v>-214757</v>
      </c>
      <c r="L109" s="134">
        <f t="shared" si="5"/>
        <v>0.86997481922699449</v>
      </c>
      <c r="O109" s="136"/>
    </row>
    <row r="110" spans="1:15" ht="60.75" customHeight="1">
      <c r="A110" s="302" t="s">
        <v>234</v>
      </c>
      <c r="B110" s="302"/>
      <c r="C110" s="303" t="s">
        <v>235</v>
      </c>
      <c r="D110" s="303"/>
      <c r="E110" s="303"/>
      <c r="F110" s="97" t="s">
        <v>95</v>
      </c>
      <c r="G110" s="98">
        <v>60</v>
      </c>
      <c r="H110" s="88">
        <v>84894</v>
      </c>
      <c r="I110" s="88">
        <v>73900</v>
      </c>
      <c r="J110" s="88">
        <f t="shared" si="3"/>
        <v>4434000</v>
      </c>
      <c r="K110" s="133">
        <f t="shared" si="4"/>
        <v>-10994</v>
      </c>
      <c r="L110" s="134">
        <f t="shared" si="5"/>
        <v>0.87049732607722574</v>
      </c>
      <c r="O110" s="136"/>
    </row>
    <row r="111" spans="1:15" ht="60.75" customHeight="1">
      <c r="A111" s="302" t="s">
        <v>236</v>
      </c>
      <c r="B111" s="302"/>
      <c r="C111" s="303" t="s">
        <v>237</v>
      </c>
      <c r="D111" s="303"/>
      <c r="E111" s="303"/>
      <c r="F111" s="97" t="s">
        <v>113</v>
      </c>
      <c r="G111" s="98">
        <v>46</v>
      </c>
      <c r="H111" s="88">
        <v>142900</v>
      </c>
      <c r="I111" s="88">
        <v>124300</v>
      </c>
      <c r="J111" s="88">
        <f t="shared" si="3"/>
        <v>5717800</v>
      </c>
      <c r="K111" s="133">
        <f t="shared" si="4"/>
        <v>-18600</v>
      </c>
      <c r="L111" s="134">
        <f t="shared" si="5"/>
        <v>0.86983904828551439</v>
      </c>
      <c r="O111" s="136"/>
    </row>
    <row r="112" spans="1:15" ht="60.75" customHeight="1">
      <c r="A112" s="302" t="s">
        <v>197</v>
      </c>
      <c r="B112" s="302"/>
      <c r="C112" s="303" t="s">
        <v>238</v>
      </c>
      <c r="D112" s="303"/>
      <c r="E112" s="303"/>
      <c r="F112" s="97" t="s">
        <v>113</v>
      </c>
      <c r="G112" s="98">
        <v>1</v>
      </c>
      <c r="H112" s="88">
        <v>1176585</v>
      </c>
      <c r="I112" s="88">
        <v>1023600</v>
      </c>
      <c r="J112" s="88">
        <f t="shared" si="3"/>
        <v>1023600</v>
      </c>
      <c r="K112" s="133">
        <f t="shared" si="4"/>
        <v>-152985</v>
      </c>
      <c r="L112" s="134">
        <f t="shared" si="5"/>
        <v>0.8699753948928467</v>
      </c>
      <c r="O112" s="136"/>
    </row>
    <row r="113" spans="1:15" ht="60.75" customHeight="1">
      <c r="A113" s="302" t="s">
        <v>199</v>
      </c>
      <c r="B113" s="302"/>
      <c r="C113" s="303" t="s">
        <v>239</v>
      </c>
      <c r="D113" s="303"/>
      <c r="E113" s="303"/>
      <c r="F113" s="97" t="s">
        <v>95</v>
      </c>
      <c r="G113" s="98">
        <v>30</v>
      </c>
      <c r="H113" s="88">
        <v>363800</v>
      </c>
      <c r="I113" s="88">
        <v>316500</v>
      </c>
      <c r="J113" s="88">
        <f t="shared" si="3"/>
        <v>9495000</v>
      </c>
      <c r="K113" s="133">
        <f t="shared" si="4"/>
        <v>-47300</v>
      </c>
      <c r="L113" s="134">
        <f t="shared" si="5"/>
        <v>0.86998350742166031</v>
      </c>
      <c r="O113" s="136"/>
    </row>
    <row r="114" spans="1:15" ht="60.75" customHeight="1">
      <c r="A114" s="302" t="s">
        <v>240</v>
      </c>
      <c r="B114" s="302"/>
      <c r="C114" s="303" t="s">
        <v>241</v>
      </c>
      <c r="D114" s="303"/>
      <c r="E114" s="303"/>
      <c r="F114" s="94" t="s">
        <v>98</v>
      </c>
      <c r="G114" s="95">
        <v>509.69</v>
      </c>
      <c r="H114" s="88">
        <v>33664</v>
      </c>
      <c r="I114" s="88">
        <v>29300</v>
      </c>
      <c r="J114" s="88">
        <f t="shared" si="3"/>
        <v>14933917</v>
      </c>
      <c r="K114" s="133">
        <f t="shared" si="4"/>
        <v>-4364</v>
      </c>
      <c r="L114" s="134">
        <f t="shared" si="5"/>
        <v>0.87036596958174905</v>
      </c>
      <c r="O114" s="136"/>
    </row>
    <row r="115" spans="1:15" ht="60.75" customHeight="1">
      <c r="A115" s="302" t="s">
        <v>242</v>
      </c>
      <c r="B115" s="302"/>
      <c r="C115" s="303" t="s">
        <v>243</v>
      </c>
      <c r="D115" s="303"/>
      <c r="E115" s="303"/>
      <c r="F115" s="94" t="s">
        <v>98</v>
      </c>
      <c r="G115" s="95">
        <v>100</v>
      </c>
      <c r="H115" s="88">
        <v>40123</v>
      </c>
      <c r="I115" s="88">
        <v>34900</v>
      </c>
      <c r="J115" s="88">
        <f t="shared" si="3"/>
        <v>3490000</v>
      </c>
      <c r="K115" s="133">
        <f t="shared" si="4"/>
        <v>-5223</v>
      </c>
      <c r="L115" s="134">
        <f t="shared" si="5"/>
        <v>0.86982528724173169</v>
      </c>
      <c r="O115" s="136"/>
    </row>
    <row r="116" spans="1:15" ht="60.75" customHeight="1">
      <c r="A116" s="302" t="s">
        <v>244</v>
      </c>
      <c r="B116" s="302"/>
      <c r="C116" s="303" t="s">
        <v>245</v>
      </c>
      <c r="D116" s="303"/>
      <c r="E116" s="303"/>
      <c r="F116" s="94" t="s">
        <v>98</v>
      </c>
      <c r="G116" s="95">
        <v>40</v>
      </c>
      <c r="H116" s="88">
        <v>38208</v>
      </c>
      <c r="I116" s="88">
        <v>33200</v>
      </c>
      <c r="J116" s="88">
        <f t="shared" si="3"/>
        <v>1328000</v>
      </c>
      <c r="K116" s="133">
        <f t="shared" si="4"/>
        <v>-5008</v>
      </c>
      <c r="L116" s="134">
        <f t="shared" si="5"/>
        <v>0.86892797319933002</v>
      </c>
      <c r="O116" s="136"/>
    </row>
    <row r="117" spans="1:15" ht="60.75" customHeight="1">
      <c r="A117" s="302" t="s">
        <v>246</v>
      </c>
      <c r="B117" s="302"/>
      <c r="C117" s="303" t="s">
        <v>247</v>
      </c>
      <c r="D117" s="303"/>
      <c r="E117" s="303"/>
      <c r="F117" s="94" t="s">
        <v>98</v>
      </c>
      <c r="G117" s="95">
        <v>25</v>
      </c>
      <c r="H117" s="88">
        <v>38208</v>
      </c>
      <c r="I117" s="88">
        <v>33200</v>
      </c>
      <c r="J117" s="88">
        <f t="shared" si="3"/>
        <v>830000</v>
      </c>
      <c r="K117" s="133">
        <f t="shared" si="4"/>
        <v>-5008</v>
      </c>
      <c r="L117" s="134">
        <f t="shared" si="5"/>
        <v>0.86892797319933002</v>
      </c>
      <c r="O117" s="136"/>
    </row>
    <row r="118" spans="1:15" ht="60.75" customHeight="1">
      <c r="A118" s="304" t="s">
        <v>248</v>
      </c>
      <c r="B118" s="305"/>
      <c r="C118" s="305"/>
      <c r="D118" s="305"/>
      <c r="E118" s="305"/>
      <c r="F118" s="305"/>
      <c r="G118" s="305"/>
      <c r="H118" s="305"/>
      <c r="I118" s="306"/>
      <c r="J118" s="101">
        <f>SUM(J79:J117)</f>
        <v>828602539</v>
      </c>
      <c r="K118" s="133">
        <f t="shared" si="4"/>
        <v>0</v>
      </c>
      <c r="L118" s="134" t="e">
        <f t="shared" si="5"/>
        <v>#DIV/0!</v>
      </c>
      <c r="O118" s="136"/>
    </row>
    <row r="119" spans="1:15" ht="60.75" customHeight="1">
      <c r="A119" s="302" t="s">
        <v>93</v>
      </c>
      <c r="B119" s="302"/>
      <c r="C119" s="303" t="s">
        <v>249</v>
      </c>
      <c r="D119" s="303"/>
      <c r="E119" s="303"/>
      <c r="F119" s="94" t="s">
        <v>98</v>
      </c>
      <c r="G119" s="95">
        <v>860</v>
      </c>
      <c r="H119" s="88">
        <v>38338</v>
      </c>
      <c r="I119" s="88">
        <v>33400</v>
      </c>
      <c r="J119" s="88">
        <f t="shared" si="3"/>
        <v>28724000</v>
      </c>
      <c r="K119" s="133">
        <f t="shared" si="4"/>
        <v>-4938</v>
      </c>
      <c r="L119" s="134">
        <f t="shared" si="5"/>
        <v>0.87119828890395956</v>
      </c>
      <c r="O119" s="136"/>
    </row>
    <row r="120" spans="1:15" ht="60.75" customHeight="1">
      <c r="A120" s="302" t="s">
        <v>96</v>
      </c>
      <c r="B120" s="302"/>
      <c r="C120" s="303" t="s">
        <v>150</v>
      </c>
      <c r="D120" s="303"/>
      <c r="E120" s="303"/>
      <c r="F120" s="94" t="s">
        <v>113</v>
      </c>
      <c r="G120" s="95">
        <v>180</v>
      </c>
      <c r="H120" s="88">
        <v>96339</v>
      </c>
      <c r="I120" s="88">
        <v>83800</v>
      </c>
      <c r="J120" s="88">
        <f t="shared" si="3"/>
        <v>15084000</v>
      </c>
      <c r="K120" s="133">
        <f t="shared" si="4"/>
        <v>-12539</v>
      </c>
      <c r="L120" s="134">
        <f t="shared" si="5"/>
        <v>0.86984502641713113</v>
      </c>
      <c r="O120" s="136"/>
    </row>
    <row r="121" spans="1:15" ht="60.75" customHeight="1">
      <c r="A121" s="302" t="s">
        <v>145</v>
      </c>
      <c r="B121" s="302"/>
      <c r="C121" s="303" t="s">
        <v>152</v>
      </c>
      <c r="D121" s="303"/>
      <c r="E121" s="303"/>
      <c r="F121" s="94" t="s">
        <v>98</v>
      </c>
      <c r="G121" s="102">
        <v>4</v>
      </c>
      <c r="H121" s="88">
        <v>95199</v>
      </c>
      <c r="I121" s="88">
        <v>82800</v>
      </c>
      <c r="J121" s="88">
        <f t="shared" si="3"/>
        <v>331200</v>
      </c>
      <c r="K121" s="133">
        <f t="shared" si="4"/>
        <v>-12399</v>
      </c>
      <c r="L121" s="134">
        <f t="shared" si="5"/>
        <v>0.86975703526297543</v>
      </c>
      <c r="O121" s="136"/>
    </row>
    <row r="122" spans="1:15" ht="60.75" customHeight="1">
      <c r="A122" s="302" t="s">
        <v>99</v>
      </c>
      <c r="B122" s="302"/>
      <c r="C122" s="303" t="s">
        <v>250</v>
      </c>
      <c r="D122" s="303"/>
      <c r="E122" s="303"/>
      <c r="F122" s="94" t="s">
        <v>98</v>
      </c>
      <c r="G122" s="95">
        <v>860</v>
      </c>
      <c r="H122" s="88">
        <v>130620</v>
      </c>
      <c r="I122" s="88">
        <v>113600</v>
      </c>
      <c r="J122" s="88">
        <f t="shared" si="3"/>
        <v>97696000</v>
      </c>
      <c r="K122" s="133">
        <f t="shared" si="4"/>
        <v>-17020</v>
      </c>
      <c r="L122" s="134">
        <f t="shared" si="5"/>
        <v>0.86969836165977643</v>
      </c>
      <c r="O122" s="136"/>
    </row>
    <row r="123" spans="1:15" ht="60.75" customHeight="1">
      <c r="A123" s="302" t="s">
        <v>116</v>
      </c>
      <c r="B123" s="302"/>
      <c r="C123" s="303" t="s">
        <v>158</v>
      </c>
      <c r="D123" s="303"/>
      <c r="E123" s="303"/>
      <c r="F123" s="94" t="s">
        <v>98</v>
      </c>
      <c r="G123" s="95">
        <v>860</v>
      </c>
      <c r="H123" s="88">
        <v>194913</v>
      </c>
      <c r="I123" s="88">
        <v>169600</v>
      </c>
      <c r="J123" s="88">
        <f t="shared" si="3"/>
        <v>145856000</v>
      </c>
      <c r="K123" s="133">
        <f t="shared" si="4"/>
        <v>-25313</v>
      </c>
      <c r="L123" s="134">
        <f t="shared" si="5"/>
        <v>0.87013180239388854</v>
      </c>
      <c r="O123" s="136"/>
    </row>
    <row r="124" spans="1:15" ht="60.75" customHeight="1">
      <c r="A124" s="302" t="s">
        <v>124</v>
      </c>
      <c r="B124" s="302"/>
      <c r="C124" s="303" t="s">
        <v>167</v>
      </c>
      <c r="D124" s="303"/>
      <c r="E124" s="303"/>
      <c r="F124" s="94" t="s">
        <v>113</v>
      </c>
      <c r="G124" s="95">
        <v>20</v>
      </c>
      <c r="H124" s="88">
        <v>319533</v>
      </c>
      <c r="I124" s="88">
        <v>278000</v>
      </c>
      <c r="J124" s="88">
        <f t="shared" si="3"/>
        <v>5560000</v>
      </c>
      <c r="K124" s="133">
        <f t="shared" si="4"/>
        <v>-41533</v>
      </c>
      <c r="L124" s="134">
        <f t="shared" si="5"/>
        <v>0.87001968497776438</v>
      </c>
      <c r="O124" s="136"/>
    </row>
    <row r="125" spans="1:15" ht="60.75" customHeight="1">
      <c r="A125" s="302" t="s">
        <v>126</v>
      </c>
      <c r="B125" s="302"/>
      <c r="C125" s="303" t="s">
        <v>169</v>
      </c>
      <c r="D125" s="303"/>
      <c r="E125" s="303"/>
      <c r="F125" s="94" t="s">
        <v>113</v>
      </c>
      <c r="G125" s="95">
        <v>20</v>
      </c>
      <c r="H125" s="88">
        <v>233891</v>
      </c>
      <c r="I125" s="88">
        <v>203500</v>
      </c>
      <c r="J125" s="88">
        <f t="shared" si="3"/>
        <v>4070000</v>
      </c>
      <c r="K125" s="133">
        <f t="shared" si="4"/>
        <v>-30391</v>
      </c>
      <c r="L125" s="134">
        <f t="shared" si="5"/>
        <v>0.87006340560346485</v>
      </c>
      <c r="O125" s="136"/>
    </row>
    <row r="126" spans="1:15" ht="60.75" customHeight="1">
      <c r="A126" s="302" t="s">
        <v>128</v>
      </c>
      <c r="B126" s="302"/>
      <c r="C126" s="303" t="s">
        <v>251</v>
      </c>
      <c r="D126" s="303"/>
      <c r="E126" s="303"/>
      <c r="F126" s="94" t="s">
        <v>113</v>
      </c>
      <c r="G126" s="95">
        <v>113</v>
      </c>
      <c r="H126" s="88">
        <v>98830</v>
      </c>
      <c r="I126" s="88">
        <v>86000</v>
      </c>
      <c r="J126" s="88">
        <f t="shared" si="3"/>
        <v>9718000</v>
      </c>
      <c r="K126" s="133">
        <f t="shared" si="4"/>
        <v>-12830</v>
      </c>
      <c r="L126" s="134">
        <f t="shared" si="5"/>
        <v>0.87018111909339269</v>
      </c>
      <c r="O126" s="136"/>
    </row>
    <row r="127" spans="1:15" ht="60.75" customHeight="1">
      <c r="A127" s="302" t="s">
        <v>130</v>
      </c>
      <c r="B127" s="302"/>
      <c r="C127" s="303" t="s">
        <v>173</v>
      </c>
      <c r="D127" s="303"/>
      <c r="E127" s="303"/>
      <c r="F127" s="94" t="s">
        <v>113</v>
      </c>
      <c r="G127" s="95">
        <v>8</v>
      </c>
      <c r="H127" s="88">
        <v>215750</v>
      </c>
      <c r="I127" s="88">
        <v>187700</v>
      </c>
      <c r="J127" s="88">
        <f t="shared" si="3"/>
        <v>1501600</v>
      </c>
      <c r="K127" s="133">
        <f t="shared" si="4"/>
        <v>-28050</v>
      </c>
      <c r="L127" s="134">
        <f t="shared" si="5"/>
        <v>0.86998841251448433</v>
      </c>
      <c r="O127" s="136"/>
    </row>
    <row r="128" spans="1:15" ht="60.75" customHeight="1">
      <c r="A128" s="302" t="s">
        <v>132</v>
      </c>
      <c r="B128" s="302"/>
      <c r="C128" s="303" t="s">
        <v>175</v>
      </c>
      <c r="D128" s="303"/>
      <c r="E128" s="303"/>
      <c r="F128" s="94" t="s">
        <v>113</v>
      </c>
      <c r="G128" s="95">
        <v>4</v>
      </c>
      <c r="H128" s="88">
        <v>200830</v>
      </c>
      <c r="I128" s="88">
        <v>174700</v>
      </c>
      <c r="J128" s="88">
        <f t="shared" si="3"/>
        <v>698800</v>
      </c>
      <c r="K128" s="133">
        <f t="shared" si="4"/>
        <v>-26130</v>
      </c>
      <c r="L128" s="134">
        <f t="shared" si="5"/>
        <v>0.86988995667977886</v>
      </c>
      <c r="O128" s="136"/>
    </row>
    <row r="129" spans="1:15" ht="60.75" customHeight="1">
      <c r="A129" s="302" t="s">
        <v>136</v>
      </c>
      <c r="B129" s="302"/>
      <c r="C129" s="303" t="s">
        <v>196</v>
      </c>
      <c r="D129" s="303"/>
      <c r="E129" s="303"/>
      <c r="F129" s="94" t="s">
        <v>113</v>
      </c>
      <c r="G129" s="95">
        <v>1</v>
      </c>
      <c r="H129" s="88">
        <v>1025000</v>
      </c>
      <c r="I129" s="88">
        <v>891800</v>
      </c>
      <c r="J129" s="88">
        <f t="shared" si="3"/>
        <v>891800</v>
      </c>
      <c r="K129" s="133">
        <f t="shared" si="4"/>
        <v>-133200</v>
      </c>
      <c r="L129" s="134">
        <f t="shared" si="5"/>
        <v>0.87004878048780487</v>
      </c>
      <c r="O129" s="136"/>
    </row>
    <row r="130" spans="1:15" ht="60.75" customHeight="1">
      <c r="A130" s="302" t="s">
        <v>140</v>
      </c>
      <c r="B130" s="302"/>
      <c r="C130" s="303" t="s">
        <v>198</v>
      </c>
      <c r="D130" s="303"/>
      <c r="E130" s="303"/>
      <c r="F130" s="94" t="s">
        <v>98</v>
      </c>
      <c r="G130" s="95">
        <v>880</v>
      </c>
      <c r="H130" s="88">
        <v>35833</v>
      </c>
      <c r="I130" s="88">
        <v>31200</v>
      </c>
      <c r="J130" s="88">
        <f t="shared" si="3"/>
        <v>27456000</v>
      </c>
      <c r="K130" s="133">
        <f t="shared" si="4"/>
        <v>-4633</v>
      </c>
      <c r="L130" s="134">
        <f t="shared" si="5"/>
        <v>0.87070577400720006</v>
      </c>
      <c r="O130" s="136"/>
    </row>
    <row r="131" spans="1:15" ht="60.75" customHeight="1">
      <c r="A131" s="296" t="s">
        <v>252</v>
      </c>
      <c r="B131" s="297"/>
      <c r="C131" s="297"/>
      <c r="D131" s="297"/>
      <c r="E131" s="297"/>
      <c r="F131" s="297"/>
      <c r="G131" s="297"/>
      <c r="H131" s="297"/>
      <c r="I131" s="298"/>
      <c r="J131" s="104">
        <f>SUM(J119:J130)</f>
        <v>337587400</v>
      </c>
      <c r="K131" s="133">
        <f t="shared" si="4"/>
        <v>0</v>
      </c>
      <c r="L131" s="134" t="e">
        <f t="shared" si="5"/>
        <v>#DIV/0!</v>
      </c>
    </row>
    <row r="132" spans="1:15" ht="60.75" customHeight="1">
      <c r="A132" s="299" t="s">
        <v>253</v>
      </c>
      <c r="B132" s="300"/>
      <c r="C132" s="300"/>
      <c r="D132" s="300"/>
      <c r="E132" s="300"/>
      <c r="F132" s="300"/>
      <c r="G132" s="300"/>
      <c r="H132" s="301"/>
      <c r="I132" s="105">
        <f>+ROUND(J132*10%,0)</f>
        <v>338820426</v>
      </c>
      <c r="J132" s="104">
        <f>+J118+J78+J73+J39+J131</f>
        <v>3388204259</v>
      </c>
      <c r="K132" s="133"/>
      <c r="L132" s="134"/>
    </row>
    <row r="133" spans="1:15" ht="41.25" customHeight="1">
      <c r="A133" s="286" t="s">
        <v>254</v>
      </c>
      <c r="B133" s="287"/>
      <c r="C133" s="287"/>
      <c r="D133" s="288"/>
      <c r="E133" s="106">
        <v>0.12</v>
      </c>
      <c r="F133" s="289"/>
      <c r="G133" s="290"/>
      <c r="H133" s="291"/>
      <c r="I133" s="107">
        <v>0.12</v>
      </c>
      <c r="J133" s="108">
        <f>J132*I133</f>
        <v>406584511.07999998</v>
      </c>
      <c r="K133" s="135">
        <f>+I133-E133</f>
        <v>0</v>
      </c>
      <c r="L133" s="134">
        <f>+I133/E133</f>
        <v>1</v>
      </c>
    </row>
    <row r="134" spans="1:15" ht="35.25" customHeight="1">
      <c r="A134" s="286" t="s">
        <v>255</v>
      </c>
      <c r="B134" s="287"/>
      <c r="C134" s="287"/>
      <c r="D134" s="288"/>
      <c r="E134" s="106">
        <v>0.03</v>
      </c>
      <c r="F134" s="289"/>
      <c r="G134" s="290"/>
      <c r="H134" s="291"/>
      <c r="I134" s="107">
        <v>0.03</v>
      </c>
      <c r="J134" s="108">
        <f>J132*I134</f>
        <v>101646127.77</v>
      </c>
      <c r="K134" s="135">
        <f t="shared" ref="K134:K135" si="6">+I134-E134</f>
        <v>0</v>
      </c>
      <c r="L134" s="134">
        <f t="shared" ref="L134:L135" si="7">+I134/E134</f>
        <v>1</v>
      </c>
    </row>
    <row r="135" spans="1:15" ht="31.5" customHeight="1">
      <c r="A135" s="286" t="s">
        <v>256</v>
      </c>
      <c r="B135" s="287"/>
      <c r="C135" s="287"/>
      <c r="D135" s="288"/>
      <c r="E135" s="106">
        <v>7.0000000000000007E-2</v>
      </c>
      <c r="F135" s="289"/>
      <c r="G135" s="290"/>
      <c r="H135" s="291"/>
      <c r="I135" s="107">
        <v>7.0000000000000007E-2</v>
      </c>
      <c r="J135" s="108">
        <f>J132*I135</f>
        <v>237174298.13000003</v>
      </c>
      <c r="K135" s="135">
        <f t="shared" si="6"/>
        <v>0</v>
      </c>
      <c r="L135" s="134">
        <f t="shared" si="7"/>
        <v>1</v>
      </c>
    </row>
    <row r="136" spans="1:15" ht="33.75" customHeight="1">
      <c r="A136" s="286" t="s">
        <v>257</v>
      </c>
      <c r="B136" s="287"/>
      <c r="C136" s="287"/>
      <c r="D136" s="288"/>
      <c r="E136" s="289">
        <v>0.19</v>
      </c>
      <c r="F136" s="290"/>
      <c r="G136" s="290"/>
      <c r="H136" s="291"/>
      <c r="I136" s="107">
        <v>0.19</v>
      </c>
      <c r="J136" s="108">
        <f>J135*I136</f>
        <v>45063116.644700006</v>
      </c>
      <c r="K136" s="135"/>
      <c r="L136" s="134"/>
    </row>
    <row r="137" spans="1:15" ht="42" customHeight="1">
      <c r="A137" s="292" t="s">
        <v>258</v>
      </c>
      <c r="B137" s="293"/>
      <c r="C137" s="293"/>
      <c r="D137" s="293"/>
      <c r="E137" s="293"/>
      <c r="F137" s="293"/>
      <c r="G137" s="293"/>
      <c r="H137" s="294"/>
      <c r="I137" s="109">
        <f>SUM(I132:I136)</f>
        <v>338820426.40999997</v>
      </c>
      <c r="J137" s="109">
        <f>SUM(J132:J136)</f>
        <v>4178672312.6247001</v>
      </c>
      <c r="K137" s="133"/>
      <c r="L137" s="134"/>
    </row>
    <row r="138" spans="1:15" ht="60.75" customHeight="1">
      <c r="A138" s="295" t="s">
        <v>259</v>
      </c>
      <c r="B138" s="295"/>
      <c r="C138" s="295"/>
      <c r="D138" s="295"/>
      <c r="E138" s="295"/>
      <c r="F138" s="295"/>
      <c r="G138" s="295"/>
      <c r="H138" s="295"/>
      <c r="I138" s="295"/>
      <c r="J138" s="111">
        <f>+I137+J137</f>
        <v>4517492739.0347004</v>
      </c>
      <c r="K138" s="137">
        <f>+J138-'CONSOLIDADO FINANCIERO'!L7</f>
        <v>-765439226.96529961</v>
      </c>
      <c r="L138" s="134">
        <f>+J138/'CONSOLIDADO FINANCIERO'!L7</f>
        <v>0.85511090585842697</v>
      </c>
      <c r="M138" s="151">
        <f>+L138-1</f>
        <v>-0.14488909414157303</v>
      </c>
    </row>
    <row r="139" spans="1:15" ht="15.75" customHeight="1" thickBot="1"/>
    <row r="140" spans="1:15" ht="215.25" customHeight="1" thickBot="1">
      <c r="A140" s="282" t="s">
        <v>260</v>
      </c>
      <c r="B140" s="283"/>
      <c r="C140" s="283"/>
      <c r="D140" s="283"/>
      <c r="E140" s="283"/>
      <c r="F140" s="283"/>
      <c r="G140" s="283"/>
      <c r="H140" s="283"/>
      <c r="I140" s="283"/>
      <c r="J140" s="284"/>
      <c r="K140" s="138"/>
      <c r="L140" s="138"/>
      <c r="M140" s="138"/>
    </row>
    <row r="141" spans="1:15" ht="2.25" customHeight="1">
      <c r="A141" s="139"/>
      <c r="B141" s="112"/>
      <c r="C141" s="112"/>
      <c r="D141" s="112"/>
      <c r="E141" s="112"/>
      <c r="F141" s="113"/>
      <c r="G141" s="113"/>
      <c r="H141" s="113"/>
      <c r="I141" s="113"/>
      <c r="J141" s="140"/>
      <c r="K141" s="113"/>
      <c r="L141" s="113"/>
      <c r="M141" s="113"/>
    </row>
    <row r="142" spans="1:15" ht="78" customHeight="1">
      <c r="A142" s="358" t="s">
        <v>270</v>
      </c>
      <c r="B142" s="359"/>
      <c r="C142" s="359"/>
      <c r="D142" s="359"/>
      <c r="E142" s="359"/>
      <c r="F142" s="112"/>
      <c r="G142" s="112"/>
      <c r="H142" s="112"/>
      <c r="I142" s="112"/>
      <c r="J142" s="123"/>
      <c r="K142" s="112"/>
      <c r="L142" s="112"/>
      <c r="M142" s="112"/>
    </row>
    <row r="143" spans="1:15" ht="16.5">
      <c r="A143" s="141"/>
      <c r="B143" s="285"/>
      <c r="C143" s="285"/>
      <c r="D143" s="121"/>
      <c r="E143" s="122"/>
      <c r="F143" s="112"/>
      <c r="G143" s="112"/>
      <c r="H143" s="112"/>
      <c r="I143" s="112"/>
      <c r="J143" s="123"/>
      <c r="K143" s="112"/>
      <c r="L143" s="112"/>
      <c r="M143" s="112"/>
    </row>
    <row r="144" spans="1:15" ht="16.5">
      <c r="A144" s="142"/>
      <c r="B144" s="143"/>
      <c r="C144" s="144"/>
      <c r="D144" s="144"/>
      <c r="E144" s="145"/>
      <c r="F144" s="146"/>
      <c r="G144" s="146"/>
      <c r="H144" s="146"/>
      <c r="I144" s="146"/>
      <c r="J144" s="147"/>
      <c r="K144" s="146"/>
      <c r="L144" s="146"/>
      <c r="M144" s="146"/>
    </row>
    <row r="145" spans="1:13" ht="16.5">
      <c r="A145" s="354" t="s">
        <v>271</v>
      </c>
      <c r="B145" s="355"/>
      <c r="C145" s="355"/>
      <c r="D145" s="355"/>
      <c r="E145" s="131"/>
      <c r="F145" s="131"/>
      <c r="G145" s="131"/>
      <c r="J145" s="148"/>
    </row>
    <row r="146" spans="1:13" ht="16.5">
      <c r="A146" s="354" t="s">
        <v>272</v>
      </c>
      <c r="B146" s="355"/>
      <c r="C146" s="355"/>
      <c r="D146" s="355"/>
      <c r="E146" s="355"/>
      <c r="J146" s="148"/>
    </row>
    <row r="147" spans="1:13" ht="16.5">
      <c r="A147" s="354" t="s">
        <v>273</v>
      </c>
      <c r="B147" s="355"/>
      <c r="C147" s="355"/>
      <c r="D147" s="355"/>
      <c r="E147" s="355"/>
      <c r="J147" s="148"/>
    </row>
    <row r="148" spans="1:13" ht="16.5">
      <c r="A148" s="354" t="s">
        <v>274</v>
      </c>
      <c r="B148" s="355"/>
      <c r="C148" s="355"/>
      <c r="D148" s="355"/>
      <c r="E148" s="355"/>
      <c r="J148" s="148"/>
    </row>
    <row r="149" spans="1:13" ht="16.5">
      <c r="A149" s="354" t="s">
        <v>275</v>
      </c>
      <c r="B149" s="355"/>
      <c r="C149" s="355"/>
      <c r="D149" s="355"/>
      <c r="E149" s="355"/>
      <c r="J149" s="148"/>
    </row>
    <row r="150" spans="1:13" ht="16.5">
      <c r="A150" s="354" t="s">
        <v>276</v>
      </c>
      <c r="B150" s="355"/>
      <c r="C150" s="355"/>
      <c r="D150" s="355"/>
      <c r="E150" s="355"/>
      <c r="J150" s="148"/>
    </row>
    <row r="151" spans="1:13" ht="16.5">
      <c r="A151" s="354" t="s">
        <v>277</v>
      </c>
      <c r="B151" s="355"/>
      <c r="C151" s="355"/>
      <c r="D151" s="355"/>
      <c r="E151" s="355"/>
      <c r="J151" s="148"/>
    </row>
    <row r="152" spans="1:13">
      <c r="A152" s="356" t="s">
        <v>278</v>
      </c>
      <c r="B152" s="357"/>
      <c r="C152" s="357"/>
      <c r="D152" s="357"/>
      <c r="E152" s="357"/>
      <c r="J152" s="148"/>
    </row>
    <row r="153" spans="1:13" ht="17.25" thickBot="1">
      <c r="A153" s="149"/>
      <c r="B153" s="125"/>
      <c r="C153" s="126"/>
      <c r="D153" s="126"/>
      <c r="E153" s="127"/>
      <c r="F153" s="128"/>
      <c r="G153" s="128"/>
      <c r="H153" s="128"/>
      <c r="I153" s="128"/>
      <c r="J153" s="129"/>
      <c r="K153" s="146"/>
      <c r="L153" s="146"/>
      <c r="M153" s="146"/>
    </row>
    <row r="154" spans="1:13" ht="16.5">
      <c r="A154" s="150"/>
    </row>
    <row r="155" spans="1:13" ht="16.5">
      <c r="A155" s="150"/>
    </row>
  </sheetData>
  <sheetProtection algorithmName="SHA-512" hashValue="F0vn2mO33IftSiEWEXxob/pJtyJLFkAX39lUEhnfuBolXAmkmQGSfZgHdoNvGPXBXMgxubwL9/ScNIUhbyDtZQ==" saltValue="x7ZFaMFYXfr7vtoLKyLkiw==" spinCount="100000" sheet="1" objects="1" scenarios="1"/>
  <mergeCells count="271">
    <mergeCell ref="A8:D8"/>
    <mergeCell ref="E8:J8"/>
    <mergeCell ref="A9:D9"/>
    <mergeCell ref="E9:J9"/>
    <mergeCell ref="A10:D10"/>
    <mergeCell ref="E10:J10"/>
    <mergeCell ref="A1:D4"/>
    <mergeCell ref="E1:J4"/>
    <mergeCell ref="A5:J5"/>
    <mergeCell ref="A6:D6"/>
    <mergeCell ref="E6:J6"/>
    <mergeCell ref="A7:D7"/>
    <mergeCell ref="E7:J7"/>
    <mergeCell ref="A16:B16"/>
    <mergeCell ref="C16:E16"/>
    <mergeCell ref="A17:B17"/>
    <mergeCell ref="C17:E17"/>
    <mergeCell ref="A18:B18"/>
    <mergeCell ref="C18:E18"/>
    <mergeCell ref="A11:D11"/>
    <mergeCell ref="E11:J11"/>
    <mergeCell ref="A12:J12"/>
    <mergeCell ref="A14:B15"/>
    <mergeCell ref="C14:E15"/>
    <mergeCell ref="F14:F15"/>
    <mergeCell ref="G14:G15"/>
    <mergeCell ref="H14:H15"/>
    <mergeCell ref="I14:J14"/>
    <mergeCell ref="A22:B22"/>
    <mergeCell ref="C22:E22"/>
    <mergeCell ref="A23:B23"/>
    <mergeCell ref="C23:E23"/>
    <mergeCell ref="A24:B24"/>
    <mergeCell ref="C24:E24"/>
    <mergeCell ref="A19:B19"/>
    <mergeCell ref="C19:E19"/>
    <mergeCell ref="A20:B20"/>
    <mergeCell ref="C20:E20"/>
    <mergeCell ref="A21:B21"/>
    <mergeCell ref="C21:E21"/>
    <mergeCell ref="A28:B28"/>
    <mergeCell ref="C28:E28"/>
    <mergeCell ref="A29:B29"/>
    <mergeCell ref="C29:E29"/>
    <mergeCell ref="A30:B30"/>
    <mergeCell ref="C30:E30"/>
    <mergeCell ref="A25:B25"/>
    <mergeCell ref="C25:E25"/>
    <mergeCell ref="A26:B26"/>
    <mergeCell ref="C26:E26"/>
    <mergeCell ref="A27:B27"/>
    <mergeCell ref="C27:E27"/>
    <mergeCell ref="A34:B34"/>
    <mergeCell ref="C34:E34"/>
    <mergeCell ref="A35:B35"/>
    <mergeCell ref="C35:E35"/>
    <mergeCell ref="A36:B36"/>
    <mergeCell ref="C36:E36"/>
    <mergeCell ref="A31:B31"/>
    <mergeCell ref="C31:E31"/>
    <mergeCell ref="A32:B32"/>
    <mergeCell ref="C32:E32"/>
    <mergeCell ref="A33:B33"/>
    <mergeCell ref="C33:E33"/>
    <mergeCell ref="A41:B41"/>
    <mergeCell ref="C41:E41"/>
    <mergeCell ref="A42:B42"/>
    <mergeCell ref="C42:E42"/>
    <mergeCell ref="A43:B43"/>
    <mergeCell ref="C43:E43"/>
    <mergeCell ref="A37:B37"/>
    <mergeCell ref="C37:E37"/>
    <mergeCell ref="A38:B38"/>
    <mergeCell ref="C38:E38"/>
    <mergeCell ref="A39:I39"/>
    <mergeCell ref="A40:B40"/>
    <mergeCell ref="C40:E40"/>
    <mergeCell ref="A47:B47"/>
    <mergeCell ref="C47:E47"/>
    <mergeCell ref="A48:B48"/>
    <mergeCell ref="C48:E48"/>
    <mergeCell ref="A49:B49"/>
    <mergeCell ref="C49:E49"/>
    <mergeCell ref="A44:B44"/>
    <mergeCell ref="C44:E44"/>
    <mergeCell ref="A45:B45"/>
    <mergeCell ref="C45:E45"/>
    <mergeCell ref="A46:B46"/>
    <mergeCell ref="C46:E46"/>
    <mergeCell ref="A53:B53"/>
    <mergeCell ref="C53:E53"/>
    <mergeCell ref="A54:B54"/>
    <mergeCell ref="C54:E54"/>
    <mergeCell ref="A55:B55"/>
    <mergeCell ref="C55:E55"/>
    <mergeCell ref="A50:B50"/>
    <mergeCell ref="C50:E50"/>
    <mergeCell ref="A51:B51"/>
    <mergeCell ref="C51:E51"/>
    <mergeCell ref="A52:B52"/>
    <mergeCell ref="C52:E52"/>
    <mergeCell ref="A59:B59"/>
    <mergeCell ref="C59:E59"/>
    <mergeCell ref="A60:B60"/>
    <mergeCell ref="C60:E60"/>
    <mergeCell ref="A61:B61"/>
    <mergeCell ref="C61:E61"/>
    <mergeCell ref="A56:B56"/>
    <mergeCell ref="C56:E56"/>
    <mergeCell ref="A57:B57"/>
    <mergeCell ref="C57:E57"/>
    <mergeCell ref="A58:B58"/>
    <mergeCell ref="C58:E58"/>
    <mergeCell ref="A65:B65"/>
    <mergeCell ref="C65:E65"/>
    <mergeCell ref="A66:B66"/>
    <mergeCell ref="C66:E66"/>
    <mergeCell ref="A67:B67"/>
    <mergeCell ref="C67:E67"/>
    <mergeCell ref="A62:B62"/>
    <mergeCell ref="C62:E62"/>
    <mergeCell ref="A63:B63"/>
    <mergeCell ref="C63:E63"/>
    <mergeCell ref="A64:B64"/>
    <mergeCell ref="C64:E64"/>
    <mergeCell ref="A71:B71"/>
    <mergeCell ref="C71:E71"/>
    <mergeCell ref="A72:B72"/>
    <mergeCell ref="C72:E72"/>
    <mergeCell ref="A73:I73"/>
    <mergeCell ref="A74:B74"/>
    <mergeCell ref="C74:E74"/>
    <mergeCell ref="A68:B68"/>
    <mergeCell ref="C68:E68"/>
    <mergeCell ref="A69:B69"/>
    <mergeCell ref="C69:E69"/>
    <mergeCell ref="A70:B70"/>
    <mergeCell ref="C70:E70"/>
    <mergeCell ref="A78:I78"/>
    <mergeCell ref="A79:B79"/>
    <mergeCell ref="C79:E79"/>
    <mergeCell ref="A80:B80"/>
    <mergeCell ref="C80:E80"/>
    <mergeCell ref="A81:B81"/>
    <mergeCell ref="C81:E81"/>
    <mergeCell ref="A75:B75"/>
    <mergeCell ref="C75:E75"/>
    <mergeCell ref="A76:B76"/>
    <mergeCell ref="C76:E76"/>
    <mergeCell ref="A77:B77"/>
    <mergeCell ref="C77:E77"/>
    <mergeCell ref="A85:B85"/>
    <mergeCell ref="C85:E85"/>
    <mergeCell ref="A86:B86"/>
    <mergeCell ref="C86:E86"/>
    <mergeCell ref="A87:B87"/>
    <mergeCell ref="C87:E87"/>
    <mergeCell ref="A82:B82"/>
    <mergeCell ref="C82:E82"/>
    <mergeCell ref="A83:B83"/>
    <mergeCell ref="C83:E83"/>
    <mergeCell ref="A84:B84"/>
    <mergeCell ref="C84:E84"/>
    <mergeCell ref="A91:B91"/>
    <mergeCell ref="C91:E91"/>
    <mergeCell ref="A92:B92"/>
    <mergeCell ref="C92:E92"/>
    <mergeCell ref="A93:B93"/>
    <mergeCell ref="C93:E93"/>
    <mergeCell ref="A88:B88"/>
    <mergeCell ref="C88:E88"/>
    <mergeCell ref="A89:B89"/>
    <mergeCell ref="C89:E89"/>
    <mergeCell ref="A90:B90"/>
    <mergeCell ref="C90:E90"/>
    <mergeCell ref="A97:B97"/>
    <mergeCell ref="C97:E97"/>
    <mergeCell ref="A98:B98"/>
    <mergeCell ref="C98:E98"/>
    <mergeCell ref="A99:B99"/>
    <mergeCell ref="C99:E99"/>
    <mergeCell ref="A94:B94"/>
    <mergeCell ref="C94:E94"/>
    <mergeCell ref="A95:B95"/>
    <mergeCell ref="C95:E95"/>
    <mergeCell ref="A96:B96"/>
    <mergeCell ref="C96:E96"/>
    <mergeCell ref="A103:B103"/>
    <mergeCell ref="C103:E103"/>
    <mergeCell ref="A104:B104"/>
    <mergeCell ref="C104:E104"/>
    <mergeCell ref="A105:B105"/>
    <mergeCell ref="C105:E105"/>
    <mergeCell ref="A100:B100"/>
    <mergeCell ref="C100:E100"/>
    <mergeCell ref="A101:B101"/>
    <mergeCell ref="C101:E101"/>
    <mergeCell ref="A102:B102"/>
    <mergeCell ref="C102:E102"/>
    <mergeCell ref="A109:B109"/>
    <mergeCell ref="C109:E109"/>
    <mergeCell ref="A110:B110"/>
    <mergeCell ref="C110:E110"/>
    <mergeCell ref="A111:B111"/>
    <mergeCell ref="C111:E111"/>
    <mergeCell ref="A106:B106"/>
    <mergeCell ref="C106:E106"/>
    <mergeCell ref="A107:B107"/>
    <mergeCell ref="C107:E107"/>
    <mergeCell ref="A108:B108"/>
    <mergeCell ref="C108:E108"/>
    <mergeCell ref="A115:B115"/>
    <mergeCell ref="C115:E115"/>
    <mergeCell ref="A116:B116"/>
    <mergeCell ref="C116:E116"/>
    <mergeCell ref="A117:B117"/>
    <mergeCell ref="C117:E117"/>
    <mergeCell ref="A112:B112"/>
    <mergeCell ref="C112:E112"/>
    <mergeCell ref="A113:B113"/>
    <mergeCell ref="C113:E113"/>
    <mergeCell ref="A114:B114"/>
    <mergeCell ref="C114:E114"/>
    <mergeCell ref="A122:B122"/>
    <mergeCell ref="C122:E122"/>
    <mergeCell ref="A123:B123"/>
    <mergeCell ref="C123:E123"/>
    <mergeCell ref="A124:B124"/>
    <mergeCell ref="C124:E124"/>
    <mergeCell ref="A118:I118"/>
    <mergeCell ref="A119:B119"/>
    <mergeCell ref="C119:E119"/>
    <mergeCell ref="A120:B120"/>
    <mergeCell ref="C120:E120"/>
    <mergeCell ref="A121:B121"/>
    <mergeCell ref="C121:E121"/>
    <mergeCell ref="A128:B128"/>
    <mergeCell ref="C128:E128"/>
    <mergeCell ref="A129:B129"/>
    <mergeCell ref="C129:E129"/>
    <mergeCell ref="A130:B130"/>
    <mergeCell ref="C130:E130"/>
    <mergeCell ref="A125:B125"/>
    <mergeCell ref="C125:E125"/>
    <mergeCell ref="A126:B126"/>
    <mergeCell ref="C126:E126"/>
    <mergeCell ref="A127:B127"/>
    <mergeCell ref="C127:E127"/>
    <mergeCell ref="A135:D135"/>
    <mergeCell ref="F135:H135"/>
    <mergeCell ref="A136:D136"/>
    <mergeCell ref="E136:H136"/>
    <mergeCell ref="A137:H137"/>
    <mergeCell ref="A138:I138"/>
    <mergeCell ref="A131:I131"/>
    <mergeCell ref="A132:H132"/>
    <mergeCell ref="A133:D133"/>
    <mergeCell ref="F133:H133"/>
    <mergeCell ref="A134:D134"/>
    <mergeCell ref="F134:H134"/>
    <mergeCell ref="A148:E148"/>
    <mergeCell ref="A149:E149"/>
    <mergeCell ref="A150:E150"/>
    <mergeCell ref="A151:E151"/>
    <mergeCell ref="A152:E152"/>
    <mergeCell ref="A140:J140"/>
    <mergeCell ref="A142:E142"/>
    <mergeCell ref="B143:C143"/>
    <mergeCell ref="A145:D145"/>
    <mergeCell ref="A146:E146"/>
    <mergeCell ref="A147:E147"/>
  </mergeCells>
  <conditionalFormatting sqref="K16:K138">
    <cfRule type="cellIs" dxfId="268" priority="3" operator="greaterThan">
      <formula>0</formula>
    </cfRule>
    <cfRule type="cellIs" dxfId="267" priority="4" operator="lessThan">
      <formula>0</formula>
    </cfRule>
    <cfRule type="cellIs" dxfId="266" priority="5" operator="lessThan">
      <formula>0</formula>
    </cfRule>
  </conditionalFormatting>
  <conditionalFormatting sqref="L16:L138">
    <cfRule type="cellIs" dxfId="265" priority="1" operator="greaterThan">
      <formula>0.8</formula>
    </cfRule>
    <cfRule type="cellIs" dxfId="264" priority="2" operator="lessThan">
      <formula>0.8</formula>
    </cfRule>
  </conditionalFormatting>
  <hyperlinks>
    <hyperlink ref="A152" r:id="rId1" display="mailto:jdtrujillo@elatin.co" xr:uid="{5D913EFD-677A-4EF7-9ABB-569580DDD46F}"/>
  </hyperlinks>
  <pageMargins left="0.7" right="0.7" top="0.75" bottom="0.75" header="0.3" footer="0.3"/>
  <pageSetup scale="47" fitToHeight="10" orientation="landscape" horizontalDpi="0" verticalDpi="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C91DA-9606-402C-94C2-A8BD56CDB89E}">
  <sheetPr>
    <tabColor rgb="FF92D050"/>
    <pageSetUpPr fitToPage="1"/>
  </sheetPr>
  <dimension ref="A1:AZ48"/>
  <sheetViews>
    <sheetView topLeftCell="C30" zoomScale="55" zoomScaleNormal="55" zoomScaleSheetLayoutView="50" workbookViewId="0">
      <selection activeCell="F48" sqref="F48"/>
    </sheetView>
  </sheetViews>
  <sheetFormatPr baseColWidth="10" defaultColWidth="11.42578125" defaultRowHeight="16.5"/>
  <cols>
    <col min="1" max="1" width="16" style="2" customWidth="1"/>
    <col min="2" max="2" width="25.42578125" style="2" customWidth="1"/>
    <col min="3" max="3" width="43.42578125" style="2" customWidth="1"/>
    <col min="4" max="4" width="28.28515625" style="2" customWidth="1"/>
    <col min="5" max="5" width="26.140625" style="2" customWidth="1"/>
    <col min="6" max="6" width="32.42578125" style="2" customWidth="1"/>
    <col min="7" max="7" width="29.5703125" style="2" hidden="1" customWidth="1"/>
    <col min="8" max="8" width="32.42578125" style="2" hidden="1" customWidth="1"/>
    <col min="9" max="9" width="33.85546875" style="2" customWidth="1"/>
    <col min="10" max="10" width="23.28515625" style="2" customWidth="1"/>
    <col min="11" max="11" width="28.42578125" style="2" customWidth="1"/>
    <col min="12" max="12" width="33.28515625" style="2" customWidth="1"/>
    <col min="13" max="13" width="11.42578125" style="3" customWidth="1"/>
    <col min="14" max="14" width="15.7109375" style="14" customWidth="1"/>
    <col min="15" max="15" width="41.7109375" style="14" customWidth="1"/>
    <col min="16" max="16" width="23.28515625" style="14" customWidth="1"/>
    <col min="17" max="17" width="11.42578125" style="14" customWidth="1"/>
    <col min="18" max="18" width="11.42578125" style="2"/>
    <col min="19" max="19" width="53.7109375" style="2" customWidth="1"/>
    <col min="20" max="16384" width="11.42578125" style="2"/>
  </cols>
  <sheetData>
    <row r="1" spans="1:17" ht="85.5" customHeight="1" thickBot="1">
      <c r="A1" s="1">
        <v>3</v>
      </c>
      <c r="C1" s="214" t="s">
        <v>29</v>
      </c>
      <c r="D1" s="215"/>
      <c r="E1" s="215"/>
      <c r="F1" s="215"/>
      <c r="G1" s="215"/>
      <c r="H1" s="215"/>
      <c r="I1" s="215"/>
      <c r="J1" s="215"/>
      <c r="K1" s="216"/>
      <c r="L1" s="39"/>
      <c r="N1" s="3"/>
      <c r="O1" s="3"/>
      <c r="P1" s="3"/>
      <c r="Q1" s="3"/>
    </row>
    <row r="2" spans="1:17" ht="16.5" customHeight="1" thickBot="1">
      <c r="A2" s="4"/>
      <c r="B2" s="5"/>
      <c r="C2" s="5"/>
      <c r="D2" s="5"/>
      <c r="E2" s="5"/>
      <c r="F2" s="5"/>
      <c r="G2" s="5"/>
      <c r="H2" s="5"/>
      <c r="I2" s="5"/>
      <c r="J2" s="5"/>
      <c r="K2" s="5"/>
      <c r="L2" s="5"/>
      <c r="N2" s="3"/>
      <c r="O2" s="3"/>
      <c r="P2" s="3"/>
      <c r="Q2" s="3"/>
    </row>
    <row r="3" spans="1:17" ht="54.75" customHeight="1" thickBot="1">
      <c r="A3" s="4"/>
      <c r="B3" s="4"/>
      <c r="C3" s="80" t="s">
        <v>2</v>
      </c>
      <c r="D3" s="217" t="str">
        <f>+'CONSOLIDADO FINANCIERO'!L5</f>
        <v>REALIZAR LAS REPARACIONES LOCATIVAS DE LA INFRAESTRUCTURA FÍSICA DE LA SEDE PRINCIPAL - CNA DEL FONDO NACIONAL DEL AHORRO S.A.</v>
      </c>
      <c r="E3" s="218"/>
      <c r="F3" s="218"/>
      <c r="G3" s="218"/>
      <c r="H3" s="218"/>
      <c r="I3" s="218"/>
      <c r="J3" s="218"/>
      <c r="K3" s="219"/>
      <c r="L3" s="40"/>
      <c r="N3" s="3"/>
      <c r="O3" s="3"/>
      <c r="P3" s="3"/>
      <c r="Q3" s="3"/>
    </row>
    <row r="4" spans="1:17" ht="36.75" customHeight="1">
      <c r="A4" s="4"/>
      <c r="B4" s="4"/>
      <c r="C4" s="7" t="s">
        <v>4</v>
      </c>
      <c r="D4" s="220" t="str">
        <f>+'CONSOLIDADO FINANCIERO'!D6</f>
        <v>FNA-VGHA-CP-015-2024</v>
      </c>
      <c r="E4" s="220"/>
      <c r="F4" s="220"/>
      <c r="G4" s="220"/>
      <c r="H4" s="220"/>
      <c r="I4" s="220"/>
      <c r="J4" s="220"/>
      <c r="K4" s="221"/>
      <c r="L4" s="40"/>
      <c r="N4" s="3"/>
      <c r="O4" s="3"/>
      <c r="P4" s="3"/>
      <c r="Q4" s="3"/>
    </row>
    <row r="5" spans="1:17" ht="35.25" customHeight="1" thickBot="1">
      <c r="A5" s="4"/>
      <c r="B5" s="4"/>
      <c r="C5" s="8" t="s">
        <v>30</v>
      </c>
      <c r="D5" s="222">
        <f>+'CONSOLIDADO FINANCIERO'!L7</f>
        <v>5282931966</v>
      </c>
      <c r="E5" s="222"/>
      <c r="F5" s="222"/>
      <c r="G5" s="222"/>
      <c r="H5" s="222"/>
      <c r="I5" s="222"/>
      <c r="J5" s="222"/>
      <c r="K5" s="223"/>
      <c r="L5" s="40"/>
      <c r="N5" s="3"/>
      <c r="O5" s="3"/>
      <c r="P5" s="3"/>
      <c r="Q5" s="3"/>
    </row>
    <row r="6" spans="1:17" ht="16.5" customHeight="1" thickBot="1">
      <c r="A6" s="4"/>
      <c r="B6" s="4"/>
      <c r="C6" s="9"/>
      <c r="D6" s="10"/>
      <c r="E6" s="10"/>
      <c r="F6" s="10"/>
      <c r="G6" s="10"/>
      <c r="H6" s="10"/>
      <c r="I6" s="10"/>
      <c r="J6" s="10"/>
      <c r="K6" s="10"/>
      <c r="L6" s="40"/>
      <c r="N6" s="3"/>
      <c r="O6" s="3"/>
      <c r="P6" s="3"/>
      <c r="Q6" s="3"/>
    </row>
    <row r="7" spans="1:17" ht="60" customHeight="1" thickBot="1">
      <c r="A7" s="4"/>
      <c r="B7" s="4"/>
      <c r="C7" s="224" t="s">
        <v>31</v>
      </c>
      <c r="D7" s="225"/>
      <c r="E7" s="225"/>
      <c r="F7" s="225"/>
      <c r="G7" s="225"/>
      <c r="H7" s="225"/>
      <c r="I7" s="225"/>
      <c r="J7" s="225"/>
      <c r="K7" s="226"/>
      <c r="L7" s="40"/>
      <c r="N7" s="3"/>
      <c r="O7" s="3"/>
      <c r="P7" s="3"/>
      <c r="Q7" s="3"/>
    </row>
    <row r="8" spans="1:17" ht="42.75" customHeight="1" thickBot="1">
      <c r="A8" s="4"/>
      <c r="B8" s="4"/>
      <c r="C8" s="227" t="s">
        <v>279</v>
      </c>
      <c r="D8" s="228"/>
      <c r="E8" s="228"/>
      <c r="F8" s="228"/>
      <c r="G8" s="228"/>
      <c r="H8" s="228"/>
      <c r="I8" s="228"/>
      <c r="J8" s="228"/>
      <c r="K8" s="229"/>
      <c r="L8" s="40"/>
      <c r="N8" s="3"/>
      <c r="O8" s="3"/>
      <c r="P8" s="3"/>
      <c r="Q8" s="3"/>
    </row>
    <row r="9" spans="1:17" ht="36.75" customHeight="1">
      <c r="A9" s="4"/>
      <c r="B9" s="4"/>
      <c r="C9" s="6" t="s">
        <v>33</v>
      </c>
      <c r="D9" s="234">
        <v>45643</v>
      </c>
      <c r="E9" s="234"/>
      <c r="F9" s="234"/>
      <c r="G9" s="234"/>
      <c r="H9" s="234"/>
      <c r="I9" s="234"/>
      <c r="J9" s="235"/>
      <c r="K9" s="236"/>
      <c r="L9" s="40"/>
      <c r="N9" s="3"/>
      <c r="O9" s="3"/>
      <c r="P9" s="3"/>
      <c r="Q9" s="3"/>
    </row>
    <row r="10" spans="1:17" ht="36.75" customHeight="1" thickBot="1">
      <c r="A10" s="4"/>
      <c r="B10" s="4"/>
      <c r="C10" s="7" t="s">
        <v>34</v>
      </c>
      <c r="D10" s="230">
        <v>45621</v>
      </c>
      <c r="E10" s="230"/>
      <c r="F10" s="230"/>
      <c r="G10" s="230"/>
      <c r="H10" s="230"/>
      <c r="I10" s="230"/>
      <c r="J10" s="237" t="str">
        <f>IF(D10&gt;=O10,"CUMPLE","NO CUMPLE")</f>
        <v>CUMPLE</v>
      </c>
      <c r="K10" s="238"/>
      <c r="L10" s="41" t="s">
        <v>35</v>
      </c>
      <c r="M10" s="42">
        <f>IF(J10="CUMPLE",0,1)</f>
        <v>0</v>
      </c>
      <c r="N10" s="13">
        <f ca="1">+TODAY()-30</f>
        <v>45622</v>
      </c>
      <c r="O10" s="12">
        <f>+D9-30</f>
        <v>45613</v>
      </c>
      <c r="P10" s="3" t="s">
        <v>36</v>
      </c>
      <c r="Q10" s="3"/>
    </row>
    <row r="11" spans="1:17" ht="36.75" customHeight="1" thickBot="1">
      <c r="A11" s="4"/>
      <c r="B11" s="4"/>
      <c r="C11" s="7" t="s">
        <v>37</v>
      </c>
      <c r="D11" s="230">
        <v>45383</v>
      </c>
      <c r="E11" s="230"/>
      <c r="F11" s="230"/>
      <c r="G11" s="230"/>
      <c r="H11" s="230"/>
      <c r="I11" s="230"/>
      <c r="J11" s="237" t="str">
        <f>IF(D10&gt;=O11,"CUMPLE","NO CUMPLE")</f>
        <v>CUMPLE</v>
      </c>
      <c r="K11" s="238"/>
      <c r="L11" s="41" t="s">
        <v>35</v>
      </c>
      <c r="M11" s="11">
        <f>IF(J11="CUMPLE",0,1)</f>
        <v>0</v>
      </c>
      <c r="N11" s="3"/>
      <c r="O11" s="13">
        <f>+D11+15</f>
        <v>45398</v>
      </c>
      <c r="P11" s="3" t="s">
        <v>38</v>
      </c>
      <c r="Q11" s="3"/>
    </row>
    <row r="12" spans="1:17" s="14" customFormat="1" ht="41.25" customHeight="1" thickBot="1">
      <c r="A12" s="4"/>
      <c r="B12" s="4"/>
      <c r="C12" s="8" t="s">
        <v>39</v>
      </c>
      <c r="D12" s="230">
        <v>45291</v>
      </c>
      <c r="E12" s="230"/>
      <c r="F12" s="230"/>
      <c r="G12" s="230"/>
      <c r="H12" s="230"/>
      <c r="I12" s="230"/>
      <c r="J12" s="231" t="str">
        <f>IF(D10&gt;=O12,"CUMPLE","NO CUMPLE")</f>
        <v>CUMPLE</v>
      </c>
      <c r="K12" s="232"/>
      <c r="L12" s="41" t="s">
        <v>35</v>
      </c>
      <c r="M12" s="11">
        <f>IF(J12="CUMPLE",0,1)</f>
        <v>0</v>
      </c>
      <c r="N12" s="3"/>
      <c r="O12" s="13">
        <f>+D12+15</f>
        <v>45306</v>
      </c>
      <c r="P12" s="3"/>
      <c r="Q12" s="3"/>
    </row>
    <row r="13" spans="1:17" ht="31.5" customHeight="1">
      <c r="A13" s="4"/>
      <c r="B13" s="4"/>
      <c r="C13" s="233"/>
      <c r="D13" s="233"/>
      <c r="E13" s="233"/>
      <c r="F13" s="233"/>
      <c r="G13" s="233"/>
      <c r="H13" s="233"/>
      <c r="I13" s="233"/>
      <c r="J13" s="233"/>
      <c r="K13" s="233"/>
      <c r="L13" s="41"/>
      <c r="N13" s="3"/>
      <c r="O13" s="3"/>
      <c r="P13" s="3"/>
      <c r="Q13" s="3"/>
    </row>
    <row r="14" spans="1:17" ht="37.5" hidden="1" customHeight="1" thickBot="1">
      <c r="A14" s="4"/>
      <c r="B14" s="4"/>
      <c r="C14" s="227"/>
      <c r="D14" s="228"/>
      <c r="E14" s="228"/>
      <c r="F14" s="228"/>
      <c r="G14" s="228"/>
      <c r="H14" s="228"/>
      <c r="I14" s="228"/>
      <c r="J14" s="228"/>
      <c r="K14" s="229"/>
      <c r="L14" s="41"/>
      <c r="N14" s="3"/>
      <c r="O14" s="3"/>
      <c r="P14" s="3"/>
      <c r="Q14" s="3"/>
    </row>
    <row r="15" spans="1:17" ht="36.75" hidden="1" customHeight="1">
      <c r="A15" s="4"/>
      <c r="B15" s="4"/>
      <c r="C15" s="6" t="s">
        <v>33</v>
      </c>
      <c r="D15" s="234">
        <v>45638</v>
      </c>
      <c r="E15" s="234"/>
      <c r="F15" s="234"/>
      <c r="G15" s="234"/>
      <c r="H15" s="234"/>
      <c r="I15" s="234"/>
      <c r="J15" s="235"/>
      <c r="K15" s="236"/>
      <c r="L15" s="41"/>
      <c r="N15" s="3"/>
      <c r="O15" s="3"/>
      <c r="P15" s="3"/>
      <c r="Q15" s="3"/>
    </row>
    <row r="16" spans="1:17" ht="36.75" hidden="1" customHeight="1">
      <c r="A16" s="4"/>
      <c r="B16" s="4"/>
      <c r="C16" s="7" t="s">
        <v>34</v>
      </c>
      <c r="D16" s="239">
        <v>45616</v>
      </c>
      <c r="E16" s="239"/>
      <c r="F16" s="239"/>
      <c r="G16" s="239"/>
      <c r="H16" s="239"/>
      <c r="I16" s="239"/>
      <c r="J16" s="237" t="str">
        <f>IF(D16&gt;=O16,"CUMPLE","NO CUMPLE")</f>
        <v>CUMPLE</v>
      </c>
      <c r="K16" s="238"/>
      <c r="L16" s="41" t="s">
        <v>35</v>
      </c>
      <c r="M16" s="11">
        <f>IF(J16="CUMPLE",0,1)</f>
        <v>0</v>
      </c>
      <c r="N16" s="3"/>
      <c r="O16" s="12">
        <f>+D15-30</f>
        <v>45608</v>
      </c>
      <c r="P16" s="3" t="s">
        <v>36</v>
      </c>
      <c r="Q16" s="3"/>
    </row>
    <row r="17" spans="1:19" ht="36.75" hidden="1" customHeight="1">
      <c r="A17" s="4"/>
      <c r="B17" s="4"/>
      <c r="C17" s="7" t="s">
        <v>37</v>
      </c>
      <c r="D17" s="239">
        <v>45416</v>
      </c>
      <c r="E17" s="239"/>
      <c r="F17" s="239"/>
      <c r="G17" s="239"/>
      <c r="H17" s="239"/>
      <c r="I17" s="239"/>
      <c r="J17" s="237" t="str">
        <f>IF(D16&gt;=O17,"CUMPLE","NO CUMPLE")</f>
        <v>CUMPLE</v>
      </c>
      <c r="K17" s="238"/>
      <c r="L17" s="41" t="s">
        <v>35</v>
      </c>
      <c r="M17" s="11">
        <f>IF(J17="CUMPLE",0,1)</f>
        <v>0</v>
      </c>
      <c r="N17" s="3"/>
      <c r="O17" s="13">
        <f>+D17+15</f>
        <v>45431</v>
      </c>
      <c r="P17" s="3" t="s">
        <v>38</v>
      </c>
      <c r="Q17" s="3"/>
    </row>
    <row r="18" spans="1:19" s="14" customFormat="1" ht="36" hidden="1" customHeight="1" thickBot="1">
      <c r="A18" s="4"/>
      <c r="B18" s="4"/>
      <c r="C18" s="8" t="s">
        <v>39</v>
      </c>
      <c r="D18" s="230">
        <v>45291</v>
      </c>
      <c r="E18" s="230"/>
      <c r="F18" s="230"/>
      <c r="G18" s="230"/>
      <c r="H18" s="230"/>
      <c r="I18" s="230"/>
      <c r="J18" s="231" t="str">
        <f>IF(D16&gt;=O18,"CUMPLE","NO CUMPLE")</f>
        <v>CUMPLE</v>
      </c>
      <c r="K18" s="232"/>
      <c r="L18" s="41" t="s">
        <v>35</v>
      </c>
      <c r="M18" s="11">
        <f>IF(J18="CUMPLE",0,1)</f>
        <v>0</v>
      </c>
      <c r="N18" s="3"/>
      <c r="O18" s="13">
        <f>+D18+15</f>
        <v>45306</v>
      </c>
      <c r="P18" s="3"/>
      <c r="Q18" s="3"/>
    </row>
    <row r="19" spans="1:19" ht="13.5" customHeight="1">
      <c r="B19" s="4"/>
      <c r="C19" s="15"/>
      <c r="D19" s="16"/>
      <c r="E19" s="16"/>
      <c r="F19" s="17"/>
      <c r="G19" s="16"/>
      <c r="H19" s="16"/>
      <c r="I19" s="16"/>
      <c r="J19" s="18"/>
      <c r="K19" s="19"/>
      <c r="L19" s="40"/>
      <c r="M19" s="11"/>
      <c r="N19" s="3"/>
      <c r="O19" s="3"/>
      <c r="P19" s="3"/>
      <c r="Q19" s="3"/>
    </row>
    <row r="20" spans="1:19" ht="31.5" hidden="1" customHeight="1" thickBot="1">
      <c r="A20" s="4"/>
      <c r="B20" s="4"/>
      <c r="C20" s="224"/>
      <c r="D20" s="225"/>
      <c r="E20" s="225"/>
      <c r="F20" s="225"/>
      <c r="G20" s="225"/>
      <c r="H20" s="225"/>
      <c r="I20" s="225"/>
      <c r="J20" s="225"/>
      <c r="K20" s="226"/>
      <c r="L20" s="41"/>
      <c r="N20" s="3"/>
      <c r="O20" s="3"/>
      <c r="P20" s="3"/>
      <c r="Q20" s="3"/>
    </row>
    <row r="21" spans="1:19" ht="5.0999999999999996" hidden="1" customHeight="1" thickBot="1">
      <c r="A21" s="4"/>
      <c r="B21" s="4"/>
      <c r="C21" s="9"/>
      <c r="D21" s="10"/>
      <c r="E21" s="10"/>
      <c r="F21" s="10"/>
      <c r="G21" s="10"/>
      <c r="H21" s="10"/>
      <c r="I21" s="10"/>
      <c r="J21" s="10"/>
      <c r="K21" s="10"/>
      <c r="L21" s="41"/>
      <c r="N21" s="3"/>
      <c r="O21" s="3"/>
      <c r="P21" s="3"/>
      <c r="Q21" s="3"/>
    </row>
    <row r="22" spans="1:19" ht="36.75" hidden="1" customHeight="1">
      <c r="A22" s="4"/>
      <c r="B22" s="4"/>
      <c r="C22" s="6" t="s">
        <v>33</v>
      </c>
      <c r="D22" s="234"/>
      <c r="E22" s="234"/>
      <c r="F22" s="234"/>
      <c r="G22" s="234"/>
      <c r="H22" s="234"/>
      <c r="I22" s="234"/>
      <c r="J22" s="235"/>
      <c r="K22" s="236"/>
      <c r="L22" s="41"/>
      <c r="N22" s="3"/>
      <c r="O22" s="3"/>
      <c r="P22" s="3"/>
      <c r="Q22" s="3"/>
    </row>
    <row r="23" spans="1:19" ht="36.75" hidden="1" customHeight="1">
      <c r="A23" s="4"/>
      <c r="B23" s="4"/>
      <c r="C23" s="7" t="s">
        <v>34</v>
      </c>
      <c r="D23" s="239"/>
      <c r="E23" s="239"/>
      <c r="F23" s="239"/>
      <c r="G23" s="239"/>
      <c r="H23" s="239"/>
      <c r="I23" s="239"/>
      <c r="J23" s="237"/>
      <c r="K23" s="237"/>
      <c r="L23" s="41" t="s">
        <v>35</v>
      </c>
      <c r="M23" s="11">
        <f>IF(J23="CUMPLE",0,1)</f>
        <v>1</v>
      </c>
      <c r="N23" s="3"/>
      <c r="O23" s="12">
        <f>+D22-30</f>
        <v>-30</v>
      </c>
      <c r="P23" s="3" t="s">
        <v>36</v>
      </c>
      <c r="Q23" s="3"/>
    </row>
    <row r="24" spans="1:19" ht="36.75" hidden="1" customHeight="1">
      <c r="A24" s="4"/>
      <c r="B24" s="4"/>
      <c r="C24" s="7" t="s">
        <v>37</v>
      </c>
      <c r="D24" s="239"/>
      <c r="E24" s="239"/>
      <c r="F24" s="240"/>
      <c r="G24" s="240"/>
      <c r="H24" s="240"/>
      <c r="I24" s="239"/>
      <c r="J24" s="237"/>
      <c r="K24" s="237"/>
      <c r="L24" s="41" t="s">
        <v>35</v>
      </c>
      <c r="M24" s="11">
        <f>IF(J24="CUMPLE",0,1)</f>
        <v>1</v>
      </c>
      <c r="N24" s="3"/>
      <c r="O24" s="13">
        <f>+D24+15</f>
        <v>15</v>
      </c>
      <c r="P24" s="3" t="s">
        <v>38</v>
      </c>
      <c r="Q24" s="3"/>
    </row>
    <row r="25" spans="1:19" s="14" customFormat="1" ht="36" hidden="1" customHeight="1" thickBot="1">
      <c r="A25" s="4"/>
      <c r="B25" s="4"/>
      <c r="C25" s="8" t="s">
        <v>39</v>
      </c>
      <c r="D25" s="230"/>
      <c r="E25" s="230"/>
      <c r="F25" s="230"/>
      <c r="G25" s="230"/>
      <c r="H25" s="230"/>
      <c r="I25" s="230"/>
      <c r="J25" s="237"/>
      <c r="K25" s="237"/>
      <c r="L25" s="41" t="s">
        <v>35</v>
      </c>
      <c r="M25" s="11">
        <f>IF(J25="CUMPLE",0,1)</f>
        <v>1</v>
      </c>
      <c r="N25" s="3"/>
      <c r="O25" s="13">
        <f>+D25+15</f>
        <v>15</v>
      </c>
      <c r="P25" s="3"/>
      <c r="Q25" s="3"/>
    </row>
    <row r="26" spans="1:19" ht="13.5" customHeight="1" thickBot="1">
      <c r="B26" s="4"/>
      <c r="C26" s="15"/>
      <c r="D26" s="16"/>
      <c r="E26" s="16"/>
      <c r="F26" s="17"/>
      <c r="G26" s="16"/>
      <c r="H26" s="16"/>
      <c r="I26" s="16"/>
      <c r="J26" s="18"/>
      <c r="K26" s="19"/>
      <c r="L26" s="40"/>
      <c r="M26" s="11"/>
      <c r="N26" s="3"/>
      <c r="O26" s="3"/>
      <c r="P26" s="3"/>
      <c r="Q26" s="3"/>
    </row>
    <row r="27" spans="1:19" ht="39" customHeight="1" thickBot="1">
      <c r="A27" s="4"/>
      <c r="B27" s="5"/>
      <c r="C27" s="241" t="s">
        <v>40</v>
      </c>
      <c r="D27" s="242"/>
      <c r="E27" s="242"/>
      <c r="F27" s="243"/>
      <c r="G27" s="242"/>
      <c r="H27" s="242"/>
      <c r="I27" s="242"/>
      <c r="J27" s="242"/>
      <c r="K27" s="244"/>
      <c r="L27" s="5"/>
      <c r="N27" s="3"/>
      <c r="O27" s="3"/>
      <c r="P27" s="3"/>
      <c r="Q27" s="3"/>
    </row>
    <row r="28" spans="1:19" ht="7.5" customHeight="1">
      <c r="A28" s="4"/>
      <c r="B28" s="5"/>
      <c r="C28" s="5"/>
      <c r="D28" s="5"/>
      <c r="E28" s="5"/>
      <c r="F28" s="20"/>
      <c r="G28" s="5"/>
      <c r="H28" s="5"/>
      <c r="I28" s="5"/>
      <c r="J28" s="5"/>
      <c r="K28" s="21"/>
      <c r="L28" s="5"/>
      <c r="N28" s="3"/>
      <c r="O28" s="3"/>
      <c r="P28" s="3"/>
      <c r="Q28" s="3"/>
    </row>
    <row r="29" spans="1:19" s="24" customFormat="1" ht="69" customHeight="1">
      <c r="A29" s="245" t="s">
        <v>41</v>
      </c>
      <c r="B29" s="245" t="s">
        <v>42</v>
      </c>
      <c r="C29" s="245" t="s">
        <v>43</v>
      </c>
      <c r="D29" s="245" t="s">
        <v>44</v>
      </c>
      <c r="E29" s="245" t="s">
        <v>45</v>
      </c>
      <c r="F29" s="23" t="str">
        <f>+C8</f>
        <v>DIARQCO CONSTRUCTORES SAS
NIT: 900185357 2</v>
      </c>
      <c r="G29" s="22"/>
      <c r="H29" s="22"/>
      <c r="I29" s="245" t="s">
        <v>46</v>
      </c>
      <c r="J29" s="245" t="s">
        <v>47</v>
      </c>
      <c r="K29" s="245" t="s">
        <v>48</v>
      </c>
      <c r="L29" s="246" t="s">
        <v>49</v>
      </c>
      <c r="M29" s="3"/>
      <c r="N29" s="3"/>
      <c r="O29" s="3"/>
      <c r="P29" s="3"/>
      <c r="Q29" s="3"/>
    </row>
    <row r="30" spans="1:19" s="24" customFormat="1" ht="27" customHeight="1">
      <c r="A30" s="245"/>
      <c r="B30" s="245"/>
      <c r="C30" s="245"/>
      <c r="D30" s="245"/>
      <c r="E30" s="245"/>
      <c r="F30" s="25">
        <v>1</v>
      </c>
      <c r="G30" s="26"/>
      <c r="H30" s="26"/>
      <c r="I30" s="245"/>
      <c r="J30" s="245"/>
      <c r="K30" s="245"/>
      <c r="L30" s="246"/>
      <c r="M30" s="3"/>
      <c r="N30" s="3"/>
      <c r="O30" s="3"/>
      <c r="P30" s="3"/>
      <c r="Q30" s="3"/>
    </row>
    <row r="31" spans="1:19" ht="33" customHeight="1">
      <c r="A31" s="247" t="s">
        <v>50</v>
      </c>
      <c r="B31" s="248" t="s">
        <v>51</v>
      </c>
      <c r="C31" s="249" t="s">
        <v>52</v>
      </c>
      <c r="D31" s="250">
        <f>'CONSOLIDADO FINANCIERO'!L7*25%</f>
        <v>1320732991.5</v>
      </c>
      <c r="E31" s="27" t="s">
        <v>53</v>
      </c>
      <c r="F31" s="74">
        <v>14423697000</v>
      </c>
      <c r="G31" s="74"/>
      <c r="H31" s="28"/>
      <c r="I31" s="251">
        <f>(F31-F32)+(G31-G32)</f>
        <v>13748950000</v>
      </c>
      <c r="J31" s="252" t="str">
        <f>IF(I31&gt;=D31,"CUMPLE","NO CUMPLE")</f>
        <v>CUMPLE</v>
      </c>
      <c r="K31" s="253" t="s">
        <v>54</v>
      </c>
      <c r="L31" s="254" t="s">
        <v>55</v>
      </c>
      <c r="M31" s="367">
        <f>IF(J31="CUMPLE",0,1)</f>
        <v>0</v>
      </c>
      <c r="N31" s="29"/>
      <c r="O31" s="3"/>
      <c r="P31" s="3"/>
      <c r="Q31" s="3"/>
      <c r="S31" s="46"/>
    </row>
    <row r="32" spans="1:19" ht="33" customHeight="1">
      <c r="A32" s="247"/>
      <c r="B32" s="248"/>
      <c r="C32" s="249"/>
      <c r="D32" s="250"/>
      <c r="E32" s="27" t="s">
        <v>56</v>
      </c>
      <c r="F32" s="74">
        <v>674747000</v>
      </c>
      <c r="G32" s="74"/>
      <c r="H32" s="28"/>
      <c r="I32" s="251"/>
      <c r="J32" s="252"/>
      <c r="K32" s="253"/>
      <c r="L32" s="255"/>
      <c r="M32" s="367"/>
      <c r="N32" s="3"/>
      <c r="O32" s="3"/>
      <c r="P32" s="3"/>
      <c r="Q32" s="3"/>
      <c r="S32" s="46"/>
    </row>
    <row r="33" spans="1:52" ht="33" customHeight="1">
      <c r="A33" s="247" t="s">
        <v>50</v>
      </c>
      <c r="B33" s="248" t="str">
        <f>B31</f>
        <v>4.3.1 CAPACIDAD FINANCIERA</v>
      </c>
      <c r="C33" s="249" t="s">
        <v>10</v>
      </c>
      <c r="D33" s="262">
        <v>1.9</v>
      </c>
      <c r="E33" s="27" t="s">
        <v>53</v>
      </c>
      <c r="F33" s="75">
        <f>+F31</f>
        <v>14423697000</v>
      </c>
      <c r="G33" s="75"/>
      <c r="H33" s="43"/>
      <c r="I33" s="263">
        <f>+((F33*F30)+(G33*G30)+(H33*H30))/((F34*F30)+(G34*G30)+(H34*H30))</f>
        <v>21.376452210976854</v>
      </c>
      <c r="J33" s="264" t="str">
        <f>IF(I33&gt;=D33,"CUMPLE","NO CUMPLE")</f>
        <v>CUMPLE</v>
      </c>
      <c r="K33" s="253" t="s">
        <v>54</v>
      </c>
      <c r="L33" s="255"/>
      <c r="M33" s="367">
        <f>IF(J33="CUMPLE",0,1)</f>
        <v>0</v>
      </c>
      <c r="N33" s="3"/>
      <c r="O33" s="3"/>
      <c r="P33" s="3"/>
      <c r="Q33" s="3"/>
      <c r="S33" s="46"/>
    </row>
    <row r="34" spans="1:52" ht="33" customHeight="1">
      <c r="A34" s="247"/>
      <c r="B34" s="248"/>
      <c r="C34" s="249"/>
      <c r="D34" s="262"/>
      <c r="E34" s="27" t="s">
        <v>56</v>
      </c>
      <c r="F34" s="75">
        <f>+F32</f>
        <v>674747000</v>
      </c>
      <c r="G34" s="75"/>
      <c r="H34" s="35"/>
      <c r="I34" s="263"/>
      <c r="J34" s="264"/>
      <c r="K34" s="257"/>
      <c r="L34" s="255"/>
      <c r="M34" s="367"/>
      <c r="N34" s="3"/>
      <c r="O34" s="3"/>
      <c r="P34" s="3"/>
      <c r="Q34" s="3"/>
    </row>
    <row r="35" spans="1:52" ht="33" customHeight="1">
      <c r="A35" s="247" t="s">
        <v>50</v>
      </c>
      <c r="B35" s="248" t="str">
        <f>B33</f>
        <v>4.3.1 CAPACIDAD FINANCIERA</v>
      </c>
      <c r="C35" s="249" t="s">
        <v>11</v>
      </c>
      <c r="D35" s="267">
        <v>0.6</v>
      </c>
      <c r="E35" s="30" t="s">
        <v>57</v>
      </c>
      <c r="F35" s="74">
        <v>7736060000</v>
      </c>
      <c r="G35" s="74"/>
      <c r="H35" s="35"/>
      <c r="I35" s="268">
        <f>((F35*F30)+(G35*G30)+(H35*H30))/((F36*F30)+(G36*G30)+(H36*H30))</f>
        <v>0.48399382399641039</v>
      </c>
      <c r="J35" s="264" t="str">
        <f>IF(I35&lt;=D35,"CUMPLE","NO CUMPLE")</f>
        <v>CUMPLE</v>
      </c>
      <c r="K35" s="253" t="s">
        <v>54</v>
      </c>
      <c r="L35" s="255"/>
      <c r="M35" s="367">
        <f>IF(J35="CUMPLE",0,1)</f>
        <v>0</v>
      </c>
      <c r="N35" s="3"/>
      <c r="O35" s="3"/>
      <c r="P35" s="3"/>
      <c r="Q35" s="3"/>
    </row>
    <row r="36" spans="1:52" ht="33" customHeight="1">
      <c r="A36" s="247"/>
      <c r="B36" s="248"/>
      <c r="C36" s="249"/>
      <c r="D36" s="267"/>
      <c r="E36" s="30" t="s">
        <v>58</v>
      </c>
      <c r="F36" s="74">
        <v>15983799000</v>
      </c>
      <c r="G36" s="74"/>
      <c r="H36" s="35"/>
      <c r="I36" s="268"/>
      <c r="J36" s="264"/>
      <c r="K36" s="257"/>
      <c r="L36" s="255"/>
      <c r="M36" s="367"/>
      <c r="N36" s="3"/>
      <c r="O36" s="3"/>
      <c r="P36" s="3"/>
      <c r="Q36" s="3"/>
    </row>
    <row r="37" spans="1:52" s="32" customFormat="1" ht="27.75" customHeight="1">
      <c r="A37" s="247" t="s">
        <v>50</v>
      </c>
      <c r="B37" s="248" t="str">
        <f>B35</f>
        <v>4.3.1 CAPACIDAD FINANCIERA</v>
      </c>
      <c r="C37" s="249" t="s">
        <v>12</v>
      </c>
      <c r="D37" s="265">
        <v>1.49</v>
      </c>
      <c r="E37" s="30" t="s">
        <v>59</v>
      </c>
      <c r="F37" s="74">
        <v>1843373000</v>
      </c>
      <c r="G37" s="74"/>
      <c r="H37" s="35"/>
      <c r="I37" s="266">
        <f>((F37*F30)+(G37*G30)+(H37*H30))/((F38*F30)+(G38*G30)+(H38*H30))</f>
        <v>5.27665488270907</v>
      </c>
      <c r="J37" s="264" t="str">
        <f>IF(I37&gt;=D37,"CUMPLE","NO CUMPLE")</f>
        <v>CUMPLE</v>
      </c>
      <c r="K37" s="258" t="s">
        <v>54</v>
      </c>
      <c r="L37" s="255"/>
      <c r="M37" s="367">
        <f>IF(J37="CUMPLE",0,1)</f>
        <v>0</v>
      </c>
      <c r="N37" s="31"/>
      <c r="O37" s="31"/>
      <c r="P37" s="31"/>
      <c r="Q37" s="31"/>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row>
    <row r="38" spans="1:52" s="32" customFormat="1" ht="27.75" customHeight="1">
      <c r="A38" s="247"/>
      <c r="B38" s="248"/>
      <c r="C38" s="249"/>
      <c r="D38" s="265"/>
      <c r="E38" s="30" t="s">
        <v>60</v>
      </c>
      <c r="F38" s="74">
        <v>349345000</v>
      </c>
      <c r="G38" s="74"/>
      <c r="H38" s="35"/>
      <c r="I38" s="266"/>
      <c r="J38" s="264"/>
      <c r="K38" s="258"/>
      <c r="L38" s="255"/>
      <c r="M38" s="367"/>
      <c r="N38" s="31"/>
      <c r="O38" s="31"/>
      <c r="P38" s="31"/>
      <c r="Q38" s="31"/>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row>
    <row r="39" spans="1:52" s="34" customFormat="1" ht="33" customHeight="1">
      <c r="A39" s="247" t="s">
        <v>61</v>
      </c>
      <c r="B39" s="248" t="s">
        <v>62</v>
      </c>
      <c r="C39" s="269" t="s">
        <v>13</v>
      </c>
      <c r="D39" s="270">
        <v>0.11</v>
      </c>
      <c r="E39" s="30" t="s">
        <v>63</v>
      </c>
      <c r="F39" s="75">
        <f>+F37</f>
        <v>1843373000</v>
      </c>
      <c r="G39" s="75"/>
      <c r="H39" s="33"/>
      <c r="I39" s="271">
        <f>((F39*F30)+(G39*G30)+(H39*H30))/((F40*F30)+(G40*G30)+(H40*H30))</f>
        <v>0.22350040417137351</v>
      </c>
      <c r="J39" s="264" t="str">
        <f>IF(I39&gt;=D39,"CUMPLE","NO CUMPLE")</f>
        <v>CUMPLE</v>
      </c>
      <c r="K39" s="258" t="s">
        <v>54</v>
      </c>
      <c r="L39" s="255"/>
      <c r="M39" s="367">
        <f>IF(J39="CUMPLE",0,1)</f>
        <v>0</v>
      </c>
      <c r="N39" s="3"/>
      <c r="O39" s="3"/>
      <c r="P39" s="3"/>
      <c r="Q39" s="3"/>
    </row>
    <row r="40" spans="1:52" s="34" customFormat="1" ht="33" customHeight="1">
      <c r="A40" s="247"/>
      <c r="B40" s="248"/>
      <c r="C40" s="269"/>
      <c r="D40" s="270"/>
      <c r="E40" s="30" t="s">
        <v>64</v>
      </c>
      <c r="F40" s="74">
        <v>8247739000</v>
      </c>
      <c r="G40" s="74"/>
      <c r="H40" s="35"/>
      <c r="I40" s="271"/>
      <c r="J40" s="264"/>
      <c r="K40" s="258"/>
      <c r="L40" s="255"/>
      <c r="M40" s="367"/>
      <c r="N40" s="3"/>
      <c r="O40" s="3"/>
      <c r="P40" s="3"/>
      <c r="Q40" s="3"/>
    </row>
    <row r="41" spans="1:52" s="34" customFormat="1" ht="33" customHeight="1">
      <c r="A41" s="247" t="s">
        <v>61</v>
      </c>
      <c r="B41" s="248" t="str">
        <f>+B39</f>
        <v>4.3.2 capacidad Organizacional</v>
      </c>
      <c r="C41" s="269" t="s">
        <v>65</v>
      </c>
      <c r="D41" s="270">
        <v>0.05</v>
      </c>
      <c r="E41" s="30" t="s">
        <v>63</v>
      </c>
      <c r="F41" s="75">
        <f>+F37</f>
        <v>1843373000</v>
      </c>
      <c r="G41" s="75"/>
      <c r="H41" s="35"/>
      <c r="I41" s="271">
        <f>((F41*F30)+(G41*G30)+(H41*H30))/((F42*F30)+(G42*G30)+(H42*H30))</f>
        <v>0.11532758889172717</v>
      </c>
      <c r="J41" s="264" t="str">
        <f>IF(I41&gt;=D41,"CUMPLE","NO CUMPLE")</f>
        <v>CUMPLE</v>
      </c>
      <c r="K41" s="258" t="s">
        <v>54</v>
      </c>
      <c r="L41" s="255"/>
      <c r="M41" s="367">
        <f>IF(J41="CUMPLE",0,1)</f>
        <v>0</v>
      </c>
      <c r="N41" s="3"/>
      <c r="O41" s="3"/>
      <c r="P41" s="3"/>
      <c r="Q41" s="3"/>
    </row>
    <row r="42" spans="1:52" s="34" customFormat="1" ht="33" customHeight="1">
      <c r="A42" s="247"/>
      <c r="B42" s="248"/>
      <c r="C42" s="269"/>
      <c r="D42" s="270"/>
      <c r="E42" s="30" t="s">
        <v>66</v>
      </c>
      <c r="F42" s="75">
        <f>+F36</f>
        <v>15983799000</v>
      </c>
      <c r="G42" s="75"/>
      <c r="H42" s="35"/>
      <c r="I42" s="271"/>
      <c r="J42" s="264"/>
      <c r="K42" s="258"/>
      <c r="L42" s="255"/>
      <c r="M42" s="367"/>
      <c r="N42" s="3"/>
      <c r="O42" s="3"/>
      <c r="P42" s="3"/>
      <c r="Q42" s="3"/>
    </row>
    <row r="43" spans="1:52" s="37" customFormat="1" ht="27.75" customHeight="1">
      <c r="A43" s="247" t="s">
        <v>50</v>
      </c>
      <c r="B43" s="248" t="str">
        <f>B31</f>
        <v>4.3.1 CAPACIDAD FINANCIERA</v>
      </c>
      <c r="C43" s="249" t="s">
        <v>67</v>
      </c>
      <c r="D43" s="278">
        <f>'CONSOLIDADO FINANCIERO'!L7*30%</f>
        <v>1584879589.8</v>
      </c>
      <c r="E43" s="30" t="s">
        <v>66</v>
      </c>
      <c r="F43" s="75">
        <f>+F36</f>
        <v>15983799000</v>
      </c>
      <c r="G43" s="75"/>
      <c r="H43" s="33"/>
      <c r="I43" s="279">
        <f>(F43-F44)+(G43-G44)</f>
        <v>8247739000</v>
      </c>
      <c r="J43" s="252" t="str">
        <f>IF(I43&gt;=D43,"CUMPLE","NO CUMPLE")</f>
        <v>CUMPLE</v>
      </c>
      <c r="K43" s="259" t="s">
        <v>54</v>
      </c>
      <c r="L43" s="255"/>
      <c r="M43" s="367">
        <f>IF(J43="CUMPLE",0,1)</f>
        <v>0</v>
      </c>
      <c r="N43" s="36"/>
      <c r="O43" s="31"/>
      <c r="P43" s="31"/>
      <c r="Q43" s="31"/>
    </row>
    <row r="44" spans="1:52" s="37" customFormat="1" ht="27.75" customHeight="1" thickBot="1">
      <c r="A44" s="247"/>
      <c r="B44" s="248"/>
      <c r="C44" s="249"/>
      <c r="D44" s="278"/>
      <c r="E44" s="44" t="s">
        <v>68</v>
      </c>
      <c r="F44" s="76">
        <f>+F35</f>
        <v>7736060000</v>
      </c>
      <c r="G44" s="76"/>
      <c r="H44" s="33"/>
      <c r="I44" s="280"/>
      <c r="J44" s="281"/>
      <c r="K44" s="260"/>
      <c r="L44" s="256"/>
      <c r="M44" s="367"/>
      <c r="N44" s="31"/>
      <c r="O44" s="31"/>
      <c r="P44" s="31"/>
      <c r="Q44" s="31"/>
    </row>
    <row r="45" spans="1:52" ht="34.5" customHeight="1" thickBot="1">
      <c r="A45" s="4"/>
      <c r="B45" s="4"/>
      <c r="C45" s="4"/>
      <c r="D45" s="4"/>
      <c r="E45" s="272" t="s">
        <v>69</v>
      </c>
      <c r="F45" s="273"/>
      <c r="G45" s="274"/>
      <c r="H45" s="38"/>
      <c r="I45" s="275" t="str">
        <f>IF(M45&gt;0,"NO CUMPLE","CUMPLE")</f>
        <v>CUMPLE</v>
      </c>
      <c r="J45" s="276"/>
      <c r="K45" s="277"/>
      <c r="L45" s="4"/>
      <c r="M45" s="45">
        <f>SUM(M31:M44)</f>
        <v>0</v>
      </c>
      <c r="N45" s="3"/>
      <c r="O45" s="3"/>
      <c r="P45" s="3"/>
      <c r="Q45" s="3"/>
    </row>
    <row r="46" spans="1:52">
      <c r="A46" s="4"/>
      <c r="B46" s="4"/>
      <c r="C46" s="4"/>
      <c r="D46" s="4"/>
      <c r="E46" s="38"/>
      <c r="F46" s="38"/>
      <c r="G46" s="38"/>
      <c r="H46" s="38"/>
      <c r="I46" s="38"/>
      <c r="J46" s="38"/>
      <c r="K46" s="38"/>
      <c r="L46" s="4"/>
      <c r="N46" s="3"/>
      <c r="O46" s="3"/>
      <c r="P46" s="3"/>
      <c r="Q46" s="3"/>
    </row>
    <row r="47" spans="1:52">
      <c r="A47" s="4"/>
      <c r="B47" s="4"/>
      <c r="C47" s="4"/>
      <c r="D47" s="4"/>
      <c r="E47" s="4"/>
      <c r="F47" s="4"/>
      <c r="G47" s="4"/>
      <c r="H47" s="4"/>
      <c r="I47" s="4"/>
      <c r="J47" s="4"/>
      <c r="K47" s="4"/>
      <c r="L47" s="4"/>
      <c r="N47" s="3"/>
      <c r="O47" s="3"/>
      <c r="P47" s="3"/>
      <c r="Q47" s="3"/>
    </row>
    <row r="48" spans="1:52">
      <c r="A48" s="4"/>
      <c r="B48" s="4"/>
      <c r="C48" s="4"/>
      <c r="D48" s="4"/>
      <c r="E48" s="4"/>
      <c r="F48" s="4"/>
      <c r="G48" s="4"/>
      <c r="H48" s="4"/>
      <c r="I48" s="4"/>
      <c r="J48" s="4"/>
      <c r="K48" s="4"/>
      <c r="L48" s="4"/>
      <c r="N48" s="3"/>
      <c r="O48" s="3"/>
      <c r="P48" s="3"/>
      <c r="Q48" s="3"/>
    </row>
  </sheetData>
  <sheetProtection algorithmName="SHA-512" hashValue="pNKRRQXDlTdA5ui30uAnjJMvFVuMvDWKZJ2OZWYeq7vaxxxsHreFfGNfs0M/CRioMjl0tvYuLM5cKVs2LvLyaQ==" saltValue="S09ucgilry3K/Sj4zNGKAg==" spinCount="100000" sheet="1" objects="1" scenarios="1"/>
  <mergeCells count="102">
    <mergeCell ref="C1:K1"/>
    <mergeCell ref="D3:K3"/>
    <mergeCell ref="D4:K4"/>
    <mergeCell ref="D5:K5"/>
    <mergeCell ref="C7:K7"/>
    <mergeCell ref="C8:K8"/>
    <mergeCell ref="D12:I12"/>
    <mergeCell ref="J12:K12"/>
    <mergeCell ref="C13:K13"/>
    <mergeCell ref="C14:K14"/>
    <mergeCell ref="D15:I15"/>
    <mergeCell ref="J15:K15"/>
    <mergeCell ref="D9:I9"/>
    <mergeCell ref="J9:K9"/>
    <mergeCell ref="D10:I10"/>
    <mergeCell ref="J10:K10"/>
    <mergeCell ref="D11:I11"/>
    <mergeCell ref="J11:K11"/>
    <mergeCell ref="C20:K20"/>
    <mergeCell ref="D22:I22"/>
    <mergeCell ref="J22:K22"/>
    <mergeCell ref="D23:I23"/>
    <mergeCell ref="J23:K23"/>
    <mergeCell ref="D24:I24"/>
    <mergeCell ref="J24:K24"/>
    <mergeCell ref="D16:I16"/>
    <mergeCell ref="J16:K16"/>
    <mergeCell ref="D17:I17"/>
    <mergeCell ref="J17:K17"/>
    <mergeCell ref="D18:I18"/>
    <mergeCell ref="J18:K18"/>
    <mergeCell ref="D25:I25"/>
    <mergeCell ref="J25:K25"/>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4"/>
    <mergeCell ref="K35:K36"/>
    <mergeCell ref="K39:K40"/>
    <mergeCell ref="K43:K44"/>
    <mergeCell ref="M31:M32"/>
    <mergeCell ref="A33:A34"/>
    <mergeCell ref="B33:B34"/>
    <mergeCell ref="C33:C34"/>
    <mergeCell ref="D33:D34"/>
    <mergeCell ref="I33:I34"/>
    <mergeCell ref="J33:J34"/>
    <mergeCell ref="K33:K34"/>
    <mergeCell ref="M33:M34"/>
    <mergeCell ref="M35:M36"/>
    <mergeCell ref="A37:A38"/>
    <mergeCell ref="B37:B38"/>
    <mergeCell ref="C37:C38"/>
    <mergeCell ref="D37:D38"/>
    <mergeCell ref="I37:I38"/>
    <mergeCell ref="J37:J38"/>
    <mergeCell ref="K37:K38"/>
    <mergeCell ref="M37:M38"/>
    <mergeCell ref="A35:A36"/>
    <mergeCell ref="B35:B36"/>
    <mergeCell ref="C35:C36"/>
    <mergeCell ref="D35:D36"/>
    <mergeCell ref="I35:I36"/>
    <mergeCell ref="J35:J36"/>
    <mergeCell ref="M39:M40"/>
    <mergeCell ref="A41:A42"/>
    <mergeCell ref="B41:B42"/>
    <mergeCell ref="C41:C42"/>
    <mergeCell ref="D41:D42"/>
    <mergeCell ref="I41:I42"/>
    <mergeCell ref="J41:J42"/>
    <mergeCell ref="K41:K42"/>
    <mergeCell ref="M41:M42"/>
    <mergeCell ref="A39:A40"/>
    <mergeCell ref="B39:B40"/>
    <mergeCell ref="C39:C40"/>
    <mergeCell ref="D39:D40"/>
    <mergeCell ref="I39:I40"/>
    <mergeCell ref="J39:J40"/>
    <mergeCell ref="M43:M44"/>
    <mergeCell ref="E45:G45"/>
    <mergeCell ref="I45:K45"/>
    <mergeCell ref="A43:A44"/>
    <mergeCell ref="B43:B44"/>
    <mergeCell ref="C43:C44"/>
    <mergeCell ref="D43:D44"/>
    <mergeCell ref="I43:I44"/>
    <mergeCell ref="J43:J44"/>
  </mergeCells>
  <conditionalFormatting sqref="J10:J12">
    <cfRule type="cellIs" dxfId="263" priority="11" operator="equal">
      <formula>"CUMPLE"</formula>
    </cfRule>
  </conditionalFormatting>
  <conditionalFormatting sqref="J16:J18">
    <cfRule type="cellIs" dxfId="262" priority="1" operator="equal">
      <formula>"CUMPLE"</formula>
    </cfRule>
  </conditionalFormatting>
  <conditionalFormatting sqref="J23:J25">
    <cfRule type="cellIs" dxfId="261" priority="3" operator="equal">
      <formula>"CUMPLE"</formula>
    </cfRule>
  </conditionalFormatting>
  <conditionalFormatting sqref="J31:J44">
    <cfRule type="cellIs" dxfId="260" priority="6" operator="equal">
      <formula>"CUMPLE"</formula>
    </cfRule>
    <cfRule type="cellIs" dxfId="259" priority="7" operator="equal">
      <formula>"NO CUMPLE"</formula>
    </cfRule>
  </conditionalFormatting>
  <conditionalFormatting sqref="J19:K19">
    <cfRule type="cellIs" dxfId="258" priority="10" operator="equal">
      <formula>"CUMPLE"</formula>
    </cfRule>
  </conditionalFormatting>
  <conditionalFormatting sqref="J26:K26">
    <cfRule type="cellIs" dxfId="257" priority="2" operator="equal">
      <formula>"CUMPLE"</formula>
    </cfRule>
  </conditionalFormatting>
  <conditionalFormatting sqref="K31">
    <cfRule type="cellIs" dxfId="256" priority="20" operator="equal">
      <formula>"CUMPLE"</formula>
    </cfRule>
    <cfRule type="cellIs" dxfId="255" priority="21" operator="equal">
      <formula>"NO CUMPLE"</formula>
    </cfRule>
  </conditionalFormatting>
  <conditionalFormatting sqref="K33 K35 K39 K41">
    <cfRule type="cellIs" dxfId="254" priority="16" operator="equal">
      <formula>"CUMPLE"</formula>
    </cfRule>
    <cfRule type="cellIs" dxfId="253" priority="17" operator="equal">
      <formula>"NO CUMPLE"</formula>
    </cfRule>
  </conditionalFormatting>
  <conditionalFormatting sqref="K37">
    <cfRule type="cellIs" dxfId="252" priority="4" operator="equal">
      <formula>"CUMPLE"</formula>
    </cfRule>
    <cfRule type="cellIs" dxfId="251" priority="5" operator="equal">
      <formula>"NO CUMPLE"</formula>
    </cfRule>
  </conditionalFormatting>
  <conditionalFormatting sqref="K43">
    <cfRule type="cellIs" dxfId="250" priority="8" operator="equal">
      <formula>"CUMPLE"</formula>
    </cfRule>
    <cfRule type="cellIs" dxfId="249" priority="9" operator="equal">
      <formula>"NO CUMPLE"</formula>
    </cfRule>
  </conditionalFormatting>
  <conditionalFormatting sqref="M10:M12">
    <cfRule type="cellIs" dxfId="248" priority="14" operator="equal">
      <formula>"CUMPLE"</formula>
    </cfRule>
    <cfRule type="cellIs" dxfId="247" priority="15" operator="equal">
      <formula>"NO CUMPLE"</formula>
    </cfRule>
  </conditionalFormatting>
  <conditionalFormatting sqref="M16:M19 M23:M26">
    <cfRule type="cellIs" dxfId="246" priority="12" operator="equal">
      <formula>"CUMPLE"</formula>
    </cfRule>
    <cfRule type="cellIs" dxfId="245" priority="13" operator="equal">
      <formula>"NO CUMPLE"</formula>
    </cfRule>
  </conditionalFormatting>
  <conditionalFormatting sqref="M31 M33 M35 M37 M39 M41 M43">
    <cfRule type="cellIs" dxfId="244" priority="18" operator="equal">
      <formula>"CUMPLE"</formula>
    </cfRule>
    <cfRule type="cellIs" dxfId="243" priority="19" operator="equal">
      <formula>"NO CUMPLE"</formula>
    </cfRule>
  </conditionalFormatting>
  <pageMargins left="0.70866141732283472" right="0.70866141732283472" top="0.74803149606299213" bottom="0.74803149606299213" header="0.31496062992125984" footer="0.31496062992125984"/>
  <pageSetup scale="33"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588FD-0DCE-45A1-9ED6-C1A402809D07}">
  <sheetPr>
    <tabColor rgb="FF92D050"/>
    <pageSetUpPr fitToPage="1"/>
  </sheetPr>
  <dimension ref="A1:BN145"/>
  <sheetViews>
    <sheetView showGridLines="0" topLeftCell="E14" zoomScale="70" zoomScaleNormal="70" workbookViewId="0">
      <selection activeCell="K15" sqref="K15"/>
    </sheetView>
  </sheetViews>
  <sheetFormatPr baseColWidth="10" defaultColWidth="11.42578125" defaultRowHeight="15"/>
  <cols>
    <col min="2" max="2" width="8.5703125" customWidth="1"/>
    <col min="3" max="3" width="8" customWidth="1"/>
    <col min="4" max="4" width="23.85546875" bestFit="1" customWidth="1"/>
    <col min="5" max="5" width="64.140625" customWidth="1"/>
    <col min="6" max="6" width="19.140625" bestFit="1" customWidth="1"/>
    <col min="7" max="7" width="13.7109375" bestFit="1" customWidth="1"/>
    <col min="8" max="8" width="27" customWidth="1"/>
    <col min="9" max="10" width="32.140625" customWidth="1"/>
    <col min="11" max="11" width="19.5703125" customWidth="1"/>
    <col min="12" max="12" width="18.7109375" bestFit="1" customWidth="1"/>
    <col min="13" max="13" width="19.42578125" customWidth="1"/>
    <col min="14" max="14" width="20.7109375" customWidth="1"/>
    <col min="15" max="15" width="10.5703125" customWidth="1"/>
    <col min="16" max="16" width="20.7109375" customWidth="1"/>
    <col min="17" max="17" width="19.28515625" customWidth="1"/>
    <col min="18" max="18" width="20.28515625" customWidth="1"/>
    <col min="19" max="19" width="20.85546875" customWidth="1"/>
    <col min="20" max="20" width="22" customWidth="1"/>
    <col min="21" max="21" width="20.140625" bestFit="1" customWidth="1"/>
    <col min="22" max="22" width="18.5703125" bestFit="1" customWidth="1"/>
  </cols>
  <sheetData>
    <row r="1" spans="1:66" ht="15" customHeight="1">
      <c r="A1" s="330"/>
      <c r="B1" s="331"/>
      <c r="C1" s="331"/>
      <c r="D1" s="332"/>
      <c r="E1" s="339" t="s">
        <v>70</v>
      </c>
      <c r="F1" s="340"/>
      <c r="G1" s="340"/>
      <c r="H1" s="340"/>
      <c r="I1" s="340"/>
      <c r="J1" s="341"/>
    </row>
    <row r="2" spans="1:66">
      <c r="A2" s="333"/>
      <c r="B2" s="334"/>
      <c r="C2" s="334"/>
      <c r="D2" s="335"/>
      <c r="E2" s="342"/>
      <c r="F2" s="343"/>
      <c r="G2" s="343"/>
      <c r="H2" s="343"/>
      <c r="I2" s="343"/>
      <c r="J2" s="344"/>
    </row>
    <row r="3" spans="1:66">
      <c r="A3" s="333"/>
      <c r="B3" s="334"/>
      <c r="C3" s="334"/>
      <c r="D3" s="335"/>
      <c r="E3" s="342"/>
      <c r="F3" s="343"/>
      <c r="G3" s="343"/>
      <c r="H3" s="343"/>
      <c r="I3" s="343"/>
      <c r="J3" s="344"/>
    </row>
    <row r="4" spans="1:66" ht="38.25" customHeight="1" thickBot="1">
      <c r="A4" s="336"/>
      <c r="B4" s="337"/>
      <c r="C4" s="337"/>
      <c r="D4" s="338"/>
      <c r="E4" s="345"/>
      <c r="F4" s="346"/>
      <c r="G4" s="346"/>
      <c r="H4" s="346"/>
      <c r="I4" s="346"/>
      <c r="J4" s="347"/>
    </row>
    <row r="5" spans="1:66" ht="42" customHeight="1" thickBot="1">
      <c r="A5" s="348" t="s">
        <v>71</v>
      </c>
      <c r="B5" s="349"/>
      <c r="C5" s="349"/>
      <c r="D5" s="349"/>
      <c r="E5" s="349"/>
      <c r="F5" s="349"/>
      <c r="G5" s="349"/>
      <c r="H5" s="349"/>
      <c r="I5" s="349"/>
      <c r="J5" s="349"/>
    </row>
    <row r="6" spans="1:66" ht="34.5" customHeight="1" thickBot="1">
      <c r="A6" s="317" t="s">
        <v>72</v>
      </c>
      <c r="B6" s="318"/>
      <c r="C6" s="318"/>
      <c r="D6" s="319"/>
      <c r="E6" s="329" t="s">
        <v>280</v>
      </c>
      <c r="F6" s="321"/>
      <c r="G6" s="321"/>
      <c r="H6" s="321"/>
      <c r="I6" s="321"/>
      <c r="J6" s="322"/>
    </row>
    <row r="7" spans="1:66" ht="53.25" customHeight="1" thickBot="1">
      <c r="A7" s="317" t="s">
        <v>73</v>
      </c>
      <c r="B7" s="318"/>
      <c r="C7" s="318"/>
      <c r="D7" s="319"/>
      <c r="E7" s="350" t="s">
        <v>74</v>
      </c>
      <c r="F7" s="351"/>
      <c r="G7" s="351"/>
      <c r="H7" s="351"/>
      <c r="I7" s="351"/>
      <c r="J7" s="352"/>
    </row>
    <row r="8" spans="1:66" ht="27" customHeight="1" thickBot="1">
      <c r="A8" s="317" t="s">
        <v>75</v>
      </c>
      <c r="B8" s="318"/>
      <c r="C8" s="318"/>
      <c r="D8" s="319"/>
      <c r="E8" s="329" t="s">
        <v>281</v>
      </c>
      <c r="F8" s="321"/>
      <c r="G8" s="321"/>
      <c r="H8" s="321"/>
      <c r="I8" s="321"/>
      <c r="J8" s="322"/>
    </row>
    <row r="9" spans="1:66" ht="27" customHeight="1" thickBot="1">
      <c r="A9" s="317" t="s">
        <v>77</v>
      </c>
      <c r="B9" s="318"/>
      <c r="C9" s="318"/>
      <c r="D9" s="319"/>
      <c r="E9" s="329" t="s">
        <v>282</v>
      </c>
      <c r="F9" s="321"/>
      <c r="G9" s="321"/>
      <c r="H9" s="321"/>
      <c r="I9" s="321"/>
      <c r="J9" s="322"/>
    </row>
    <row r="10" spans="1:66" ht="27" customHeight="1" thickBot="1">
      <c r="A10" s="317" t="s">
        <v>79</v>
      </c>
      <c r="B10" s="318"/>
      <c r="C10" s="318"/>
      <c r="D10" s="319"/>
      <c r="E10" s="329" t="s">
        <v>283</v>
      </c>
      <c r="F10" s="321"/>
      <c r="G10" s="321"/>
      <c r="H10" s="321"/>
      <c r="I10" s="321"/>
      <c r="J10" s="322"/>
    </row>
    <row r="11" spans="1:66" ht="27" customHeight="1" thickBot="1">
      <c r="A11" s="317" t="s">
        <v>81</v>
      </c>
      <c r="B11" s="318"/>
      <c r="C11" s="318"/>
      <c r="D11" s="319"/>
      <c r="E11" s="329" t="s">
        <v>284</v>
      </c>
      <c r="F11" s="321"/>
      <c r="G11" s="321"/>
      <c r="H11" s="321"/>
      <c r="I11" s="321"/>
      <c r="J11" s="322"/>
    </row>
    <row r="12" spans="1:66" ht="225.75" customHeight="1" thickBot="1">
      <c r="A12" s="323" t="s">
        <v>82</v>
      </c>
      <c r="B12" s="324"/>
      <c r="C12" s="324"/>
      <c r="D12" s="324"/>
      <c r="E12" s="324"/>
      <c r="F12" s="324"/>
      <c r="G12" s="324"/>
      <c r="H12" s="324"/>
      <c r="I12" s="324"/>
      <c r="J12" s="325"/>
    </row>
    <row r="13" spans="1:66" ht="12.75" customHeight="1"/>
    <row r="14" spans="1:66" ht="48" customHeight="1">
      <c r="A14" s="326" t="s">
        <v>83</v>
      </c>
      <c r="B14" s="326"/>
      <c r="C14" s="326" t="s">
        <v>84</v>
      </c>
      <c r="D14" s="326"/>
      <c r="E14" s="326"/>
      <c r="F14" s="327" t="s">
        <v>85</v>
      </c>
      <c r="G14" s="327" t="s">
        <v>86</v>
      </c>
      <c r="H14" s="327" t="s">
        <v>87</v>
      </c>
      <c r="I14" s="328" t="s">
        <v>88</v>
      </c>
      <c r="J14" s="328"/>
      <c r="BN14" s="84"/>
    </row>
    <row r="15" spans="1:66" ht="48.75" customHeight="1">
      <c r="A15" s="326"/>
      <c r="B15" s="326"/>
      <c r="C15" s="326"/>
      <c r="D15" s="326"/>
      <c r="E15" s="326"/>
      <c r="F15" s="327"/>
      <c r="G15" s="327"/>
      <c r="H15" s="327"/>
      <c r="I15" s="85" t="s">
        <v>89</v>
      </c>
      <c r="J15" s="85" t="s">
        <v>90</v>
      </c>
      <c r="K15" s="132" t="s">
        <v>91</v>
      </c>
      <c r="L15" s="132" t="s">
        <v>92</v>
      </c>
      <c r="BN15" s="84"/>
    </row>
    <row r="16" spans="1:66" ht="60.75" customHeight="1">
      <c r="A16" s="310" t="s">
        <v>93</v>
      </c>
      <c r="B16" s="310"/>
      <c r="C16" s="303" t="s">
        <v>94</v>
      </c>
      <c r="D16" s="303"/>
      <c r="E16" s="303"/>
      <c r="F16" s="86" t="s">
        <v>95</v>
      </c>
      <c r="G16" s="87">
        <v>2000</v>
      </c>
      <c r="H16" s="88">
        <v>16341</v>
      </c>
      <c r="I16" s="88">
        <v>15747</v>
      </c>
      <c r="J16" s="88">
        <f>+ROUND(I16*G16,0)</f>
        <v>31494000</v>
      </c>
      <c r="K16" s="133">
        <f>+I16-H16</f>
        <v>-594</v>
      </c>
      <c r="L16" s="134">
        <f>+I16/H16</f>
        <v>0.96364971543969158</v>
      </c>
      <c r="BN16" s="89"/>
    </row>
    <row r="17" spans="1:66" ht="60.75" customHeight="1">
      <c r="A17" s="310" t="s">
        <v>96</v>
      </c>
      <c r="B17" s="310"/>
      <c r="C17" s="303" t="s">
        <v>97</v>
      </c>
      <c r="D17" s="303"/>
      <c r="E17" s="303"/>
      <c r="F17" s="86" t="s">
        <v>98</v>
      </c>
      <c r="G17" s="87">
        <v>300</v>
      </c>
      <c r="H17" s="88">
        <v>43227</v>
      </c>
      <c r="I17" s="88">
        <v>41656</v>
      </c>
      <c r="J17" s="88">
        <f t="shared" ref="J17:J72" si="0">+ROUND(I17*G17,0)</f>
        <v>12496800</v>
      </c>
      <c r="K17" s="133">
        <f t="shared" ref="K17:K80" si="1">+I17-H17</f>
        <v>-1571</v>
      </c>
      <c r="L17" s="134">
        <f t="shared" ref="L17:L80" si="2">+I17/H17</f>
        <v>0.96365697365072756</v>
      </c>
      <c r="BN17" s="90"/>
    </row>
    <row r="18" spans="1:66" ht="60.75" customHeight="1">
      <c r="A18" s="310" t="s">
        <v>99</v>
      </c>
      <c r="B18" s="310"/>
      <c r="C18" s="303" t="s">
        <v>100</v>
      </c>
      <c r="D18" s="303"/>
      <c r="E18" s="303"/>
      <c r="F18" s="86" t="s">
        <v>98</v>
      </c>
      <c r="G18" s="87">
        <v>2332.42</v>
      </c>
      <c r="H18" s="88">
        <v>30375</v>
      </c>
      <c r="I18" s="88">
        <v>29271</v>
      </c>
      <c r="J18" s="88">
        <f t="shared" si="0"/>
        <v>68272266</v>
      </c>
      <c r="K18" s="133">
        <f t="shared" si="1"/>
        <v>-1104</v>
      </c>
      <c r="L18" s="134">
        <f t="shared" si="2"/>
        <v>0.96365432098765436</v>
      </c>
      <c r="BN18" s="89"/>
    </row>
    <row r="19" spans="1:66" ht="60.75" customHeight="1">
      <c r="A19" s="310" t="s">
        <v>101</v>
      </c>
      <c r="B19" s="310"/>
      <c r="C19" s="303" t="s">
        <v>102</v>
      </c>
      <c r="D19" s="303"/>
      <c r="E19" s="303"/>
      <c r="F19" s="86" t="s">
        <v>98</v>
      </c>
      <c r="G19" s="87">
        <v>2332.42</v>
      </c>
      <c r="H19" s="88">
        <v>64685</v>
      </c>
      <c r="I19" s="88">
        <v>62334</v>
      </c>
      <c r="J19" s="88">
        <f t="shared" si="0"/>
        <v>145389068</v>
      </c>
      <c r="K19" s="133">
        <f t="shared" si="1"/>
        <v>-2351</v>
      </c>
      <c r="L19" s="134">
        <f t="shared" si="2"/>
        <v>0.96365463399551676</v>
      </c>
      <c r="BN19" s="90"/>
    </row>
    <row r="20" spans="1:66" ht="60.75" customHeight="1">
      <c r="A20" s="310" t="s">
        <v>103</v>
      </c>
      <c r="B20" s="310"/>
      <c r="C20" s="303" t="s">
        <v>104</v>
      </c>
      <c r="D20" s="303"/>
      <c r="E20" s="303"/>
      <c r="F20" s="86" t="s">
        <v>98</v>
      </c>
      <c r="G20" s="87">
        <v>2332.42</v>
      </c>
      <c r="H20" s="88">
        <v>129968</v>
      </c>
      <c r="I20" s="88">
        <v>125244</v>
      </c>
      <c r="J20" s="88">
        <f t="shared" si="0"/>
        <v>292121610</v>
      </c>
      <c r="K20" s="133">
        <f t="shared" si="1"/>
        <v>-4724</v>
      </c>
      <c r="L20" s="134">
        <f t="shared" si="2"/>
        <v>0.96365259140711557</v>
      </c>
      <c r="BN20" s="90"/>
    </row>
    <row r="21" spans="1:66" ht="60.75" customHeight="1">
      <c r="A21" s="310" t="s">
        <v>105</v>
      </c>
      <c r="B21" s="310"/>
      <c r="C21" s="303" t="s">
        <v>106</v>
      </c>
      <c r="D21" s="303"/>
      <c r="E21" s="303"/>
      <c r="F21" s="86" t="s">
        <v>98</v>
      </c>
      <c r="G21" s="87">
        <v>150</v>
      </c>
      <c r="H21" s="88">
        <v>53922</v>
      </c>
      <c r="I21" s="88">
        <v>51962</v>
      </c>
      <c r="J21" s="88">
        <f t="shared" si="0"/>
        <v>7794300</v>
      </c>
      <c r="K21" s="133">
        <f t="shared" si="1"/>
        <v>-1960</v>
      </c>
      <c r="L21" s="134">
        <f t="shared" si="2"/>
        <v>0.96365119988131009</v>
      </c>
      <c r="BB21" s="91"/>
      <c r="BC21" s="92"/>
      <c r="BD21" s="91"/>
      <c r="BE21" s="91"/>
      <c r="BF21" s="93"/>
      <c r="BH21" s="91"/>
      <c r="BI21" s="92"/>
      <c r="BJ21" s="91"/>
      <c r="BK21" s="91"/>
      <c r="BL21" s="93"/>
      <c r="BN21" s="90"/>
    </row>
    <row r="22" spans="1:66" ht="60.75" customHeight="1">
      <c r="A22" s="310" t="s">
        <v>107</v>
      </c>
      <c r="B22" s="310"/>
      <c r="C22" s="303" t="s">
        <v>108</v>
      </c>
      <c r="D22" s="303"/>
      <c r="E22" s="303"/>
      <c r="F22" s="86" t="s">
        <v>98</v>
      </c>
      <c r="G22" s="87">
        <v>150</v>
      </c>
      <c r="H22" s="88">
        <v>305942</v>
      </c>
      <c r="I22" s="88">
        <v>294821</v>
      </c>
      <c r="J22" s="88">
        <f t="shared" si="0"/>
        <v>44223150</v>
      </c>
      <c r="K22" s="133">
        <f t="shared" si="1"/>
        <v>-11121</v>
      </c>
      <c r="L22" s="134">
        <f t="shared" si="2"/>
        <v>0.96364997287067489</v>
      </c>
      <c r="BB22" s="91"/>
      <c r="BC22" s="92"/>
      <c r="BD22" s="91"/>
      <c r="BE22" s="91"/>
      <c r="BF22" s="93"/>
      <c r="BH22" s="91"/>
      <c r="BI22" s="92"/>
      <c r="BJ22" s="91"/>
      <c r="BK22" s="91"/>
      <c r="BL22" s="93"/>
      <c r="BN22" s="90"/>
    </row>
    <row r="23" spans="1:66" ht="92.25" customHeight="1">
      <c r="A23" s="310" t="s">
        <v>109</v>
      </c>
      <c r="B23" s="310"/>
      <c r="C23" s="303" t="s">
        <v>110</v>
      </c>
      <c r="D23" s="303"/>
      <c r="E23" s="303"/>
      <c r="F23" s="86" t="s">
        <v>95</v>
      </c>
      <c r="G23" s="87">
        <v>231</v>
      </c>
      <c r="H23" s="88">
        <v>125271</v>
      </c>
      <c r="I23" s="88">
        <v>120717</v>
      </c>
      <c r="J23" s="88">
        <f t="shared" si="0"/>
        <v>27885627</v>
      </c>
      <c r="K23" s="133">
        <f t="shared" si="1"/>
        <v>-4554</v>
      </c>
      <c r="L23" s="134">
        <f t="shared" si="2"/>
        <v>0.9636468137078813</v>
      </c>
      <c r="BB23" s="91"/>
      <c r="BC23" s="92"/>
      <c r="BD23" s="91"/>
      <c r="BE23" s="91"/>
      <c r="BF23" s="93"/>
      <c r="BH23" s="91"/>
      <c r="BI23" s="92"/>
      <c r="BJ23" s="91"/>
      <c r="BK23" s="91"/>
      <c r="BL23" s="93"/>
      <c r="BN23" s="90"/>
    </row>
    <row r="24" spans="1:66" ht="60.75" customHeight="1">
      <c r="A24" s="310" t="s">
        <v>111</v>
      </c>
      <c r="B24" s="310"/>
      <c r="C24" s="303" t="s">
        <v>112</v>
      </c>
      <c r="D24" s="303"/>
      <c r="E24" s="303"/>
      <c r="F24" s="86" t="s">
        <v>113</v>
      </c>
      <c r="G24" s="87">
        <v>50</v>
      </c>
      <c r="H24" s="88">
        <v>88909</v>
      </c>
      <c r="I24" s="88">
        <v>85677</v>
      </c>
      <c r="J24" s="88">
        <f t="shared" si="0"/>
        <v>4283850</v>
      </c>
      <c r="K24" s="133">
        <f t="shared" si="1"/>
        <v>-3232</v>
      </c>
      <c r="L24" s="134">
        <f t="shared" si="2"/>
        <v>0.96364822458918664</v>
      </c>
      <c r="BB24" s="91"/>
      <c r="BC24" s="92"/>
      <c r="BD24" s="91"/>
      <c r="BE24" s="91"/>
      <c r="BF24" s="93"/>
      <c r="BH24" s="91"/>
      <c r="BI24" s="92"/>
      <c r="BJ24" s="91"/>
      <c r="BK24" s="91"/>
      <c r="BL24" s="93"/>
      <c r="BN24" s="90"/>
    </row>
    <row r="25" spans="1:66" ht="60.75" customHeight="1">
      <c r="A25" s="310" t="s">
        <v>114</v>
      </c>
      <c r="B25" s="310"/>
      <c r="C25" s="303" t="s">
        <v>115</v>
      </c>
      <c r="D25" s="303"/>
      <c r="E25" s="303"/>
      <c r="F25" s="86" t="s">
        <v>113</v>
      </c>
      <c r="G25" s="87">
        <v>50</v>
      </c>
      <c r="H25" s="88">
        <v>97000</v>
      </c>
      <c r="I25" s="88">
        <v>93474</v>
      </c>
      <c r="J25" s="88">
        <f t="shared" si="0"/>
        <v>4673700</v>
      </c>
      <c r="K25" s="133">
        <f t="shared" si="1"/>
        <v>-3526</v>
      </c>
      <c r="L25" s="134">
        <f t="shared" si="2"/>
        <v>0.96364948453608246</v>
      </c>
      <c r="BB25" s="91"/>
      <c r="BC25" s="92"/>
      <c r="BD25" s="91"/>
      <c r="BE25" s="91"/>
      <c r="BF25" s="93"/>
      <c r="BH25" s="91"/>
      <c r="BI25" s="92"/>
      <c r="BJ25" s="91"/>
      <c r="BK25" s="91"/>
      <c r="BL25" s="93"/>
      <c r="BN25" s="90"/>
    </row>
    <row r="26" spans="1:66" ht="60.75" customHeight="1">
      <c r="A26" s="302" t="s">
        <v>116</v>
      </c>
      <c r="B26" s="302"/>
      <c r="C26" s="303" t="s">
        <v>117</v>
      </c>
      <c r="D26" s="303"/>
      <c r="E26" s="303"/>
      <c r="F26" s="94" t="s">
        <v>98</v>
      </c>
      <c r="G26" s="95">
        <v>80</v>
      </c>
      <c r="H26" s="88">
        <v>38338</v>
      </c>
      <c r="I26" s="88">
        <v>36944</v>
      </c>
      <c r="J26" s="88">
        <f t="shared" si="0"/>
        <v>2955520</v>
      </c>
      <c r="K26" s="133">
        <f t="shared" si="1"/>
        <v>-1394</v>
      </c>
      <c r="L26" s="134">
        <f t="shared" si="2"/>
        <v>0.96363920913975687</v>
      </c>
    </row>
    <row r="27" spans="1:66" ht="60.75" customHeight="1">
      <c r="A27" s="302" t="s">
        <v>118</v>
      </c>
      <c r="B27" s="302"/>
      <c r="C27" s="303" t="s">
        <v>119</v>
      </c>
      <c r="D27" s="303"/>
      <c r="E27" s="303"/>
      <c r="F27" s="94" t="s">
        <v>98</v>
      </c>
      <c r="G27" s="95">
        <v>1800</v>
      </c>
      <c r="H27" s="88">
        <v>35000</v>
      </c>
      <c r="I27" s="88">
        <v>33728</v>
      </c>
      <c r="J27" s="88">
        <f t="shared" si="0"/>
        <v>60710400</v>
      </c>
      <c r="K27" s="133">
        <f t="shared" si="1"/>
        <v>-1272</v>
      </c>
      <c r="L27" s="134">
        <f t="shared" si="2"/>
        <v>0.96365714285714288</v>
      </c>
    </row>
    <row r="28" spans="1:66" ht="60.75" customHeight="1">
      <c r="A28" s="302" t="s">
        <v>120</v>
      </c>
      <c r="B28" s="302"/>
      <c r="C28" s="303" t="s">
        <v>121</v>
      </c>
      <c r="D28" s="303"/>
      <c r="E28" s="303"/>
      <c r="F28" s="94" t="s">
        <v>98</v>
      </c>
      <c r="G28" s="95">
        <v>80</v>
      </c>
      <c r="H28" s="88">
        <v>96707</v>
      </c>
      <c r="I28" s="88">
        <v>93192</v>
      </c>
      <c r="J28" s="88">
        <f t="shared" si="0"/>
        <v>7455360</v>
      </c>
      <c r="K28" s="133">
        <f t="shared" si="1"/>
        <v>-3515</v>
      </c>
      <c r="L28" s="134">
        <f t="shared" si="2"/>
        <v>0.96365309646664665</v>
      </c>
    </row>
    <row r="29" spans="1:66" ht="60.75" customHeight="1">
      <c r="A29" s="302" t="s">
        <v>122</v>
      </c>
      <c r="B29" s="302"/>
      <c r="C29" s="303" t="s">
        <v>123</v>
      </c>
      <c r="D29" s="303"/>
      <c r="E29" s="303"/>
      <c r="F29" s="94" t="s">
        <v>98</v>
      </c>
      <c r="G29" s="95">
        <v>80</v>
      </c>
      <c r="H29" s="88">
        <v>130500</v>
      </c>
      <c r="I29" s="88">
        <v>125756</v>
      </c>
      <c r="J29" s="88">
        <f t="shared" si="0"/>
        <v>10060480</v>
      </c>
      <c r="K29" s="133">
        <f t="shared" si="1"/>
        <v>-4744</v>
      </c>
      <c r="L29" s="134">
        <f t="shared" si="2"/>
        <v>0.96364750957854406</v>
      </c>
    </row>
    <row r="30" spans="1:66" ht="60.75" customHeight="1">
      <c r="A30" s="310" t="s">
        <v>124</v>
      </c>
      <c r="B30" s="310"/>
      <c r="C30" s="303" t="s">
        <v>125</v>
      </c>
      <c r="D30" s="303"/>
      <c r="E30" s="303"/>
      <c r="F30" s="94" t="s">
        <v>113</v>
      </c>
      <c r="G30" s="95">
        <v>100</v>
      </c>
      <c r="H30" s="88">
        <v>1233196</v>
      </c>
      <c r="I30" s="88">
        <v>1188369</v>
      </c>
      <c r="J30" s="88">
        <f t="shared" si="0"/>
        <v>118836900</v>
      </c>
      <c r="K30" s="133">
        <f t="shared" si="1"/>
        <v>-44827</v>
      </c>
      <c r="L30" s="134">
        <f t="shared" si="2"/>
        <v>0.96364973613278015</v>
      </c>
    </row>
    <row r="31" spans="1:66" ht="60.75" customHeight="1">
      <c r="A31" s="310" t="s">
        <v>126</v>
      </c>
      <c r="B31" s="310"/>
      <c r="C31" s="303" t="s">
        <v>127</v>
      </c>
      <c r="D31" s="303"/>
      <c r="E31" s="303"/>
      <c r="F31" s="94" t="s">
        <v>113</v>
      </c>
      <c r="G31" s="95">
        <v>85</v>
      </c>
      <c r="H31" s="88">
        <v>749188</v>
      </c>
      <c r="I31" s="88">
        <v>721955</v>
      </c>
      <c r="J31" s="88">
        <f t="shared" si="0"/>
        <v>61366175</v>
      </c>
      <c r="K31" s="133">
        <f t="shared" si="1"/>
        <v>-27233</v>
      </c>
      <c r="L31" s="134">
        <f t="shared" si="2"/>
        <v>0.96364997837658906</v>
      </c>
    </row>
    <row r="32" spans="1:66" ht="60.75" customHeight="1">
      <c r="A32" s="310" t="s">
        <v>128</v>
      </c>
      <c r="B32" s="310"/>
      <c r="C32" s="303" t="s">
        <v>129</v>
      </c>
      <c r="D32" s="303"/>
      <c r="E32" s="303"/>
      <c r="F32" s="94" t="s">
        <v>113</v>
      </c>
      <c r="G32" s="95">
        <v>20</v>
      </c>
      <c r="H32" s="88">
        <v>1242026</v>
      </c>
      <c r="I32" s="88">
        <v>1196878</v>
      </c>
      <c r="J32" s="88">
        <f t="shared" si="0"/>
        <v>23937560</v>
      </c>
      <c r="K32" s="133">
        <f t="shared" si="1"/>
        <v>-45148</v>
      </c>
      <c r="L32" s="134">
        <f t="shared" si="2"/>
        <v>0.96364971425718948</v>
      </c>
    </row>
    <row r="33" spans="1:12" ht="60.75" customHeight="1">
      <c r="A33" s="310" t="s">
        <v>130</v>
      </c>
      <c r="B33" s="310"/>
      <c r="C33" s="303" t="s">
        <v>131</v>
      </c>
      <c r="D33" s="303"/>
      <c r="E33" s="303"/>
      <c r="F33" s="94" t="s">
        <v>98</v>
      </c>
      <c r="G33" s="95">
        <v>45</v>
      </c>
      <c r="H33" s="88">
        <v>40656</v>
      </c>
      <c r="I33" s="88">
        <v>39178</v>
      </c>
      <c r="J33" s="88">
        <f t="shared" si="0"/>
        <v>1763010</v>
      </c>
      <c r="K33" s="133">
        <f t="shared" si="1"/>
        <v>-1478</v>
      </c>
      <c r="L33" s="134">
        <f t="shared" si="2"/>
        <v>0.96364620228256592</v>
      </c>
    </row>
    <row r="34" spans="1:12" ht="60.75" customHeight="1">
      <c r="A34" s="310" t="s">
        <v>132</v>
      </c>
      <c r="B34" s="310"/>
      <c r="C34" s="303" t="s">
        <v>133</v>
      </c>
      <c r="D34" s="303"/>
      <c r="E34" s="303"/>
      <c r="F34" s="94" t="s">
        <v>98</v>
      </c>
      <c r="G34" s="95">
        <v>45</v>
      </c>
      <c r="H34" s="88">
        <v>1032471</v>
      </c>
      <c r="I34" s="88">
        <v>994941</v>
      </c>
      <c r="J34" s="88">
        <f t="shared" si="0"/>
        <v>44772345</v>
      </c>
      <c r="K34" s="133">
        <f t="shared" si="1"/>
        <v>-37530</v>
      </c>
      <c r="L34" s="134">
        <f t="shared" si="2"/>
        <v>0.96365031075933372</v>
      </c>
    </row>
    <row r="35" spans="1:12" ht="60.75" customHeight="1">
      <c r="A35" s="310" t="s">
        <v>134</v>
      </c>
      <c r="B35" s="310"/>
      <c r="C35" s="303" t="s">
        <v>135</v>
      </c>
      <c r="D35" s="303"/>
      <c r="E35" s="303"/>
      <c r="F35" s="94" t="s">
        <v>113</v>
      </c>
      <c r="G35" s="95">
        <v>275</v>
      </c>
      <c r="H35" s="88">
        <v>112609</v>
      </c>
      <c r="I35" s="88">
        <v>108516</v>
      </c>
      <c r="J35" s="88">
        <f t="shared" si="0"/>
        <v>29841900</v>
      </c>
      <c r="K35" s="133">
        <f t="shared" si="1"/>
        <v>-4093</v>
      </c>
      <c r="L35" s="134">
        <f t="shared" si="2"/>
        <v>0.96365299398804716</v>
      </c>
    </row>
    <row r="36" spans="1:12" ht="60.75" customHeight="1">
      <c r="A36" s="310" t="s">
        <v>136</v>
      </c>
      <c r="B36" s="310"/>
      <c r="C36" s="303" t="s">
        <v>137</v>
      </c>
      <c r="D36" s="303"/>
      <c r="E36" s="303"/>
      <c r="F36" s="94" t="s">
        <v>113</v>
      </c>
      <c r="G36" s="95">
        <v>1</v>
      </c>
      <c r="H36" s="88">
        <v>131148</v>
      </c>
      <c r="I36" s="88">
        <v>126381</v>
      </c>
      <c r="J36" s="88">
        <f t="shared" si="0"/>
        <v>126381</v>
      </c>
      <c r="K36" s="133">
        <f t="shared" si="1"/>
        <v>-4767</v>
      </c>
      <c r="L36" s="134">
        <f t="shared" si="2"/>
        <v>0.96365175221886723</v>
      </c>
    </row>
    <row r="37" spans="1:12" ht="60.75" customHeight="1">
      <c r="A37" s="310" t="s">
        <v>138</v>
      </c>
      <c r="B37" s="310"/>
      <c r="C37" s="303" t="s">
        <v>139</v>
      </c>
      <c r="D37" s="303"/>
      <c r="E37" s="303"/>
      <c r="F37" s="94" t="s">
        <v>113</v>
      </c>
      <c r="G37" s="95">
        <v>1</v>
      </c>
      <c r="H37" s="88">
        <v>1224745</v>
      </c>
      <c r="I37" s="88">
        <v>1180226</v>
      </c>
      <c r="J37" s="88">
        <f t="shared" si="0"/>
        <v>1180226</v>
      </c>
      <c r="K37" s="133">
        <f t="shared" si="1"/>
        <v>-44519</v>
      </c>
      <c r="L37" s="134">
        <f t="shared" si="2"/>
        <v>0.96365039253069007</v>
      </c>
    </row>
    <row r="38" spans="1:12" ht="60.75" customHeight="1">
      <c r="A38" s="310" t="s">
        <v>140</v>
      </c>
      <c r="B38" s="310"/>
      <c r="C38" s="303" t="s">
        <v>141</v>
      </c>
      <c r="D38" s="303"/>
      <c r="E38" s="303"/>
      <c r="F38" s="94" t="s">
        <v>98</v>
      </c>
      <c r="G38" s="95">
        <v>4500</v>
      </c>
      <c r="H38" s="88">
        <v>34663</v>
      </c>
      <c r="I38" s="88">
        <v>33403</v>
      </c>
      <c r="J38" s="88">
        <f t="shared" si="0"/>
        <v>150313500</v>
      </c>
      <c r="K38" s="133">
        <f t="shared" si="1"/>
        <v>-1260</v>
      </c>
      <c r="L38" s="134">
        <f t="shared" si="2"/>
        <v>0.96365000144246027</v>
      </c>
    </row>
    <row r="39" spans="1:12" ht="60.75" customHeight="1">
      <c r="A39" s="314" t="s">
        <v>142</v>
      </c>
      <c r="B39" s="315"/>
      <c r="C39" s="315"/>
      <c r="D39" s="315"/>
      <c r="E39" s="315"/>
      <c r="F39" s="315"/>
      <c r="G39" s="315"/>
      <c r="H39" s="315"/>
      <c r="I39" s="316"/>
      <c r="J39" s="96">
        <f>SUM(J16:J38)</f>
        <v>1151954128</v>
      </c>
      <c r="K39" s="133">
        <f t="shared" si="1"/>
        <v>0</v>
      </c>
      <c r="L39" s="134" t="e">
        <f t="shared" si="2"/>
        <v>#DIV/0!</v>
      </c>
    </row>
    <row r="40" spans="1:12" ht="60.75" customHeight="1">
      <c r="A40" s="310" t="s">
        <v>93</v>
      </c>
      <c r="B40" s="310"/>
      <c r="C40" s="303" t="s">
        <v>143</v>
      </c>
      <c r="D40" s="303"/>
      <c r="E40" s="303"/>
      <c r="F40" s="94" t="s">
        <v>98</v>
      </c>
      <c r="G40" s="95">
        <v>250</v>
      </c>
      <c r="H40" s="88">
        <v>49033</v>
      </c>
      <c r="I40" s="88">
        <v>47251</v>
      </c>
      <c r="J40" s="88">
        <f t="shared" si="0"/>
        <v>11812750</v>
      </c>
      <c r="K40" s="133">
        <f t="shared" si="1"/>
        <v>-1782</v>
      </c>
      <c r="L40" s="134">
        <f t="shared" si="2"/>
        <v>0.96365712887239208</v>
      </c>
    </row>
    <row r="41" spans="1:12" ht="60.75" customHeight="1">
      <c r="A41" s="310" t="s">
        <v>96</v>
      </c>
      <c r="B41" s="310"/>
      <c r="C41" s="303" t="s">
        <v>144</v>
      </c>
      <c r="D41" s="303"/>
      <c r="E41" s="303"/>
      <c r="F41" s="94" t="s">
        <v>98</v>
      </c>
      <c r="G41" s="95">
        <v>61</v>
      </c>
      <c r="H41" s="88">
        <v>50667</v>
      </c>
      <c r="I41" s="88">
        <v>48825</v>
      </c>
      <c r="J41" s="88">
        <f t="shared" si="0"/>
        <v>2978325</v>
      </c>
      <c r="K41" s="133">
        <f t="shared" si="1"/>
        <v>-1842</v>
      </c>
      <c r="L41" s="134">
        <f t="shared" si="2"/>
        <v>0.96364497601989463</v>
      </c>
    </row>
    <row r="42" spans="1:12" ht="60.75" customHeight="1">
      <c r="A42" s="310" t="s">
        <v>145</v>
      </c>
      <c r="B42" s="310"/>
      <c r="C42" s="303" t="s">
        <v>117</v>
      </c>
      <c r="D42" s="303"/>
      <c r="E42" s="303"/>
      <c r="F42" s="94" t="s">
        <v>98</v>
      </c>
      <c r="G42" s="95">
        <v>1070</v>
      </c>
      <c r="H42" s="88">
        <v>36183</v>
      </c>
      <c r="I42" s="88">
        <v>34868</v>
      </c>
      <c r="J42" s="88">
        <f t="shared" si="0"/>
        <v>37308760</v>
      </c>
      <c r="K42" s="133">
        <f t="shared" si="1"/>
        <v>-1315</v>
      </c>
      <c r="L42" s="134">
        <f t="shared" si="2"/>
        <v>0.96365696597849815</v>
      </c>
    </row>
    <row r="43" spans="1:12" ht="60.75" customHeight="1">
      <c r="A43" s="310" t="s">
        <v>146</v>
      </c>
      <c r="B43" s="310"/>
      <c r="C43" s="303" t="s">
        <v>147</v>
      </c>
      <c r="D43" s="303"/>
      <c r="E43" s="303"/>
      <c r="F43" s="94" t="s">
        <v>148</v>
      </c>
      <c r="G43" s="95">
        <v>1</v>
      </c>
      <c r="H43" s="88">
        <v>13063210</v>
      </c>
      <c r="I43" s="88">
        <v>12588362</v>
      </c>
      <c r="J43" s="88">
        <f t="shared" si="0"/>
        <v>12588362</v>
      </c>
      <c r="K43" s="133">
        <f t="shared" si="1"/>
        <v>-474848</v>
      </c>
      <c r="L43" s="134">
        <f t="shared" si="2"/>
        <v>0.96364997577165179</v>
      </c>
    </row>
    <row r="44" spans="1:12" ht="60.75" customHeight="1">
      <c r="A44" s="310" t="s">
        <v>149</v>
      </c>
      <c r="B44" s="310"/>
      <c r="C44" s="303" t="s">
        <v>150</v>
      </c>
      <c r="D44" s="303"/>
      <c r="E44" s="303"/>
      <c r="F44" s="94" t="s">
        <v>113</v>
      </c>
      <c r="G44" s="95">
        <v>135</v>
      </c>
      <c r="H44" s="88">
        <v>96339</v>
      </c>
      <c r="I44" s="88">
        <v>92837</v>
      </c>
      <c r="J44" s="88">
        <f t="shared" si="0"/>
        <v>12532995</v>
      </c>
      <c r="K44" s="133">
        <f t="shared" si="1"/>
        <v>-3502</v>
      </c>
      <c r="L44" s="134">
        <f t="shared" si="2"/>
        <v>0.96364919710605257</v>
      </c>
    </row>
    <row r="45" spans="1:12" ht="60.75" customHeight="1">
      <c r="A45" s="310" t="s">
        <v>151</v>
      </c>
      <c r="B45" s="310"/>
      <c r="C45" s="303" t="s">
        <v>152</v>
      </c>
      <c r="D45" s="303"/>
      <c r="E45" s="303"/>
      <c r="F45" s="94" t="s">
        <v>98</v>
      </c>
      <c r="G45" s="95">
        <v>78</v>
      </c>
      <c r="H45" s="88">
        <v>95199</v>
      </c>
      <c r="I45" s="88">
        <v>91739</v>
      </c>
      <c r="J45" s="88">
        <f t="shared" si="0"/>
        <v>7155642</v>
      </c>
      <c r="K45" s="133">
        <f t="shared" si="1"/>
        <v>-3460</v>
      </c>
      <c r="L45" s="134">
        <f t="shared" si="2"/>
        <v>0.96365508041050851</v>
      </c>
    </row>
    <row r="46" spans="1:12" ht="60.75" customHeight="1">
      <c r="A46" s="310" t="s">
        <v>99</v>
      </c>
      <c r="B46" s="310"/>
      <c r="C46" s="303" t="s">
        <v>153</v>
      </c>
      <c r="D46" s="303"/>
      <c r="E46" s="303"/>
      <c r="F46" s="94" t="s">
        <v>95</v>
      </c>
      <c r="G46" s="95">
        <v>100</v>
      </c>
      <c r="H46" s="88">
        <v>203925</v>
      </c>
      <c r="I46" s="88">
        <v>196512</v>
      </c>
      <c r="J46" s="88">
        <f t="shared" si="0"/>
        <v>19651200</v>
      </c>
      <c r="K46" s="133">
        <f t="shared" si="1"/>
        <v>-7413</v>
      </c>
      <c r="L46" s="134">
        <f t="shared" si="2"/>
        <v>0.96364840014711295</v>
      </c>
    </row>
    <row r="47" spans="1:12" ht="60.75" customHeight="1">
      <c r="A47" s="310" t="s">
        <v>101</v>
      </c>
      <c r="B47" s="310"/>
      <c r="C47" s="303" t="s">
        <v>154</v>
      </c>
      <c r="D47" s="303"/>
      <c r="E47" s="303"/>
      <c r="F47" s="94" t="s">
        <v>95</v>
      </c>
      <c r="G47" s="95">
        <v>130</v>
      </c>
      <c r="H47" s="88">
        <v>186288</v>
      </c>
      <c r="I47" s="88">
        <v>179516</v>
      </c>
      <c r="J47" s="88">
        <f t="shared" si="0"/>
        <v>23337080</v>
      </c>
      <c r="K47" s="133">
        <f t="shared" si="1"/>
        <v>-6772</v>
      </c>
      <c r="L47" s="134">
        <f t="shared" si="2"/>
        <v>0.96364768530447475</v>
      </c>
    </row>
    <row r="48" spans="1:12" ht="60.75" customHeight="1">
      <c r="A48" s="310" t="s">
        <v>116</v>
      </c>
      <c r="B48" s="310"/>
      <c r="C48" s="303" t="s">
        <v>155</v>
      </c>
      <c r="D48" s="303"/>
      <c r="E48" s="303"/>
      <c r="F48" s="94" t="s">
        <v>98</v>
      </c>
      <c r="G48" s="95">
        <v>30</v>
      </c>
      <c r="H48" s="88">
        <v>205133</v>
      </c>
      <c r="I48" s="88">
        <v>197676</v>
      </c>
      <c r="J48" s="88">
        <f t="shared" si="0"/>
        <v>5930280</v>
      </c>
      <c r="K48" s="133">
        <f t="shared" si="1"/>
        <v>-7457</v>
      </c>
      <c r="L48" s="134">
        <f t="shared" si="2"/>
        <v>0.96364797472859076</v>
      </c>
    </row>
    <row r="49" spans="1:12" ht="60.75" customHeight="1">
      <c r="A49" s="310" t="s">
        <v>124</v>
      </c>
      <c r="B49" s="310"/>
      <c r="C49" s="303" t="s">
        <v>156</v>
      </c>
      <c r="D49" s="303"/>
      <c r="E49" s="303"/>
      <c r="F49" s="94" t="s">
        <v>98</v>
      </c>
      <c r="G49" s="95">
        <v>1301</v>
      </c>
      <c r="H49" s="88">
        <v>131613</v>
      </c>
      <c r="I49" s="88">
        <v>126829</v>
      </c>
      <c r="J49" s="88">
        <f t="shared" si="0"/>
        <v>165004529</v>
      </c>
      <c r="K49" s="133">
        <f t="shared" si="1"/>
        <v>-4784</v>
      </c>
      <c r="L49" s="134">
        <f t="shared" si="2"/>
        <v>0.96365100711935747</v>
      </c>
    </row>
    <row r="50" spans="1:12" ht="60.75" customHeight="1">
      <c r="A50" s="310" t="s">
        <v>126</v>
      </c>
      <c r="B50" s="310"/>
      <c r="C50" s="303" t="s">
        <v>157</v>
      </c>
      <c r="D50" s="303"/>
      <c r="E50" s="303"/>
      <c r="F50" s="94" t="s">
        <v>98</v>
      </c>
      <c r="G50" s="95">
        <v>1301</v>
      </c>
      <c r="H50" s="88">
        <v>33384</v>
      </c>
      <c r="I50" s="88">
        <v>32170</v>
      </c>
      <c r="J50" s="88">
        <f t="shared" si="0"/>
        <v>41853170</v>
      </c>
      <c r="K50" s="133">
        <f t="shared" si="1"/>
        <v>-1214</v>
      </c>
      <c r="L50" s="134">
        <f t="shared" si="2"/>
        <v>0.96363527438293795</v>
      </c>
    </row>
    <row r="51" spans="1:12" ht="60.75" customHeight="1">
      <c r="A51" s="302" t="s">
        <v>136</v>
      </c>
      <c r="B51" s="302"/>
      <c r="C51" s="303" t="s">
        <v>158</v>
      </c>
      <c r="D51" s="303"/>
      <c r="E51" s="303"/>
      <c r="F51" s="97" t="s">
        <v>98</v>
      </c>
      <c r="G51" s="98">
        <v>1070</v>
      </c>
      <c r="H51" s="88">
        <v>194913</v>
      </c>
      <c r="I51" s="88">
        <v>187828</v>
      </c>
      <c r="J51" s="88">
        <f t="shared" si="0"/>
        <v>200975960</v>
      </c>
      <c r="K51" s="133">
        <f t="shared" si="1"/>
        <v>-7085</v>
      </c>
      <c r="L51" s="134">
        <f t="shared" si="2"/>
        <v>0.96365044917476006</v>
      </c>
    </row>
    <row r="52" spans="1:12" ht="60.75" customHeight="1">
      <c r="A52" s="310" t="s">
        <v>140</v>
      </c>
      <c r="B52" s="310"/>
      <c r="C52" s="303" t="s">
        <v>159</v>
      </c>
      <c r="D52" s="303"/>
      <c r="E52" s="303"/>
      <c r="F52" s="97" t="s">
        <v>95</v>
      </c>
      <c r="G52" s="98">
        <v>2400</v>
      </c>
      <c r="H52" s="88">
        <v>20487</v>
      </c>
      <c r="I52" s="88">
        <v>19742</v>
      </c>
      <c r="J52" s="88">
        <f t="shared" si="0"/>
        <v>47380800</v>
      </c>
      <c r="K52" s="133">
        <f t="shared" si="1"/>
        <v>-745</v>
      </c>
      <c r="L52" s="134">
        <f t="shared" si="2"/>
        <v>0.96363547615561085</v>
      </c>
    </row>
    <row r="53" spans="1:12" ht="60.75" customHeight="1">
      <c r="A53" s="310" t="s">
        <v>160</v>
      </c>
      <c r="B53" s="310"/>
      <c r="C53" s="303" t="s">
        <v>161</v>
      </c>
      <c r="D53" s="303"/>
      <c r="E53" s="303"/>
      <c r="F53" s="97" t="s">
        <v>95</v>
      </c>
      <c r="G53" s="98">
        <v>200</v>
      </c>
      <c r="H53" s="88">
        <v>373466</v>
      </c>
      <c r="I53" s="88">
        <v>359891</v>
      </c>
      <c r="J53" s="88">
        <f t="shared" si="0"/>
        <v>71978200</v>
      </c>
      <c r="K53" s="133">
        <f t="shared" si="1"/>
        <v>-13575</v>
      </c>
      <c r="L53" s="134">
        <f t="shared" si="2"/>
        <v>0.96365130962390155</v>
      </c>
    </row>
    <row r="54" spans="1:12" ht="60.75" customHeight="1">
      <c r="A54" s="310" t="s">
        <v>162</v>
      </c>
      <c r="B54" s="310"/>
      <c r="C54" s="303" t="s">
        <v>163</v>
      </c>
      <c r="D54" s="303"/>
      <c r="E54" s="303"/>
      <c r="F54" s="97" t="s">
        <v>113</v>
      </c>
      <c r="G54" s="98">
        <v>240</v>
      </c>
      <c r="H54" s="88">
        <v>157875</v>
      </c>
      <c r="I54" s="88">
        <v>152136</v>
      </c>
      <c r="J54" s="88">
        <f t="shared" si="0"/>
        <v>36512640</v>
      </c>
      <c r="K54" s="133">
        <f t="shared" si="1"/>
        <v>-5739</v>
      </c>
      <c r="L54" s="134">
        <f t="shared" si="2"/>
        <v>0.96364845605700711</v>
      </c>
    </row>
    <row r="55" spans="1:12" ht="60.75" customHeight="1">
      <c r="A55" s="310" t="s">
        <v>164</v>
      </c>
      <c r="B55" s="310"/>
      <c r="C55" s="303" t="s">
        <v>165</v>
      </c>
      <c r="D55" s="303"/>
      <c r="E55" s="303"/>
      <c r="F55" s="97" t="s">
        <v>113</v>
      </c>
      <c r="G55" s="98">
        <v>60</v>
      </c>
      <c r="H55" s="88">
        <v>177999</v>
      </c>
      <c r="I55" s="88">
        <v>171529</v>
      </c>
      <c r="J55" s="88">
        <f t="shared" si="0"/>
        <v>10291740</v>
      </c>
      <c r="K55" s="133">
        <f t="shared" si="1"/>
        <v>-6470</v>
      </c>
      <c r="L55" s="134">
        <f t="shared" si="2"/>
        <v>0.96365148118809651</v>
      </c>
    </row>
    <row r="56" spans="1:12" ht="60.75" customHeight="1">
      <c r="A56" s="310" t="s">
        <v>166</v>
      </c>
      <c r="B56" s="310"/>
      <c r="C56" s="303" t="s">
        <v>167</v>
      </c>
      <c r="D56" s="303"/>
      <c r="E56" s="303"/>
      <c r="F56" s="97" t="s">
        <v>113</v>
      </c>
      <c r="G56" s="98">
        <v>82</v>
      </c>
      <c r="H56" s="88">
        <v>327191</v>
      </c>
      <c r="I56" s="88">
        <v>315298</v>
      </c>
      <c r="J56" s="88">
        <f t="shared" si="0"/>
        <v>25854436</v>
      </c>
      <c r="K56" s="133">
        <f t="shared" si="1"/>
        <v>-11893</v>
      </c>
      <c r="L56" s="134">
        <f t="shared" si="2"/>
        <v>0.96365120067483523</v>
      </c>
    </row>
    <row r="57" spans="1:12" ht="60.75" customHeight="1">
      <c r="A57" s="310" t="s">
        <v>168</v>
      </c>
      <c r="B57" s="310"/>
      <c r="C57" s="303" t="s">
        <v>169</v>
      </c>
      <c r="D57" s="303"/>
      <c r="E57" s="303"/>
      <c r="F57" s="97" t="s">
        <v>113</v>
      </c>
      <c r="G57" s="98">
        <v>90</v>
      </c>
      <c r="H57" s="88">
        <v>230677</v>
      </c>
      <c r="I57" s="88">
        <v>222292</v>
      </c>
      <c r="J57" s="88">
        <f t="shared" si="0"/>
        <v>20006280</v>
      </c>
      <c r="K57" s="133">
        <f t="shared" si="1"/>
        <v>-8385</v>
      </c>
      <c r="L57" s="134">
        <f t="shared" si="2"/>
        <v>0.96365047230543144</v>
      </c>
    </row>
    <row r="58" spans="1:12" ht="60.75" customHeight="1">
      <c r="A58" s="310" t="s">
        <v>170</v>
      </c>
      <c r="B58" s="310"/>
      <c r="C58" s="303" t="s">
        <v>171</v>
      </c>
      <c r="D58" s="303"/>
      <c r="E58" s="303"/>
      <c r="F58" s="97" t="s">
        <v>113</v>
      </c>
      <c r="G58" s="98">
        <v>7</v>
      </c>
      <c r="H58" s="88">
        <v>196020</v>
      </c>
      <c r="I58" s="88">
        <v>188895</v>
      </c>
      <c r="J58" s="88">
        <f t="shared" si="0"/>
        <v>1322265</v>
      </c>
      <c r="K58" s="133">
        <f t="shared" si="1"/>
        <v>-7125</v>
      </c>
      <c r="L58" s="134">
        <f t="shared" si="2"/>
        <v>0.96365166819712278</v>
      </c>
    </row>
    <row r="59" spans="1:12" ht="60.75" customHeight="1">
      <c r="A59" s="310" t="s">
        <v>172</v>
      </c>
      <c r="B59" s="310"/>
      <c r="C59" s="303" t="s">
        <v>173</v>
      </c>
      <c r="D59" s="303"/>
      <c r="E59" s="303"/>
      <c r="F59" s="97" t="s">
        <v>113</v>
      </c>
      <c r="G59" s="98">
        <v>22</v>
      </c>
      <c r="H59" s="88">
        <v>181406</v>
      </c>
      <c r="I59" s="88">
        <v>174812</v>
      </c>
      <c r="J59" s="88">
        <f t="shared" si="0"/>
        <v>3845864</v>
      </c>
      <c r="K59" s="133">
        <f t="shared" si="1"/>
        <v>-6594</v>
      </c>
      <c r="L59" s="134">
        <f t="shared" si="2"/>
        <v>0.9636505959009074</v>
      </c>
    </row>
    <row r="60" spans="1:12" ht="60.75" customHeight="1">
      <c r="A60" s="310" t="s">
        <v>174</v>
      </c>
      <c r="B60" s="310"/>
      <c r="C60" s="303" t="s">
        <v>175</v>
      </c>
      <c r="D60" s="303"/>
      <c r="E60" s="303"/>
      <c r="F60" s="97" t="s">
        <v>113</v>
      </c>
      <c r="G60" s="98">
        <v>10</v>
      </c>
      <c r="H60" s="88">
        <v>200830</v>
      </c>
      <c r="I60" s="88">
        <v>193530</v>
      </c>
      <c r="J60" s="88">
        <f t="shared" si="0"/>
        <v>1935300</v>
      </c>
      <c r="K60" s="133">
        <f t="shared" si="1"/>
        <v>-7300</v>
      </c>
      <c r="L60" s="134">
        <f t="shared" si="2"/>
        <v>0.96365084897674647</v>
      </c>
    </row>
    <row r="61" spans="1:12" ht="60.75" customHeight="1">
      <c r="A61" s="310" t="s">
        <v>176</v>
      </c>
      <c r="B61" s="310"/>
      <c r="C61" s="303" t="s">
        <v>177</v>
      </c>
      <c r="D61" s="303"/>
      <c r="E61" s="303"/>
      <c r="F61" s="97" t="s">
        <v>113</v>
      </c>
      <c r="G61" s="98">
        <v>43</v>
      </c>
      <c r="H61" s="88">
        <v>178332</v>
      </c>
      <c r="I61" s="88">
        <v>171850</v>
      </c>
      <c r="J61" s="88">
        <f t="shared" si="0"/>
        <v>7389550</v>
      </c>
      <c r="K61" s="133">
        <f t="shared" si="1"/>
        <v>-6482</v>
      </c>
      <c r="L61" s="134">
        <f t="shared" si="2"/>
        <v>0.96365206468833409</v>
      </c>
    </row>
    <row r="62" spans="1:12" ht="60.75" customHeight="1">
      <c r="A62" s="310" t="s">
        <v>178</v>
      </c>
      <c r="B62" s="310"/>
      <c r="C62" s="303" t="s">
        <v>179</v>
      </c>
      <c r="D62" s="303"/>
      <c r="E62" s="303"/>
      <c r="F62" s="97" t="s">
        <v>180</v>
      </c>
      <c r="G62" s="98">
        <v>300</v>
      </c>
      <c r="H62" s="88">
        <v>16471</v>
      </c>
      <c r="I62" s="88">
        <v>15872</v>
      </c>
      <c r="J62" s="88">
        <f t="shared" si="0"/>
        <v>4761600</v>
      </c>
      <c r="K62" s="133">
        <f t="shared" si="1"/>
        <v>-599</v>
      </c>
      <c r="L62" s="134">
        <f t="shared" si="2"/>
        <v>0.96363305203084204</v>
      </c>
    </row>
    <row r="63" spans="1:12" ht="60.75" customHeight="1">
      <c r="A63" s="310" t="s">
        <v>181</v>
      </c>
      <c r="B63" s="310"/>
      <c r="C63" s="303" t="s">
        <v>182</v>
      </c>
      <c r="D63" s="303"/>
      <c r="E63" s="303"/>
      <c r="F63" s="97" t="s">
        <v>95</v>
      </c>
      <c r="G63" s="98">
        <v>180</v>
      </c>
      <c r="H63" s="88">
        <v>159622</v>
      </c>
      <c r="I63" s="88">
        <v>153820</v>
      </c>
      <c r="J63" s="88">
        <f t="shared" si="0"/>
        <v>27687600</v>
      </c>
      <c r="K63" s="133">
        <f t="shared" si="1"/>
        <v>-5802</v>
      </c>
      <c r="L63" s="134">
        <f t="shared" si="2"/>
        <v>0.96365162696871354</v>
      </c>
    </row>
    <row r="64" spans="1:12" ht="60.75" customHeight="1">
      <c r="A64" s="310" t="s">
        <v>183</v>
      </c>
      <c r="B64" s="310"/>
      <c r="C64" s="303" t="s">
        <v>184</v>
      </c>
      <c r="D64" s="303"/>
      <c r="E64" s="303"/>
      <c r="F64" s="97" t="s">
        <v>95</v>
      </c>
      <c r="G64" s="98">
        <v>220</v>
      </c>
      <c r="H64" s="88">
        <v>301400</v>
      </c>
      <c r="I64" s="88">
        <v>290444</v>
      </c>
      <c r="J64" s="88">
        <f t="shared" si="0"/>
        <v>63897680</v>
      </c>
      <c r="K64" s="133">
        <f t="shared" si="1"/>
        <v>-10956</v>
      </c>
      <c r="L64" s="134">
        <f t="shared" si="2"/>
        <v>0.96364963503649637</v>
      </c>
    </row>
    <row r="65" spans="1:12" ht="60.75" customHeight="1">
      <c r="A65" s="310" t="s">
        <v>185</v>
      </c>
      <c r="B65" s="310"/>
      <c r="C65" s="303" t="s">
        <v>186</v>
      </c>
      <c r="D65" s="303"/>
      <c r="E65" s="303"/>
      <c r="F65" s="97" t="s">
        <v>113</v>
      </c>
      <c r="G65" s="98">
        <v>2</v>
      </c>
      <c r="H65" s="88">
        <v>3554535</v>
      </c>
      <c r="I65" s="88">
        <v>3425328</v>
      </c>
      <c r="J65" s="88">
        <f t="shared" si="0"/>
        <v>6850656</v>
      </c>
      <c r="K65" s="133">
        <f t="shared" si="1"/>
        <v>-129207</v>
      </c>
      <c r="L65" s="134">
        <f t="shared" si="2"/>
        <v>0.96365009769210319</v>
      </c>
    </row>
    <row r="66" spans="1:12" ht="60.75" customHeight="1">
      <c r="A66" s="310" t="s">
        <v>187</v>
      </c>
      <c r="B66" s="310"/>
      <c r="C66" s="303" t="s">
        <v>188</v>
      </c>
      <c r="D66" s="303"/>
      <c r="E66" s="303"/>
      <c r="F66" s="97" t="s">
        <v>98</v>
      </c>
      <c r="G66" s="98">
        <v>300</v>
      </c>
      <c r="H66" s="88">
        <v>853000</v>
      </c>
      <c r="I66" s="88">
        <v>821993</v>
      </c>
      <c r="J66" s="88">
        <f t="shared" si="0"/>
        <v>246597900</v>
      </c>
      <c r="K66" s="133">
        <f t="shared" si="1"/>
        <v>-31007</v>
      </c>
      <c r="L66" s="134">
        <f t="shared" si="2"/>
        <v>0.96364947245017585</v>
      </c>
    </row>
    <row r="67" spans="1:12" ht="60.75" customHeight="1">
      <c r="A67" s="310" t="s">
        <v>189</v>
      </c>
      <c r="B67" s="310"/>
      <c r="C67" s="303" t="s">
        <v>190</v>
      </c>
      <c r="D67" s="303"/>
      <c r="E67" s="303"/>
      <c r="F67" s="97" t="s">
        <v>98</v>
      </c>
      <c r="G67" s="98">
        <v>30</v>
      </c>
      <c r="H67" s="88">
        <v>879613</v>
      </c>
      <c r="I67" s="88">
        <v>847639</v>
      </c>
      <c r="J67" s="88">
        <f t="shared" si="0"/>
        <v>25429170</v>
      </c>
      <c r="K67" s="133">
        <f t="shared" si="1"/>
        <v>-31974</v>
      </c>
      <c r="L67" s="134">
        <f t="shared" si="2"/>
        <v>0.96364992331855037</v>
      </c>
    </row>
    <row r="68" spans="1:12" ht="60.75" customHeight="1">
      <c r="A68" s="310" t="s">
        <v>191</v>
      </c>
      <c r="B68" s="310"/>
      <c r="C68" s="303" t="s">
        <v>192</v>
      </c>
      <c r="D68" s="303"/>
      <c r="E68" s="303"/>
      <c r="F68" s="97" t="s">
        <v>95</v>
      </c>
      <c r="G68" s="98">
        <v>60</v>
      </c>
      <c r="H68" s="88">
        <v>87418</v>
      </c>
      <c r="I68" s="88">
        <v>84240</v>
      </c>
      <c r="J68" s="88">
        <f t="shared" si="0"/>
        <v>5054400</v>
      </c>
      <c r="K68" s="133">
        <f t="shared" si="1"/>
        <v>-3178</v>
      </c>
      <c r="L68" s="134">
        <f t="shared" si="2"/>
        <v>0.9636459310439498</v>
      </c>
    </row>
    <row r="69" spans="1:12" ht="60.75" customHeight="1">
      <c r="A69" s="310" t="s">
        <v>193</v>
      </c>
      <c r="B69" s="310"/>
      <c r="C69" s="303" t="s">
        <v>194</v>
      </c>
      <c r="D69" s="303"/>
      <c r="E69" s="303"/>
      <c r="F69" s="97" t="s">
        <v>113</v>
      </c>
      <c r="G69" s="98">
        <v>41</v>
      </c>
      <c r="H69" s="88">
        <v>142900</v>
      </c>
      <c r="I69" s="88">
        <v>137706</v>
      </c>
      <c r="J69" s="88">
        <f t="shared" si="0"/>
        <v>5645946</v>
      </c>
      <c r="K69" s="133">
        <f t="shared" si="1"/>
        <v>-5194</v>
      </c>
      <c r="L69" s="134">
        <f t="shared" si="2"/>
        <v>0.96365290412876137</v>
      </c>
    </row>
    <row r="70" spans="1:12" ht="60.75" customHeight="1">
      <c r="A70" s="310" t="s">
        <v>195</v>
      </c>
      <c r="B70" s="310"/>
      <c r="C70" s="303" t="s">
        <v>196</v>
      </c>
      <c r="D70" s="303"/>
      <c r="E70" s="303"/>
      <c r="F70" s="97" t="s">
        <v>113</v>
      </c>
      <c r="G70" s="98">
        <v>1</v>
      </c>
      <c r="H70" s="88">
        <v>1176585</v>
      </c>
      <c r="I70" s="88">
        <v>1133816</v>
      </c>
      <c r="J70" s="88">
        <f t="shared" si="0"/>
        <v>1133816</v>
      </c>
      <c r="K70" s="133">
        <f t="shared" si="1"/>
        <v>-42769</v>
      </c>
      <c r="L70" s="134">
        <f t="shared" si="2"/>
        <v>0.96364988504867899</v>
      </c>
    </row>
    <row r="71" spans="1:12" ht="60.75" customHeight="1">
      <c r="A71" s="310" t="s">
        <v>197</v>
      </c>
      <c r="B71" s="310"/>
      <c r="C71" s="303" t="s">
        <v>198</v>
      </c>
      <c r="D71" s="303"/>
      <c r="E71" s="303"/>
      <c r="F71" s="97" t="s">
        <v>98</v>
      </c>
      <c r="G71" s="98">
        <v>1000</v>
      </c>
      <c r="H71" s="88">
        <v>38208</v>
      </c>
      <c r="I71" s="88">
        <v>36819</v>
      </c>
      <c r="J71" s="88">
        <f t="shared" si="0"/>
        <v>36819000</v>
      </c>
      <c r="K71" s="133">
        <f t="shared" si="1"/>
        <v>-1389</v>
      </c>
      <c r="L71" s="134">
        <f t="shared" si="2"/>
        <v>0.96364635678391963</v>
      </c>
    </row>
    <row r="72" spans="1:12" ht="60.75" customHeight="1">
      <c r="A72" s="310" t="s">
        <v>199</v>
      </c>
      <c r="B72" s="310"/>
      <c r="C72" s="303" t="s">
        <v>200</v>
      </c>
      <c r="D72" s="303"/>
      <c r="E72" s="303"/>
      <c r="F72" s="97" t="s">
        <v>98</v>
      </c>
      <c r="G72" s="98">
        <v>230.61</v>
      </c>
      <c r="H72" s="88">
        <v>41123</v>
      </c>
      <c r="I72" s="88">
        <v>39628</v>
      </c>
      <c r="J72" s="88">
        <f t="shared" si="0"/>
        <v>9138613</v>
      </c>
      <c r="K72" s="133">
        <f t="shared" si="1"/>
        <v>-1495</v>
      </c>
      <c r="L72" s="134">
        <f t="shared" si="2"/>
        <v>0.96364564842059186</v>
      </c>
    </row>
    <row r="73" spans="1:12" ht="60.75" customHeight="1">
      <c r="A73" s="311" t="s">
        <v>201</v>
      </c>
      <c r="B73" s="312"/>
      <c r="C73" s="312"/>
      <c r="D73" s="312"/>
      <c r="E73" s="312"/>
      <c r="F73" s="312"/>
      <c r="G73" s="312"/>
      <c r="H73" s="312"/>
      <c r="I73" s="313"/>
      <c r="J73" s="99">
        <f>SUM(J40:J72)</f>
        <v>1200662509</v>
      </c>
      <c r="K73" s="133">
        <f t="shared" si="1"/>
        <v>0</v>
      </c>
      <c r="L73" s="134" t="e">
        <f t="shared" si="2"/>
        <v>#DIV/0!</v>
      </c>
    </row>
    <row r="74" spans="1:12" ht="60.75" customHeight="1">
      <c r="A74" s="302" t="s">
        <v>202</v>
      </c>
      <c r="B74" s="302"/>
      <c r="C74" s="303" t="s">
        <v>203</v>
      </c>
      <c r="D74" s="303"/>
      <c r="E74" s="303"/>
      <c r="F74" s="97" t="s">
        <v>98</v>
      </c>
      <c r="G74" s="98">
        <v>450</v>
      </c>
      <c r="H74" s="88">
        <v>194913</v>
      </c>
      <c r="I74" s="88">
        <v>187828</v>
      </c>
      <c r="J74" s="88">
        <f t="shared" ref="J74:J130" si="3">+ROUND(I74*G74,0)</f>
        <v>84522600</v>
      </c>
      <c r="K74" s="133">
        <f t="shared" si="1"/>
        <v>-7085</v>
      </c>
      <c r="L74" s="134">
        <f t="shared" si="2"/>
        <v>0.96365044917476006</v>
      </c>
    </row>
    <row r="75" spans="1:12" ht="60.75" customHeight="1">
      <c r="A75" s="302" t="s">
        <v>197</v>
      </c>
      <c r="B75" s="302"/>
      <c r="C75" s="303" t="s">
        <v>204</v>
      </c>
      <c r="D75" s="303"/>
      <c r="E75" s="303"/>
      <c r="F75" s="97" t="s">
        <v>113</v>
      </c>
      <c r="G75" s="98">
        <v>2</v>
      </c>
      <c r="H75" s="88">
        <v>3334200</v>
      </c>
      <c r="I75" s="88">
        <v>3213002</v>
      </c>
      <c r="J75" s="88">
        <f t="shared" si="3"/>
        <v>6426004</v>
      </c>
      <c r="K75" s="133">
        <f t="shared" si="1"/>
        <v>-121198</v>
      </c>
      <c r="L75" s="134">
        <f t="shared" si="2"/>
        <v>0.9636500509867435</v>
      </c>
    </row>
    <row r="76" spans="1:12" ht="60.75" customHeight="1">
      <c r="A76" s="302" t="s">
        <v>199</v>
      </c>
      <c r="B76" s="302"/>
      <c r="C76" s="303" t="s">
        <v>205</v>
      </c>
      <c r="D76" s="303"/>
      <c r="E76" s="303"/>
      <c r="F76" s="97" t="s">
        <v>113</v>
      </c>
      <c r="G76" s="98">
        <v>12</v>
      </c>
      <c r="H76" s="88">
        <v>858374</v>
      </c>
      <c r="I76" s="88">
        <v>827172</v>
      </c>
      <c r="J76" s="88">
        <f t="shared" si="3"/>
        <v>9926064</v>
      </c>
      <c r="K76" s="133">
        <f t="shared" si="1"/>
        <v>-31202</v>
      </c>
      <c r="L76" s="134">
        <f t="shared" si="2"/>
        <v>0.96364987755919918</v>
      </c>
    </row>
    <row r="77" spans="1:12" ht="60.75" customHeight="1">
      <c r="A77" s="302" t="s">
        <v>206</v>
      </c>
      <c r="B77" s="302"/>
      <c r="C77" s="303" t="s">
        <v>207</v>
      </c>
      <c r="D77" s="303"/>
      <c r="E77" s="303"/>
      <c r="F77" s="97" t="s">
        <v>98</v>
      </c>
      <c r="G77" s="98">
        <v>222.23000000000002</v>
      </c>
      <c r="H77" s="88">
        <v>34663</v>
      </c>
      <c r="I77" s="88">
        <v>33403</v>
      </c>
      <c r="J77" s="88">
        <f t="shared" si="3"/>
        <v>7423149</v>
      </c>
      <c r="K77" s="133">
        <f t="shared" si="1"/>
        <v>-1260</v>
      </c>
      <c r="L77" s="134">
        <f t="shared" si="2"/>
        <v>0.96365000144246027</v>
      </c>
    </row>
    <row r="78" spans="1:12" ht="60.75" customHeight="1">
      <c r="A78" s="307" t="s">
        <v>208</v>
      </c>
      <c r="B78" s="308"/>
      <c r="C78" s="308"/>
      <c r="D78" s="308"/>
      <c r="E78" s="308"/>
      <c r="F78" s="308"/>
      <c r="G78" s="308"/>
      <c r="H78" s="308"/>
      <c r="I78" s="309"/>
      <c r="J78" s="100">
        <f>SUM(J74:J77)</f>
        <v>108297817</v>
      </c>
      <c r="K78" s="133">
        <f t="shared" si="1"/>
        <v>0</v>
      </c>
      <c r="L78" s="134" t="e">
        <f t="shared" si="2"/>
        <v>#DIV/0!</v>
      </c>
    </row>
    <row r="79" spans="1:12" ht="60.75" customHeight="1">
      <c r="A79" s="302" t="s">
        <v>93</v>
      </c>
      <c r="B79" s="302"/>
      <c r="C79" s="303" t="s">
        <v>143</v>
      </c>
      <c r="D79" s="303"/>
      <c r="E79" s="303"/>
      <c r="F79" s="97" t="s">
        <v>98</v>
      </c>
      <c r="G79" s="98">
        <v>161.58000000000001</v>
      </c>
      <c r="H79" s="88">
        <v>49033</v>
      </c>
      <c r="I79" s="88">
        <v>47251</v>
      </c>
      <c r="J79" s="88">
        <f t="shared" si="3"/>
        <v>7634817</v>
      </c>
      <c r="K79" s="133">
        <f t="shared" si="1"/>
        <v>-1782</v>
      </c>
      <c r="L79" s="134">
        <f t="shared" si="2"/>
        <v>0.96365712887239208</v>
      </c>
    </row>
    <row r="80" spans="1:12" ht="60.75" customHeight="1">
      <c r="A80" s="302" t="s">
        <v>96</v>
      </c>
      <c r="B80" s="302"/>
      <c r="C80" s="303" t="s">
        <v>144</v>
      </c>
      <c r="D80" s="303"/>
      <c r="E80" s="303"/>
      <c r="F80" s="97" t="s">
        <v>98</v>
      </c>
      <c r="G80" s="98">
        <v>246.96</v>
      </c>
      <c r="H80" s="88">
        <v>97950</v>
      </c>
      <c r="I80" s="88">
        <v>94390</v>
      </c>
      <c r="J80" s="88">
        <f t="shared" si="3"/>
        <v>23310554</v>
      </c>
      <c r="K80" s="133">
        <f t="shared" si="1"/>
        <v>-3560</v>
      </c>
      <c r="L80" s="134">
        <f t="shared" si="2"/>
        <v>0.96365492598264424</v>
      </c>
    </row>
    <row r="81" spans="1:12" ht="60.75" customHeight="1">
      <c r="A81" s="302" t="s">
        <v>145</v>
      </c>
      <c r="B81" s="302"/>
      <c r="C81" s="303" t="s">
        <v>209</v>
      </c>
      <c r="D81" s="303"/>
      <c r="E81" s="303"/>
      <c r="F81" s="97" t="s">
        <v>98</v>
      </c>
      <c r="G81" s="98">
        <v>888.84</v>
      </c>
      <c r="H81" s="88">
        <v>36183</v>
      </c>
      <c r="I81" s="88">
        <v>34868</v>
      </c>
      <c r="J81" s="88">
        <f t="shared" si="3"/>
        <v>30992073</v>
      </c>
      <c r="K81" s="133">
        <f t="shared" ref="K81:K131" si="4">+I81-H81</f>
        <v>-1315</v>
      </c>
      <c r="L81" s="134">
        <f t="shared" ref="L81:L131" si="5">+I81/H81</f>
        <v>0.96365696597849815</v>
      </c>
    </row>
    <row r="82" spans="1:12" ht="60.75" customHeight="1">
      <c r="A82" s="302" t="s">
        <v>146</v>
      </c>
      <c r="B82" s="302"/>
      <c r="C82" s="303" t="s">
        <v>147</v>
      </c>
      <c r="D82" s="303"/>
      <c r="E82" s="303"/>
      <c r="F82" s="97" t="s">
        <v>148</v>
      </c>
      <c r="G82" s="98">
        <v>1</v>
      </c>
      <c r="H82" s="88">
        <v>6960160</v>
      </c>
      <c r="I82" s="88">
        <v>6707158</v>
      </c>
      <c r="J82" s="88">
        <f t="shared" si="3"/>
        <v>6707158</v>
      </c>
      <c r="K82" s="133">
        <f t="shared" si="4"/>
        <v>-253002</v>
      </c>
      <c r="L82" s="134">
        <f t="shared" si="5"/>
        <v>0.96364997356382609</v>
      </c>
    </row>
    <row r="83" spans="1:12" ht="60.75" customHeight="1">
      <c r="A83" s="302" t="s">
        <v>149</v>
      </c>
      <c r="B83" s="302"/>
      <c r="C83" s="303" t="s">
        <v>210</v>
      </c>
      <c r="D83" s="303"/>
      <c r="E83" s="303"/>
      <c r="F83" s="97" t="s">
        <v>113</v>
      </c>
      <c r="G83" s="98">
        <v>150</v>
      </c>
      <c r="H83" s="88">
        <v>96339</v>
      </c>
      <c r="I83" s="88">
        <v>92837</v>
      </c>
      <c r="J83" s="88">
        <f t="shared" si="3"/>
        <v>13925550</v>
      </c>
      <c r="K83" s="133">
        <f t="shared" si="4"/>
        <v>-3502</v>
      </c>
      <c r="L83" s="134">
        <f t="shared" si="5"/>
        <v>0.96364919710605257</v>
      </c>
    </row>
    <row r="84" spans="1:12" ht="60.75" customHeight="1">
      <c r="A84" s="302" t="s">
        <v>151</v>
      </c>
      <c r="B84" s="302"/>
      <c r="C84" s="303" t="s">
        <v>211</v>
      </c>
      <c r="D84" s="303"/>
      <c r="E84" s="303"/>
      <c r="F84" s="97" t="s">
        <v>98</v>
      </c>
      <c r="G84" s="98">
        <v>37.5</v>
      </c>
      <c r="H84" s="88">
        <v>95199</v>
      </c>
      <c r="I84" s="88">
        <v>91739</v>
      </c>
      <c r="J84" s="88">
        <f t="shared" si="3"/>
        <v>3440213</v>
      </c>
      <c r="K84" s="133">
        <f t="shared" si="4"/>
        <v>-3460</v>
      </c>
      <c r="L84" s="134">
        <f t="shared" si="5"/>
        <v>0.96365508041050851</v>
      </c>
    </row>
    <row r="85" spans="1:12" ht="60.75" customHeight="1">
      <c r="A85" s="302" t="s">
        <v>99</v>
      </c>
      <c r="B85" s="302"/>
      <c r="C85" s="303" t="s">
        <v>153</v>
      </c>
      <c r="D85" s="303"/>
      <c r="E85" s="303"/>
      <c r="F85" s="97" t="s">
        <v>95</v>
      </c>
      <c r="G85" s="98">
        <v>121</v>
      </c>
      <c r="H85" s="88">
        <v>203925</v>
      </c>
      <c r="I85" s="88">
        <v>196512</v>
      </c>
      <c r="J85" s="88">
        <f t="shared" si="3"/>
        <v>23777952</v>
      </c>
      <c r="K85" s="133">
        <f t="shared" si="4"/>
        <v>-7413</v>
      </c>
      <c r="L85" s="134">
        <f t="shared" si="5"/>
        <v>0.96364840014711295</v>
      </c>
    </row>
    <row r="86" spans="1:12" ht="60.75" customHeight="1">
      <c r="A86" s="302" t="s">
        <v>101</v>
      </c>
      <c r="B86" s="302"/>
      <c r="C86" s="303" t="s">
        <v>154</v>
      </c>
      <c r="D86" s="303"/>
      <c r="E86" s="303"/>
      <c r="F86" s="97" t="s">
        <v>95</v>
      </c>
      <c r="G86" s="98">
        <v>145</v>
      </c>
      <c r="H86" s="88">
        <v>186288</v>
      </c>
      <c r="I86" s="88">
        <v>179516</v>
      </c>
      <c r="J86" s="88">
        <f t="shared" si="3"/>
        <v>26029820</v>
      </c>
      <c r="K86" s="133">
        <f t="shared" si="4"/>
        <v>-6772</v>
      </c>
      <c r="L86" s="134">
        <f t="shared" si="5"/>
        <v>0.96364768530447475</v>
      </c>
    </row>
    <row r="87" spans="1:12" ht="60.75" customHeight="1">
      <c r="A87" s="302" t="s">
        <v>103</v>
      </c>
      <c r="B87" s="302"/>
      <c r="C87" s="303" t="s">
        <v>212</v>
      </c>
      <c r="D87" s="303"/>
      <c r="E87" s="303"/>
      <c r="F87" s="97" t="s">
        <v>98</v>
      </c>
      <c r="G87" s="98">
        <v>40</v>
      </c>
      <c r="H87" s="88">
        <v>240790</v>
      </c>
      <c r="I87" s="88">
        <v>232037</v>
      </c>
      <c r="J87" s="88">
        <f t="shared" si="3"/>
        <v>9281480</v>
      </c>
      <c r="K87" s="133">
        <f t="shared" si="4"/>
        <v>-8753</v>
      </c>
      <c r="L87" s="134">
        <f t="shared" si="5"/>
        <v>0.96364882262552432</v>
      </c>
    </row>
    <row r="88" spans="1:12" ht="60.75" customHeight="1">
      <c r="A88" s="302" t="s">
        <v>116</v>
      </c>
      <c r="B88" s="302"/>
      <c r="C88" s="303" t="s">
        <v>213</v>
      </c>
      <c r="D88" s="303"/>
      <c r="E88" s="303"/>
      <c r="F88" s="97" t="s">
        <v>98</v>
      </c>
      <c r="G88" s="98">
        <v>5</v>
      </c>
      <c r="H88" s="88">
        <v>161174</v>
      </c>
      <c r="I88" s="88">
        <v>155315</v>
      </c>
      <c r="J88" s="88">
        <f t="shared" si="3"/>
        <v>776575</v>
      </c>
      <c r="K88" s="133">
        <f t="shared" si="4"/>
        <v>-5859</v>
      </c>
      <c r="L88" s="134">
        <f t="shared" si="5"/>
        <v>0.96364798292528575</v>
      </c>
    </row>
    <row r="89" spans="1:12" ht="60.75" customHeight="1">
      <c r="A89" s="302" t="s">
        <v>124</v>
      </c>
      <c r="B89" s="302"/>
      <c r="C89" s="303" t="s">
        <v>214</v>
      </c>
      <c r="D89" s="303"/>
      <c r="E89" s="303"/>
      <c r="F89" s="97" t="s">
        <v>98</v>
      </c>
      <c r="G89" s="98">
        <v>888.84</v>
      </c>
      <c r="H89" s="88">
        <v>116086</v>
      </c>
      <c r="I89" s="88">
        <v>111866</v>
      </c>
      <c r="J89" s="88">
        <f t="shared" si="3"/>
        <v>99430975</v>
      </c>
      <c r="K89" s="133">
        <f t="shared" si="4"/>
        <v>-4220</v>
      </c>
      <c r="L89" s="134">
        <f t="shared" si="5"/>
        <v>0.96364764054235652</v>
      </c>
    </row>
    <row r="90" spans="1:12" ht="60.75" customHeight="1">
      <c r="A90" s="302" t="s">
        <v>136</v>
      </c>
      <c r="B90" s="302"/>
      <c r="C90" s="303" t="s">
        <v>215</v>
      </c>
      <c r="D90" s="303"/>
      <c r="E90" s="303"/>
      <c r="F90" s="97" t="s">
        <v>98</v>
      </c>
      <c r="G90" s="98">
        <v>888.84</v>
      </c>
      <c r="H90" s="88">
        <v>194913</v>
      </c>
      <c r="I90" s="88">
        <v>187828</v>
      </c>
      <c r="J90" s="88">
        <f t="shared" si="3"/>
        <v>166949040</v>
      </c>
      <c r="K90" s="133">
        <f t="shared" si="4"/>
        <v>-7085</v>
      </c>
      <c r="L90" s="134">
        <f t="shared" si="5"/>
        <v>0.96365044917476006</v>
      </c>
    </row>
    <row r="91" spans="1:12" ht="60.75" customHeight="1">
      <c r="A91" s="302" t="s">
        <v>140</v>
      </c>
      <c r="B91" s="302"/>
      <c r="C91" s="303" t="s">
        <v>159</v>
      </c>
      <c r="D91" s="303"/>
      <c r="E91" s="303"/>
      <c r="F91" s="97" t="s">
        <v>95</v>
      </c>
      <c r="G91" s="98">
        <v>1800</v>
      </c>
      <c r="H91" s="88">
        <v>20382</v>
      </c>
      <c r="I91" s="88">
        <v>19641</v>
      </c>
      <c r="J91" s="88">
        <f t="shared" si="3"/>
        <v>35353800</v>
      </c>
      <c r="K91" s="133">
        <f t="shared" si="4"/>
        <v>-741</v>
      </c>
      <c r="L91" s="134">
        <f t="shared" si="5"/>
        <v>0.96364439211068587</v>
      </c>
    </row>
    <row r="92" spans="1:12" ht="60.75" customHeight="1">
      <c r="A92" s="302" t="s">
        <v>160</v>
      </c>
      <c r="B92" s="302"/>
      <c r="C92" s="303" t="s">
        <v>161</v>
      </c>
      <c r="D92" s="303"/>
      <c r="E92" s="303"/>
      <c r="F92" s="97" t="s">
        <v>95</v>
      </c>
      <c r="G92" s="98">
        <v>50</v>
      </c>
      <c r="H92" s="88">
        <v>226317</v>
      </c>
      <c r="I92" s="88">
        <v>218090</v>
      </c>
      <c r="J92" s="88">
        <f t="shared" si="3"/>
        <v>10904500</v>
      </c>
      <c r="K92" s="133">
        <f t="shared" si="4"/>
        <v>-8227</v>
      </c>
      <c r="L92" s="134">
        <f t="shared" si="5"/>
        <v>0.9636483339740276</v>
      </c>
    </row>
    <row r="93" spans="1:12" ht="60.75" customHeight="1">
      <c r="A93" s="302" t="s">
        <v>162</v>
      </c>
      <c r="B93" s="302"/>
      <c r="C93" s="303" t="s">
        <v>216</v>
      </c>
      <c r="D93" s="303"/>
      <c r="E93" s="303"/>
      <c r="F93" s="97" t="s">
        <v>113</v>
      </c>
      <c r="G93" s="98">
        <v>180</v>
      </c>
      <c r="H93" s="88">
        <v>151650</v>
      </c>
      <c r="I93" s="88">
        <v>146138</v>
      </c>
      <c r="J93" s="88">
        <f t="shared" si="3"/>
        <v>26304840</v>
      </c>
      <c r="K93" s="133">
        <f t="shared" si="4"/>
        <v>-5512</v>
      </c>
      <c r="L93" s="134">
        <f t="shared" si="5"/>
        <v>0.96365314869765906</v>
      </c>
    </row>
    <row r="94" spans="1:12" ht="60.75" customHeight="1">
      <c r="A94" s="302" t="s">
        <v>164</v>
      </c>
      <c r="B94" s="302"/>
      <c r="C94" s="303" t="s">
        <v>217</v>
      </c>
      <c r="D94" s="303"/>
      <c r="E94" s="303"/>
      <c r="F94" s="97" t="s">
        <v>113</v>
      </c>
      <c r="G94" s="98">
        <v>60</v>
      </c>
      <c r="H94" s="88">
        <v>170847</v>
      </c>
      <c r="I94" s="88">
        <v>164637</v>
      </c>
      <c r="J94" s="88">
        <f t="shared" si="3"/>
        <v>9878220</v>
      </c>
      <c r="K94" s="133">
        <f t="shared" si="4"/>
        <v>-6210</v>
      </c>
      <c r="L94" s="134">
        <f t="shared" si="5"/>
        <v>0.96365168835273662</v>
      </c>
    </row>
    <row r="95" spans="1:12" ht="60.75" customHeight="1">
      <c r="A95" s="302" t="s">
        <v>166</v>
      </c>
      <c r="B95" s="302"/>
      <c r="C95" s="303" t="s">
        <v>218</v>
      </c>
      <c r="D95" s="303"/>
      <c r="E95" s="303"/>
      <c r="F95" s="97" t="s">
        <v>113</v>
      </c>
      <c r="G95" s="98">
        <v>42</v>
      </c>
      <c r="H95" s="88">
        <v>308438</v>
      </c>
      <c r="I95" s="88">
        <v>297226</v>
      </c>
      <c r="J95" s="88">
        <f t="shared" si="3"/>
        <v>12483492</v>
      </c>
      <c r="K95" s="133">
        <f t="shared" si="4"/>
        <v>-11212</v>
      </c>
      <c r="L95" s="134">
        <f t="shared" si="5"/>
        <v>0.96364909641483865</v>
      </c>
    </row>
    <row r="96" spans="1:12" ht="60.75" customHeight="1">
      <c r="A96" s="302" t="s">
        <v>168</v>
      </c>
      <c r="B96" s="302"/>
      <c r="C96" s="303" t="s">
        <v>219</v>
      </c>
      <c r="D96" s="303"/>
      <c r="E96" s="303"/>
      <c r="F96" s="97" t="s">
        <v>113</v>
      </c>
      <c r="G96" s="98">
        <v>88</v>
      </c>
      <c r="H96" s="88">
        <v>106167</v>
      </c>
      <c r="I96" s="88">
        <v>102308</v>
      </c>
      <c r="J96" s="88">
        <f t="shared" si="3"/>
        <v>9003104</v>
      </c>
      <c r="K96" s="133">
        <f t="shared" si="4"/>
        <v>-3859</v>
      </c>
      <c r="L96" s="134">
        <f t="shared" si="5"/>
        <v>0.96365160548946471</v>
      </c>
    </row>
    <row r="97" spans="1:12" ht="60.75" customHeight="1">
      <c r="A97" s="302" t="s">
        <v>220</v>
      </c>
      <c r="B97" s="302"/>
      <c r="C97" s="303" t="s">
        <v>169</v>
      </c>
      <c r="D97" s="303"/>
      <c r="E97" s="303"/>
      <c r="F97" s="97" t="s">
        <v>113</v>
      </c>
      <c r="G97" s="98">
        <v>22</v>
      </c>
      <c r="H97" s="88">
        <v>215408</v>
      </c>
      <c r="I97" s="88">
        <v>207578</v>
      </c>
      <c r="J97" s="88">
        <f t="shared" si="3"/>
        <v>4566716</v>
      </c>
      <c r="K97" s="133">
        <f t="shared" si="4"/>
        <v>-7830</v>
      </c>
      <c r="L97" s="134">
        <f t="shared" si="5"/>
        <v>0.96365037510213181</v>
      </c>
    </row>
    <row r="98" spans="1:12" ht="60.75" customHeight="1">
      <c r="A98" s="302" t="s">
        <v>172</v>
      </c>
      <c r="B98" s="302"/>
      <c r="C98" s="303" t="s">
        <v>173</v>
      </c>
      <c r="D98" s="303"/>
      <c r="E98" s="303"/>
      <c r="F98" s="97" t="s">
        <v>113</v>
      </c>
      <c r="G98" s="98">
        <v>14</v>
      </c>
      <c r="H98" s="88">
        <v>226550</v>
      </c>
      <c r="I98" s="88">
        <v>218315</v>
      </c>
      <c r="J98" s="88">
        <f t="shared" si="3"/>
        <v>3056410</v>
      </c>
      <c r="K98" s="133">
        <f t="shared" si="4"/>
        <v>-8235</v>
      </c>
      <c r="L98" s="134">
        <f t="shared" si="5"/>
        <v>0.96365040829838888</v>
      </c>
    </row>
    <row r="99" spans="1:12" ht="60.75" customHeight="1">
      <c r="A99" s="302" t="s">
        <v>174</v>
      </c>
      <c r="B99" s="302"/>
      <c r="C99" s="303" t="s">
        <v>221</v>
      </c>
      <c r="D99" s="303"/>
      <c r="E99" s="303"/>
      <c r="F99" s="97" t="s">
        <v>113</v>
      </c>
      <c r="G99" s="98">
        <v>11</v>
      </c>
      <c r="H99" s="88">
        <v>203875</v>
      </c>
      <c r="I99" s="88">
        <v>196464</v>
      </c>
      <c r="J99" s="88">
        <f t="shared" si="3"/>
        <v>2161104</v>
      </c>
      <c r="K99" s="133">
        <f t="shared" si="4"/>
        <v>-7411</v>
      </c>
      <c r="L99" s="134">
        <f t="shared" si="5"/>
        <v>0.96364929491109752</v>
      </c>
    </row>
    <row r="100" spans="1:12" ht="60.75" customHeight="1">
      <c r="A100" s="302" t="s">
        <v>176</v>
      </c>
      <c r="B100" s="302"/>
      <c r="C100" s="303" t="s">
        <v>222</v>
      </c>
      <c r="D100" s="303"/>
      <c r="E100" s="303"/>
      <c r="F100" s="97" t="s">
        <v>113</v>
      </c>
      <c r="G100" s="98">
        <v>23</v>
      </c>
      <c r="H100" s="88">
        <v>178332</v>
      </c>
      <c r="I100" s="88">
        <v>171850</v>
      </c>
      <c r="J100" s="88">
        <f t="shared" si="3"/>
        <v>3952550</v>
      </c>
      <c r="K100" s="133">
        <f t="shared" si="4"/>
        <v>-6482</v>
      </c>
      <c r="L100" s="134">
        <f t="shared" si="5"/>
        <v>0.96365206468833409</v>
      </c>
    </row>
    <row r="101" spans="1:12" ht="60.75" customHeight="1">
      <c r="A101" s="302" t="s">
        <v>178</v>
      </c>
      <c r="B101" s="302"/>
      <c r="C101" s="303" t="s">
        <v>223</v>
      </c>
      <c r="D101" s="303"/>
      <c r="E101" s="303"/>
      <c r="F101" s="97" t="s">
        <v>95</v>
      </c>
      <c r="G101" s="98">
        <v>150</v>
      </c>
      <c r="H101" s="88">
        <v>16471</v>
      </c>
      <c r="I101" s="88">
        <v>15872</v>
      </c>
      <c r="J101" s="88">
        <f t="shared" si="3"/>
        <v>2380800</v>
      </c>
      <c r="K101" s="133">
        <f t="shared" si="4"/>
        <v>-599</v>
      </c>
      <c r="L101" s="134">
        <f t="shared" si="5"/>
        <v>0.96363305203084204</v>
      </c>
    </row>
    <row r="102" spans="1:12" ht="60.75" customHeight="1">
      <c r="A102" s="302" t="s">
        <v>181</v>
      </c>
      <c r="B102" s="302"/>
      <c r="C102" s="303" t="s">
        <v>224</v>
      </c>
      <c r="D102" s="303"/>
      <c r="E102" s="303"/>
      <c r="F102" s="97" t="s">
        <v>95</v>
      </c>
      <c r="G102" s="98">
        <v>50</v>
      </c>
      <c r="H102" s="88">
        <v>159622</v>
      </c>
      <c r="I102" s="88">
        <v>153820</v>
      </c>
      <c r="J102" s="88">
        <f t="shared" si="3"/>
        <v>7691000</v>
      </c>
      <c r="K102" s="133">
        <f t="shared" si="4"/>
        <v>-5802</v>
      </c>
      <c r="L102" s="134">
        <f t="shared" si="5"/>
        <v>0.96365162696871354</v>
      </c>
    </row>
    <row r="103" spans="1:12" ht="60.75" customHeight="1">
      <c r="A103" s="302" t="s">
        <v>183</v>
      </c>
      <c r="B103" s="302"/>
      <c r="C103" s="303" t="s">
        <v>225</v>
      </c>
      <c r="D103" s="303"/>
      <c r="E103" s="303"/>
      <c r="F103" s="97" t="s">
        <v>95</v>
      </c>
      <c r="G103" s="98">
        <v>120</v>
      </c>
      <c r="H103" s="88">
        <v>326273</v>
      </c>
      <c r="I103" s="88">
        <v>314413</v>
      </c>
      <c r="J103" s="88">
        <f t="shared" si="3"/>
        <v>37729560</v>
      </c>
      <c r="K103" s="133">
        <f t="shared" si="4"/>
        <v>-11860</v>
      </c>
      <c r="L103" s="134">
        <f t="shared" si="5"/>
        <v>0.96365007217881959</v>
      </c>
    </row>
    <row r="104" spans="1:12" ht="60.75" customHeight="1">
      <c r="A104" s="302" t="s">
        <v>185</v>
      </c>
      <c r="B104" s="302"/>
      <c r="C104" s="303" t="s">
        <v>226</v>
      </c>
      <c r="D104" s="303"/>
      <c r="E104" s="303"/>
      <c r="F104" s="97" t="s">
        <v>113</v>
      </c>
      <c r="G104" s="98">
        <v>1</v>
      </c>
      <c r="H104" s="88">
        <v>3554535</v>
      </c>
      <c r="I104" s="88">
        <v>3425328</v>
      </c>
      <c r="J104" s="88">
        <f t="shared" si="3"/>
        <v>3425328</v>
      </c>
      <c r="K104" s="133">
        <f t="shared" si="4"/>
        <v>-129207</v>
      </c>
      <c r="L104" s="134">
        <f t="shared" si="5"/>
        <v>0.96365009769210319</v>
      </c>
    </row>
    <row r="105" spans="1:12" ht="60.75" customHeight="1">
      <c r="A105" s="302" t="s">
        <v>187</v>
      </c>
      <c r="B105" s="302"/>
      <c r="C105" s="303" t="s">
        <v>227</v>
      </c>
      <c r="D105" s="303"/>
      <c r="E105" s="303"/>
      <c r="F105" s="97" t="s">
        <v>95</v>
      </c>
      <c r="G105" s="98">
        <v>3.22</v>
      </c>
      <c r="H105" s="88">
        <v>1454712</v>
      </c>
      <c r="I105" s="88">
        <v>1401833</v>
      </c>
      <c r="J105" s="88">
        <f t="shared" si="3"/>
        <v>4513902</v>
      </c>
      <c r="K105" s="133">
        <f t="shared" si="4"/>
        <v>-52879</v>
      </c>
      <c r="L105" s="134">
        <f t="shared" si="5"/>
        <v>0.96364984959222166</v>
      </c>
    </row>
    <row r="106" spans="1:12" ht="60.75" customHeight="1">
      <c r="A106" s="302" t="s">
        <v>189</v>
      </c>
      <c r="B106" s="302"/>
      <c r="C106" s="303" t="s">
        <v>228</v>
      </c>
      <c r="D106" s="303"/>
      <c r="E106" s="303"/>
      <c r="F106" s="97" t="s">
        <v>113</v>
      </c>
      <c r="G106" s="98">
        <v>1</v>
      </c>
      <c r="H106" s="88">
        <v>2638957</v>
      </c>
      <c r="I106" s="88">
        <v>2543031</v>
      </c>
      <c r="J106" s="88">
        <f t="shared" si="3"/>
        <v>2543031</v>
      </c>
      <c r="K106" s="133">
        <f t="shared" si="4"/>
        <v>-95926</v>
      </c>
      <c r="L106" s="134">
        <f t="shared" si="5"/>
        <v>0.96365003294862328</v>
      </c>
    </row>
    <row r="107" spans="1:12" ht="60.75" customHeight="1">
      <c r="A107" s="302" t="s">
        <v>195</v>
      </c>
      <c r="B107" s="302"/>
      <c r="C107" s="303" t="s">
        <v>229</v>
      </c>
      <c r="D107" s="303"/>
      <c r="E107" s="303"/>
      <c r="F107" s="97" t="s">
        <v>98</v>
      </c>
      <c r="G107" s="98">
        <v>279.83999999999997</v>
      </c>
      <c r="H107" s="88">
        <v>879575</v>
      </c>
      <c r="I107" s="88">
        <v>847602</v>
      </c>
      <c r="J107" s="88">
        <f t="shared" si="3"/>
        <v>237192944</v>
      </c>
      <c r="K107" s="133">
        <f t="shared" si="4"/>
        <v>-31973</v>
      </c>
      <c r="L107" s="134">
        <f t="shared" si="5"/>
        <v>0.96364948981041976</v>
      </c>
    </row>
    <row r="108" spans="1:12" ht="60.75" customHeight="1">
      <c r="A108" s="302" t="s">
        <v>230</v>
      </c>
      <c r="B108" s="302"/>
      <c r="C108" s="303" t="s">
        <v>231</v>
      </c>
      <c r="D108" s="303"/>
      <c r="E108" s="303"/>
      <c r="F108" s="97" t="s">
        <v>98</v>
      </c>
      <c r="G108" s="98">
        <v>40</v>
      </c>
      <c r="H108" s="88">
        <v>882113</v>
      </c>
      <c r="I108" s="88">
        <v>850048</v>
      </c>
      <c r="J108" s="88">
        <f t="shared" si="3"/>
        <v>34001920</v>
      </c>
      <c r="K108" s="133">
        <f t="shared" si="4"/>
        <v>-32065</v>
      </c>
      <c r="L108" s="134">
        <f t="shared" si="5"/>
        <v>0.96364978183067251</v>
      </c>
    </row>
    <row r="109" spans="1:12" ht="60.75" customHeight="1">
      <c r="A109" s="302" t="s">
        <v>232</v>
      </c>
      <c r="B109" s="302"/>
      <c r="C109" s="303" t="s">
        <v>233</v>
      </c>
      <c r="D109" s="303"/>
      <c r="E109" s="303"/>
      <c r="F109" s="97" t="s">
        <v>98</v>
      </c>
      <c r="G109" s="98">
        <v>8</v>
      </c>
      <c r="H109" s="88">
        <v>1651657</v>
      </c>
      <c r="I109" s="88">
        <v>1591619</v>
      </c>
      <c r="J109" s="88">
        <f t="shared" si="3"/>
        <v>12732952</v>
      </c>
      <c r="K109" s="133">
        <f t="shared" si="4"/>
        <v>-60038</v>
      </c>
      <c r="L109" s="134">
        <f t="shared" si="5"/>
        <v>0.9636498377084346</v>
      </c>
    </row>
    <row r="110" spans="1:12" ht="60.75" customHeight="1">
      <c r="A110" s="302" t="s">
        <v>234</v>
      </c>
      <c r="B110" s="302"/>
      <c r="C110" s="303" t="s">
        <v>235</v>
      </c>
      <c r="D110" s="303"/>
      <c r="E110" s="303"/>
      <c r="F110" s="97" t="s">
        <v>95</v>
      </c>
      <c r="G110" s="98">
        <v>60</v>
      </c>
      <c r="H110" s="88">
        <v>84894</v>
      </c>
      <c r="I110" s="88">
        <v>81808</v>
      </c>
      <c r="J110" s="88">
        <f t="shared" si="3"/>
        <v>4908480</v>
      </c>
      <c r="K110" s="133">
        <f t="shared" si="4"/>
        <v>-3086</v>
      </c>
      <c r="L110" s="134">
        <f t="shared" si="5"/>
        <v>0.96364878554432587</v>
      </c>
    </row>
    <row r="111" spans="1:12" ht="60.75" customHeight="1">
      <c r="A111" s="302" t="s">
        <v>236</v>
      </c>
      <c r="B111" s="302"/>
      <c r="C111" s="303" t="s">
        <v>237</v>
      </c>
      <c r="D111" s="303"/>
      <c r="E111" s="303"/>
      <c r="F111" s="97" t="s">
        <v>113</v>
      </c>
      <c r="G111" s="98">
        <v>46</v>
      </c>
      <c r="H111" s="88">
        <v>142900</v>
      </c>
      <c r="I111" s="88">
        <v>137706</v>
      </c>
      <c r="J111" s="88">
        <f t="shared" si="3"/>
        <v>6334476</v>
      </c>
      <c r="K111" s="133">
        <f t="shared" si="4"/>
        <v>-5194</v>
      </c>
      <c r="L111" s="134">
        <f t="shared" si="5"/>
        <v>0.96365290412876137</v>
      </c>
    </row>
    <row r="112" spans="1:12" ht="60.75" customHeight="1">
      <c r="A112" s="302" t="s">
        <v>197</v>
      </c>
      <c r="B112" s="302"/>
      <c r="C112" s="303" t="s">
        <v>238</v>
      </c>
      <c r="D112" s="303"/>
      <c r="E112" s="303"/>
      <c r="F112" s="97" t="s">
        <v>113</v>
      </c>
      <c r="G112" s="98">
        <v>1</v>
      </c>
      <c r="H112" s="88">
        <v>1176585</v>
      </c>
      <c r="I112" s="88">
        <v>1133816</v>
      </c>
      <c r="J112" s="88">
        <f t="shared" si="3"/>
        <v>1133816</v>
      </c>
      <c r="K112" s="133">
        <f t="shared" si="4"/>
        <v>-42769</v>
      </c>
      <c r="L112" s="134">
        <f t="shared" si="5"/>
        <v>0.96364988504867899</v>
      </c>
    </row>
    <row r="113" spans="1:12" ht="60.75" customHeight="1">
      <c r="A113" s="302" t="s">
        <v>199</v>
      </c>
      <c r="B113" s="302"/>
      <c r="C113" s="303" t="s">
        <v>239</v>
      </c>
      <c r="D113" s="303"/>
      <c r="E113" s="303"/>
      <c r="F113" s="97" t="s">
        <v>95</v>
      </c>
      <c r="G113" s="98">
        <v>30</v>
      </c>
      <c r="H113" s="88">
        <v>363800</v>
      </c>
      <c r="I113" s="88">
        <v>350576</v>
      </c>
      <c r="J113" s="88">
        <f t="shared" si="3"/>
        <v>10517280</v>
      </c>
      <c r="K113" s="133">
        <f t="shared" si="4"/>
        <v>-13224</v>
      </c>
      <c r="L113" s="134">
        <f t="shared" si="5"/>
        <v>0.96365035733919735</v>
      </c>
    </row>
    <row r="114" spans="1:12" ht="60.75" customHeight="1">
      <c r="A114" s="302" t="s">
        <v>240</v>
      </c>
      <c r="B114" s="302"/>
      <c r="C114" s="303" t="s">
        <v>241</v>
      </c>
      <c r="D114" s="303"/>
      <c r="E114" s="303"/>
      <c r="F114" s="94" t="s">
        <v>98</v>
      </c>
      <c r="G114" s="95">
        <v>509.69</v>
      </c>
      <c r="H114" s="88">
        <v>33664</v>
      </c>
      <c r="I114" s="88">
        <v>32440</v>
      </c>
      <c r="J114" s="88">
        <f t="shared" si="3"/>
        <v>16534344</v>
      </c>
      <c r="K114" s="133">
        <f t="shared" si="4"/>
        <v>-1224</v>
      </c>
      <c r="L114" s="134">
        <f t="shared" si="5"/>
        <v>0.96364068441064643</v>
      </c>
    </row>
    <row r="115" spans="1:12" ht="60.75" customHeight="1">
      <c r="A115" s="302" t="s">
        <v>242</v>
      </c>
      <c r="B115" s="302"/>
      <c r="C115" s="303" t="s">
        <v>243</v>
      </c>
      <c r="D115" s="303"/>
      <c r="E115" s="303"/>
      <c r="F115" s="94" t="s">
        <v>98</v>
      </c>
      <c r="G115" s="95">
        <v>100</v>
      </c>
      <c r="H115" s="88">
        <v>40123</v>
      </c>
      <c r="I115" s="88">
        <v>38665</v>
      </c>
      <c r="J115" s="88">
        <f t="shared" si="3"/>
        <v>3866500</v>
      </c>
      <c r="K115" s="133">
        <f t="shared" si="4"/>
        <v>-1458</v>
      </c>
      <c r="L115" s="134">
        <f t="shared" si="5"/>
        <v>0.96366174014904171</v>
      </c>
    </row>
    <row r="116" spans="1:12" ht="60.75" customHeight="1">
      <c r="A116" s="302" t="s">
        <v>244</v>
      </c>
      <c r="B116" s="302"/>
      <c r="C116" s="303" t="s">
        <v>245</v>
      </c>
      <c r="D116" s="303"/>
      <c r="E116" s="303"/>
      <c r="F116" s="94" t="s">
        <v>98</v>
      </c>
      <c r="G116" s="95">
        <v>40</v>
      </c>
      <c r="H116" s="88">
        <v>38208</v>
      </c>
      <c r="I116" s="88">
        <v>36819</v>
      </c>
      <c r="J116" s="88">
        <f t="shared" si="3"/>
        <v>1472760</v>
      </c>
      <c r="K116" s="133">
        <f t="shared" si="4"/>
        <v>-1389</v>
      </c>
      <c r="L116" s="134">
        <f t="shared" si="5"/>
        <v>0.96364635678391963</v>
      </c>
    </row>
    <row r="117" spans="1:12" ht="60.75" customHeight="1">
      <c r="A117" s="302" t="s">
        <v>246</v>
      </c>
      <c r="B117" s="302"/>
      <c r="C117" s="303" t="s">
        <v>247</v>
      </c>
      <c r="D117" s="303"/>
      <c r="E117" s="303"/>
      <c r="F117" s="94" t="s">
        <v>98</v>
      </c>
      <c r="G117" s="95">
        <v>25</v>
      </c>
      <c r="H117" s="88">
        <v>38208</v>
      </c>
      <c r="I117" s="88">
        <v>36819</v>
      </c>
      <c r="J117" s="88">
        <f t="shared" si="3"/>
        <v>920475</v>
      </c>
      <c r="K117" s="133">
        <f t="shared" si="4"/>
        <v>-1389</v>
      </c>
      <c r="L117" s="134">
        <f t="shared" si="5"/>
        <v>0.96364635678391963</v>
      </c>
    </row>
    <row r="118" spans="1:12" ht="60.75" customHeight="1">
      <c r="A118" s="304" t="s">
        <v>248</v>
      </c>
      <c r="B118" s="305"/>
      <c r="C118" s="305"/>
      <c r="D118" s="305"/>
      <c r="E118" s="305"/>
      <c r="F118" s="305"/>
      <c r="G118" s="305"/>
      <c r="H118" s="305"/>
      <c r="I118" s="306"/>
      <c r="J118" s="101">
        <f>SUM(J79:J117)</f>
        <v>917820511</v>
      </c>
      <c r="K118" s="133">
        <f t="shared" si="4"/>
        <v>0</v>
      </c>
      <c r="L118" s="134" t="e">
        <f t="shared" si="5"/>
        <v>#DIV/0!</v>
      </c>
    </row>
    <row r="119" spans="1:12" ht="60.75" customHeight="1">
      <c r="A119" s="302" t="s">
        <v>93</v>
      </c>
      <c r="B119" s="302"/>
      <c r="C119" s="303" t="s">
        <v>249</v>
      </c>
      <c r="D119" s="303"/>
      <c r="E119" s="303"/>
      <c r="F119" s="94" t="s">
        <v>98</v>
      </c>
      <c r="G119" s="95">
        <v>860</v>
      </c>
      <c r="H119" s="88">
        <v>38338</v>
      </c>
      <c r="I119" s="88">
        <v>36944</v>
      </c>
      <c r="J119" s="88">
        <f t="shared" si="3"/>
        <v>31771840</v>
      </c>
      <c r="K119" s="133">
        <f t="shared" si="4"/>
        <v>-1394</v>
      </c>
      <c r="L119" s="134">
        <f t="shared" si="5"/>
        <v>0.96363920913975687</v>
      </c>
    </row>
    <row r="120" spans="1:12" ht="60.75" customHeight="1">
      <c r="A120" s="302" t="s">
        <v>96</v>
      </c>
      <c r="B120" s="302"/>
      <c r="C120" s="303" t="s">
        <v>150</v>
      </c>
      <c r="D120" s="303"/>
      <c r="E120" s="303"/>
      <c r="F120" s="94" t="s">
        <v>113</v>
      </c>
      <c r="G120" s="95">
        <v>180</v>
      </c>
      <c r="H120" s="88">
        <v>96339</v>
      </c>
      <c r="I120" s="88">
        <v>92837</v>
      </c>
      <c r="J120" s="88">
        <f t="shared" si="3"/>
        <v>16710660</v>
      </c>
      <c r="K120" s="133">
        <f t="shared" si="4"/>
        <v>-3502</v>
      </c>
      <c r="L120" s="134">
        <f t="shared" si="5"/>
        <v>0.96364919710605257</v>
      </c>
    </row>
    <row r="121" spans="1:12" ht="60.75" customHeight="1">
      <c r="A121" s="302" t="s">
        <v>145</v>
      </c>
      <c r="B121" s="302"/>
      <c r="C121" s="303" t="s">
        <v>152</v>
      </c>
      <c r="D121" s="303"/>
      <c r="E121" s="303"/>
      <c r="F121" s="94" t="s">
        <v>98</v>
      </c>
      <c r="G121" s="102">
        <v>4</v>
      </c>
      <c r="H121" s="88">
        <v>95199</v>
      </c>
      <c r="I121" s="88">
        <v>91739</v>
      </c>
      <c r="J121" s="88">
        <f t="shared" si="3"/>
        <v>366956</v>
      </c>
      <c r="K121" s="133">
        <f t="shared" si="4"/>
        <v>-3460</v>
      </c>
      <c r="L121" s="134">
        <f t="shared" si="5"/>
        <v>0.96365508041050851</v>
      </c>
    </row>
    <row r="122" spans="1:12" ht="60.75" customHeight="1">
      <c r="A122" s="302" t="s">
        <v>99</v>
      </c>
      <c r="B122" s="302"/>
      <c r="C122" s="303" t="s">
        <v>250</v>
      </c>
      <c r="D122" s="303"/>
      <c r="E122" s="303"/>
      <c r="F122" s="94" t="s">
        <v>98</v>
      </c>
      <c r="G122" s="95">
        <v>860</v>
      </c>
      <c r="H122" s="88">
        <v>130620</v>
      </c>
      <c r="I122" s="88">
        <v>125872</v>
      </c>
      <c r="J122" s="88">
        <f t="shared" si="3"/>
        <v>108249920</v>
      </c>
      <c r="K122" s="133">
        <f t="shared" si="4"/>
        <v>-4748</v>
      </c>
      <c r="L122" s="134">
        <f t="shared" si="5"/>
        <v>0.96365028326443114</v>
      </c>
    </row>
    <row r="123" spans="1:12" ht="60.75" customHeight="1">
      <c r="A123" s="302" t="s">
        <v>116</v>
      </c>
      <c r="B123" s="302"/>
      <c r="C123" s="303" t="s">
        <v>158</v>
      </c>
      <c r="D123" s="303"/>
      <c r="E123" s="303"/>
      <c r="F123" s="94" t="s">
        <v>98</v>
      </c>
      <c r="G123" s="95">
        <v>860</v>
      </c>
      <c r="H123" s="88">
        <v>194913</v>
      </c>
      <c r="I123" s="88">
        <v>187828</v>
      </c>
      <c r="J123" s="88">
        <f t="shared" si="3"/>
        <v>161532080</v>
      </c>
      <c r="K123" s="133">
        <f t="shared" si="4"/>
        <v>-7085</v>
      </c>
      <c r="L123" s="134">
        <f t="shared" si="5"/>
        <v>0.96365044917476006</v>
      </c>
    </row>
    <row r="124" spans="1:12" ht="60.75" customHeight="1">
      <c r="A124" s="302" t="s">
        <v>124</v>
      </c>
      <c r="B124" s="302"/>
      <c r="C124" s="303" t="s">
        <v>167</v>
      </c>
      <c r="D124" s="303"/>
      <c r="E124" s="303"/>
      <c r="F124" s="94" t="s">
        <v>113</v>
      </c>
      <c r="G124" s="95">
        <v>20</v>
      </c>
      <c r="H124" s="88">
        <v>319533</v>
      </c>
      <c r="I124" s="88">
        <v>307918</v>
      </c>
      <c r="J124" s="88">
        <f t="shared" si="3"/>
        <v>6158360</v>
      </c>
      <c r="K124" s="133">
        <f t="shared" si="4"/>
        <v>-11615</v>
      </c>
      <c r="L124" s="134">
        <f t="shared" si="5"/>
        <v>0.96365007683087511</v>
      </c>
    </row>
    <row r="125" spans="1:12" ht="60.75" customHeight="1">
      <c r="A125" s="302" t="s">
        <v>126</v>
      </c>
      <c r="B125" s="302"/>
      <c r="C125" s="303" t="s">
        <v>169</v>
      </c>
      <c r="D125" s="303"/>
      <c r="E125" s="303"/>
      <c r="F125" s="94" t="s">
        <v>113</v>
      </c>
      <c r="G125" s="95">
        <v>20</v>
      </c>
      <c r="H125" s="88">
        <v>233891</v>
      </c>
      <c r="I125" s="88">
        <v>225389</v>
      </c>
      <c r="J125" s="88">
        <f t="shared" si="3"/>
        <v>4507780</v>
      </c>
      <c r="K125" s="133">
        <f t="shared" si="4"/>
        <v>-8502</v>
      </c>
      <c r="L125" s="134">
        <f t="shared" si="5"/>
        <v>0.96364973427793288</v>
      </c>
    </row>
    <row r="126" spans="1:12" ht="60.75" customHeight="1">
      <c r="A126" s="302" t="s">
        <v>128</v>
      </c>
      <c r="B126" s="302"/>
      <c r="C126" s="303" t="s">
        <v>251</v>
      </c>
      <c r="D126" s="303"/>
      <c r="E126" s="303"/>
      <c r="F126" s="94" t="s">
        <v>113</v>
      </c>
      <c r="G126" s="95">
        <v>113</v>
      </c>
      <c r="H126" s="88">
        <v>98830</v>
      </c>
      <c r="I126" s="88">
        <v>95238</v>
      </c>
      <c r="J126" s="88">
        <f t="shared" si="3"/>
        <v>10761894</v>
      </c>
      <c r="K126" s="133">
        <f t="shared" si="4"/>
        <v>-3592</v>
      </c>
      <c r="L126" s="134">
        <f t="shared" si="5"/>
        <v>0.96365476070019229</v>
      </c>
    </row>
    <row r="127" spans="1:12" ht="60.75" customHeight="1">
      <c r="A127" s="302" t="s">
        <v>130</v>
      </c>
      <c r="B127" s="302"/>
      <c r="C127" s="303" t="s">
        <v>173</v>
      </c>
      <c r="D127" s="303"/>
      <c r="E127" s="303"/>
      <c r="F127" s="94" t="s">
        <v>113</v>
      </c>
      <c r="G127" s="95">
        <v>8</v>
      </c>
      <c r="H127" s="88">
        <v>215750</v>
      </c>
      <c r="I127" s="88">
        <v>207907</v>
      </c>
      <c r="J127" s="88">
        <f t="shared" si="3"/>
        <v>1663256</v>
      </c>
      <c r="K127" s="133">
        <f t="shared" si="4"/>
        <v>-7843</v>
      </c>
      <c r="L127" s="134">
        <f t="shared" si="5"/>
        <v>0.96364774044032442</v>
      </c>
    </row>
    <row r="128" spans="1:12" ht="60.75" customHeight="1">
      <c r="A128" s="302" t="s">
        <v>132</v>
      </c>
      <c r="B128" s="302"/>
      <c r="C128" s="303" t="s">
        <v>175</v>
      </c>
      <c r="D128" s="303"/>
      <c r="E128" s="303"/>
      <c r="F128" s="94" t="s">
        <v>113</v>
      </c>
      <c r="G128" s="95">
        <v>4</v>
      </c>
      <c r="H128" s="88">
        <v>200830</v>
      </c>
      <c r="I128" s="88">
        <v>193530</v>
      </c>
      <c r="J128" s="88">
        <f t="shared" si="3"/>
        <v>774120</v>
      </c>
      <c r="K128" s="133">
        <f t="shared" si="4"/>
        <v>-7300</v>
      </c>
      <c r="L128" s="134">
        <f t="shared" si="5"/>
        <v>0.96365084897674647</v>
      </c>
    </row>
    <row r="129" spans="1:13" ht="60.75" customHeight="1">
      <c r="A129" s="302" t="s">
        <v>136</v>
      </c>
      <c r="B129" s="302"/>
      <c r="C129" s="303" t="s">
        <v>196</v>
      </c>
      <c r="D129" s="303"/>
      <c r="E129" s="303"/>
      <c r="F129" s="94" t="s">
        <v>113</v>
      </c>
      <c r="G129" s="95">
        <v>1</v>
      </c>
      <c r="H129" s="88">
        <v>1025000</v>
      </c>
      <c r="I129" s="88">
        <v>987741</v>
      </c>
      <c r="J129" s="88">
        <f t="shared" si="3"/>
        <v>987741</v>
      </c>
      <c r="K129" s="133">
        <f t="shared" si="4"/>
        <v>-37259</v>
      </c>
      <c r="L129" s="134">
        <f t="shared" si="5"/>
        <v>0.96364975609756098</v>
      </c>
    </row>
    <row r="130" spans="1:13" ht="60.75" customHeight="1">
      <c r="A130" s="302" t="s">
        <v>140</v>
      </c>
      <c r="B130" s="302"/>
      <c r="C130" s="303" t="s">
        <v>198</v>
      </c>
      <c r="D130" s="303"/>
      <c r="E130" s="303"/>
      <c r="F130" s="94" t="s">
        <v>98</v>
      </c>
      <c r="G130" s="95">
        <v>880</v>
      </c>
      <c r="H130" s="88">
        <v>35833</v>
      </c>
      <c r="I130" s="88">
        <v>34530</v>
      </c>
      <c r="J130" s="88">
        <f t="shared" si="3"/>
        <v>30386400</v>
      </c>
      <c r="K130" s="133">
        <f t="shared" si="4"/>
        <v>-1303</v>
      </c>
      <c r="L130" s="134">
        <f t="shared" si="5"/>
        <v>0.96363687104066087</v>
      </c>
    </row>
    <row r="131" spans="1:13" ht="60.75" customHeight="1">
      <c r="A131" s="296" t="s">
        <v>252</v>
      </c>
      <c r="B131" s="297"/>
      <c r="C131" s="297"/>
      <c r="D131" s="297"/>
      <c r="E131" s="297"/>
      <c r="F131" s="297"/>
      <c r="G131" s="297"/>
      <c r="H131" s="297"/>
      <c r="I131" s="298"/>
      <c r="J131" s="104">
        <f>SUM(J119:J130)</f>
        <v>373871007</v>
      </c>
      <c r="K131" s="133">
        <f t="shared" si="4"/>
        <v>0</v>
      </c>
      <c r="L131" s="134" t="e">
        <f t="shared" si="5"/>
        <v>#DIV/0!</v>
      </c>
    </row>
    <row r="132" spans="1:13" ht="60.75" customHeight="1">
      <c r="A132" s="299" t="s">
        <v>253</v>
      </c>
      <c r="B132" s="300"/>
      <c r="C132" s="300"/>
      <c r="D132" s="300"/>
      <c r="E132" s="300"/>
      <c r="F132" s="300"/>
      <c r="G132" s="300"/>
      <c r="H132" s="301"/>
      <c r="I132" s="105">
        <v>375260597</v>
      </c>
      <c r="J132" s="104">
        <f>+J118+J78+J73+J39+J131</f>
        <v>3752605972</v>
      </c>
      <c r="K132" s="133"/>
      <c r="L132" s="134"/>
    </row>
    <row r="133" spans="1:13" ht="41.25" customHeight="1">
      <c r="A133" s="286" t="s">
        <v>254</v>
      </c>
      <c r="B133" s="287"/>
      <c r="C133" s="287"/>
      <c r="D133" s="288"/>
      <c r="E133" s="106">
        <v>0.12</v>
      </c>
      <c r="F133" s="289">
        <v>0.12</v>
      </c>
      <c r="G133" s="290"/>
      <c r="H133" s="291"/>
      <c r="I133" s="108">
        <v>45031272</v>
      </c>
      <c r="J133" s="108">
        <f>+ROUND($J$132*F133,0)</f>
        <v>450312717</v>
      </c>
      <c r="K133" s="135">
        <f>+F133-E133</f>
        <v>0</v>
      </c>
      <c r="L133" s="134">
        <f>+F133/E133</f>
        <v>1</v>
      </c>
    </row>
    <row r="134" spans="1:13" ht="35.25" customHeight="1">
      <c r="A134" s="286" t="s">
        <v>255</v>
      </c>
      <c r="B134" s="287"/>
      <c r="C134" s="287"/>
      <c r="D134" s="288"/>
      <c r="E134" s="106">
        <v>0.03</v>
      </c>
      <c r="F134" s="289">
        <v>0.03</v>
      </c>
      <c r="G134" s="290"/>
      <c r="H134" s="291"/>
      <c r="I134" s="108">
        <v>11257818</v>
      </c>
      <c r="J134" s="108">
        <f t="shared" ref="J134:J135" si="6">+ROUND($J$132*F134,0)</f>
        <v>112578179</v>
      </c>
      <c r="K134" s="135">
        <f t="shared" ref="K134:K135" si="7">+F134-E134</f>
        <v>0</v>
      </c>
      <c r="L134" s="134">
        <f t="shared" ref="L134:L135" si="8">+F134/E134</f>
        <v>1</v>
      </c>
    </row>
    <row r="135" spans="1:13" ht="31.5" customHeight="1">
      <c r="A135" s="286" t="s">
        <v>256</v>
      </c>
      <c r="B135" s="287"/>
      <c r="C135" s="287"/>
      <c r="D135" s="288"/>
      <c r="E135" s="106">
        <v>7.0000000000000007E-2</v>
      </c>
      <c r="F135" s="289">
        <v>7.0000000000000007E-2</v>
      </c>
      <c r="G135" s="290"/>
      <c r="H135" s="291"/>
      <c r="I135" s="108">
        <v>26268242</v>
      </c>
      <c r="J135" s="108">
        <f t="shared" si="6"/>
        <v>262682418</v>
      </c>
      <c r="K135" s="135">
        <f t="shared" si="7"/>
        <v>0</v>
      </c>
      <c r="L135" s="134">
        <f t="shared" si="8"/>
        <v>1</v>
      </c>
    </row>
    <row r="136" spans="1:13" ht="33.75" customHeight="1">
      <c r="A136" s="286" t="s">
        <v>257</v>
      </c>
      <c r="B136" s="287"/>
      <c r="C136" s="287"/>
      <c r="D136" s="288"/>
      <c r="E136" s="289">
        <v>0.19</v>
      </c>
      <c r="F136" s="290"/>
      <c r="G136" s="290"/>
      <c r="H136" s="291"/>
      <c r="I136" s="108">
        <v>4990966</v>
      </c>
      <c r="J136" s="108">
        <f>+ROUND(J135*E136,0)</f>
        <v>49909659</v>
      </c>
      <c r="K136" s="135"/>
      <c r="L136" s="134"/>
    </row>
    <row r="137" spans="1:13" ht="42" customHeight="1">
      <c r="A137" s="292" t="s">
        <v>258</v>
      </c>
      <c r="B137" s="293"/>
      <c r="C137" s="293"/>
      <c r="D137" s="293"/>
      <c r="E137" s="293"/>
      <c r="F137" s="293"/>
      <c r="G137" s="293"/>
      <c r="H137" s="294"/>
      <c r="I137" s="109">
        <v>462808895</v>
      </c>
      <c r="J137" s="109">
        <f>SUM(J132:J136)</f>
        <v>4628088945</v>
      </c>
      <c r="K137" s="133"/>
      <c r="L137" s="134"/>
    </row>
    <row r="138" spans="1:13" ht="60.75" customHeight="1">
      <c r="A138" s="295" t="s">
        <v>259</v>
      </c>
      <c r="B138" s="295"/>
      <c r="C138" s="295"/>
      <c r="D138" s="295"/>
      <c r="E138" s="295"/>
      <c r="F138" s="295"/>
      <c r="G138" s="295"/>
      <c r="H138" s="295"/>
      <c r="I138" s="295"/>
      <c r="J138" s="111">
        <f>+I137+J137</f>
        <v>5090897840</v>
      </c>
      <c r="K138" s="137">
        <f>+J138-'CONSOLIDADO FINANCIERO'!L7</f>
        <v>-192034126</v>
      </c>
      <c r="L138" s="134">
        <f>+J138/'CONSOLIDADO FINANCIERO'!L7</f>
        <v>0.96365008536246599</v>
      </c>
      <c r="M138" s="151">
        <f>+L138-1</f>
        <v>-3.6349914637534009E-2</v>
      </c>
    </row>
    <row r="139" spans="1:13" ht="15.75" customHeight="1" thickBot="1"/>
    <row r="140" spans="1:13" ht="215.25" customHeight="1" thickBot="1">
      <c r="A140" s="282" t="s">
        <v>260</v>
      </c>
      <c r="B140" s="283"/>
      <c r="C140" s="283"/>
      <c r="D140" s="283"/>
      <c r="E140" s="283"/>
      <c r="F140" s="283"/>
      <c r="G140" s="283"/>
      <c r="H140" s="283"/>
      <c r="I140" s="283"/>
      <c r="J140" s="283"/>
      <c r="K140" s="283"/>
      <c r="L140" s="283"/>
      <c r="M140" s="284"/>
    </row>
    <row r="141" spans="1:13" ht="2.25" customHeight="1" thickBot="1">
      <c r="A141" s="112"/>
      <c r="B141" s="112"/>
      <c r="C141" s="112"/>
      <c r="D141" s="112"/>
      <c r="E141" s="112"/>
      <c r="F141" s="113"/>
      <c r="G141" s="113"/>
      <c r="H141" s="113"/>
      <c r="I141" s="113"/>
      <c r="J141" s="113"/>
      <c r="K141" s="113"/>
      <c r="L141" s="113"/>
      <c r="M141" s="113"/>
    </row>
    <row r="142" spans="1:13" ht="57" customHeight="1" thickBot="1">
      <c r="A142" s="114"/>
      <c r="B142" s="115"/>
      <c r="C142" s="116"/>
      <c r="D142" s="116"/>
      <c r="E142" s="117"/>
      <c r="F142" s="117"/>
      <c r="G142" s="117"/>
      <c r="H142" s="117"/>
      <c r="I142" s="117"/>
      <c r="J142" s="117"/>
      <c r="K142" s="117"/>
      <c r="L142" s="117"/>
      <c r="M142" s="118"/>
    </row>
    <row r="143" spans="1:13" ht="16.5">
      <c r="A143" s="119"/>
      <c r="B143" s="152" t="s">
        <v>261</v>
      </c>
      <c r="C143" s="152"/>
      <c r="D143" s="121"/>
      <c r="E143" s="122"/>
      <c r="F143" s="112"/>
      <c r="G143" s="112"/>
      <c r="H143" s="112"/>
      <c r="I143" s="112"/>
      <c r="J143" s="112"/>
      <c r="K143" s="112"/>
      <c r="L143" s="112"/>
      <c r="M143" s="123"/>
    </row>
    <row r="144" spans="1:13" ht="17.25" thickBot="1">
      <c r="A144" s="124"/>
      <c r="B144" s="153" t="s">
        <v>285</v>
      </c>
      <c r="C144" s="126"/>
      <c r="D144" s="126"/>
      <c r="E144" s="127"/>
      <c r="F144" s="128"/>
      <c r="G144" s="128"/>
      <c r="H144" s="128"/>
      <c r="I144" s="128"/>
      <c r="J144" s="128"/>
      <c r="K144" s="128"/>
      <c r="L144" s="128"/>
      <c r="M144" s="129"/>
    </row>
    <row r="145" spans="1:7">
      <c r="A145" s="130"/>
      <c r="C145" s="131"/>
      <c r="D145" s="131"/>
      <c r="E145" s="131"/>
      <c r="F145" s="131"/>
      <c r="G145" s="131"/>
    </row>
  </sheetData>
  <sheetProtection algorithmName="SHA-512" hashValue="rKcsSYrCC5C+ReDrfBPTGbGxhfpVSsyCThFxeB8JX8qTz+18TltIhMukRHKfMTmHq7nLnjp8kQSG9SjGrQB04A==" saltValue="N+P1Wiap2Hz4brCejlLrdg==" spinCount="100000" sheet="1" objects="1" scenarios="1"/>
  <mergeCells count="261">
    <mergeCell ref="A8:D8"/>
    <mergeCell ref="E8:J8"/>
    <mergeCell ref="A9:D9"/>
    <mergeCell ref="E9:J9"/>
    <mergeCell ref="A10:D10"/>
    <mergeCell ref="E10:J10"/>
    <mergeCell ref="A1:D4"/>
    <mergeCell ref="E1:J4"/>
    <mergeCell ref="A5:J5"/>
    <mergeCell ref="A6:D6"/>
    <mergeCell ref="E6:J6"/>
    <mergeCell ref="A7:D7"/>
    <mergeCell ref="E7:J7"/>
    <mergeCell ref="A16:B16"/>
    <mergeCell ref="C16:E16"/>
    <mergeCell ref="A17:B17"/>
    <mergeCell ref="C17:E17"/>
    <mergeCell ref="A18:B18"/>
    <mergeCell ref="C18:E18"/>
    <mergeCell ref="A11:D11"/>
    <mergeCell ref="E11:J11"/>
    <mergeCell ref="A12:J12"/>
    <mergeCell ref="A14:B15"/>
    <mergeCell ref="C14:E15"/>
    <mergeCell ref="F14:F15"/>
    <mergeCell ref="G14:G15"/>
    <mergeCell ref="H14:H15"/>
    <mergeCell ref="I14:J14"/>
    <mergeCell ref="A22:B22"/>
    <mergeCell ref="C22:E22"/>
    <mergeCell ref="A23:B23"/>
    <mergeCell ref="C23:E23"/>
    <mergeCell ref="A24:B24"/>
    <mergeCell ref="C24:E24"/>
    <mergeCell ref="A19:B19"/>
    <mergeCell ref="C19:E19"/>
    <mergeCell ref="A20:B20"/>
    <mergeCell ref="C20:E20"/>
    <mergeCell ref="A21:B21"/>
    <mergeCell ref="C21:E21"/>
    <mergeCell ref="A28:B28"/>
    <mergeCell ref="C28:E28"/>
    <mergeCell ref="A29:B29"/>
    <mergeCell ref="C29:E29"/>
    <mergeCell ref="A30:B30"/>
    <mergeCell ref="C30:E30"/>
    <mergeCell ref="A25:B25"/>
    <mergeCell ref="C25:E25"/>
    <mergeCell ref="A26:B26"/>
    <mergeCell ref="C26:E26"/>
    <mergeCell ref="A27:B27"/>
    <mergeCell ref="C27:E27"/>
    <mergeCell ref="A34:B34"/>
    <mergeCell ref="C34:E34"/>
    <mergeCell ref="A35:B35"/>
    <mergeCell ref="C35:E35"/>
    <mergeCell ref="A36:B36"/>
    <mergeCell ref="C36:E36"/>
    <mergeCell ref="A31:B31"/>
    <mergeCell ref="C31:E31"/>
    <mergeCell ref="A32:B32"/>
    <mergeCell ref="C32:E32"/>
    <mergeCell ref="A33:B33"/>
    <mergeCell ref="C33:E33"/>
    <mergeCell ref="A41:B41"/>
    <mergeCell ref="C41:E41"/>
    <mergeCell ref="A42:B42"/>
    <mergeCell ref="C42:E42"/>
    <mergeCell ref="A43:B43"/>
    <mergeCell ref="C43:E43"/>
    <mergeCell ref="A37:B37"/>
    <mergeCell ref="C37:E37"/>
    <mergeCell ref="A38:B38"/>
    <mergeCell ref="C38:E38"/>
    <mergeCell ref="A39:I39"/>
    <mergeCell ref="A40:B40"/>
    <mergeCell ref="C40:E40"/>
    <mergeCell ref="A47:B47"/>
    <mergeCell ref="C47:E47"/>
    <mergeCell ref="A48:B48"/>
    <mergeCell ref="C48:E48"/>
    <mergeCell ref="A49:B49"/>
    <mergeCell ref="C49:E49"/>
    <mergeCell ref="A44:B44"/>
    <mergeCell ref="C44:E44"/>
    <mergeCell ref="A45:B45"/>
    <mergeCell ref="C45:E45"/>
    <mergeCell ref="A46:B46"/>
    <mergeCell ref="C46:E46"/>
    <mergeCell ref="A53:B53"/>
    <mergeCell ref="C53:E53"/>
    <mergeCell ref="A54:B54"/>
    <mergeCell ref="C54:E54"/>
    <mergeCell ref="A55:B55"/>
    <mergeCell ref="C55:E55"/>
    <mergeCell ref="A50:B50"/>
    <mergeCell ref="C50:E50"/>
    <mergeCell ref="A51:B51"/>
    <mergeCell ref="C51:E51"/>
    <mergeCell ref="A52:B52"/>
    <mergeCell ref="C52:E52"/>
    <mergeCell ref="A59:B59"/>
    <mergeCell ref="C59:E59"/>
    <mergeCell ref="A60:B60"/>
    <mergeCell ref="C60:E60"/>
    <mergeCell ref="A61:B61"/>
    <mergeCell ref="C61:E61"/>
    <mergeCell ref="A56:B56"/>
    <mergeCell ref="C56:E56"/>
    <mergeCell ref="A57:B57"/>
    <mergeCell ref="C57:E57"/>
    <mergeCell ref="A58:B58"/>
    <mergeCell ref="C58:E58"/>
    <mergeCell ref="A65:B65"/>
    <mergeCell ref="C65:E65"/>
    <mergeCell ref="A66:B66"/>
    <mergeCell ref="C66:E66"/>
    <mergeCell ref="A67:B67"/>
    <mergeCell ref="C67:E67"/>
    <mergeCell ref="A62:B62"/>
    <mergeCell ref="C62:E62"/>
    <mergeCell ref="A63:B63"/>
    <mergeCell ref="C63:E63"/>
    <mergeCell ref="A64:B64"/>
    <mergeCell ref="C64:E64"/>
    <mergeCell ref="A71:B71"/>
    <mergeCell ref="C71:E71"/>
    <mergeCell ref="A72:B72"/>
    <mergeCell ref="C72:E72"/>
    <mergeCell ref="A73:I73"/>
    <mergeCell ref="A74:B74"/>
    <mergeCell ref="C74:E74"/>
    <mergeCell ref="A68:B68"/>
    <mergeCell ref="C68:E68"/>
    <mergeCell ref="A69:B69"/>
    <mergeCell ref="C69:E69"/>
    <mergeCell ref="A70:B70"/>
    <mergeCell ref="C70:E70"/>
    <mergeCell ref="A78:I78"/>
    <mergeCell ref="A79:B79"/>
    <mergeCell ref="C79:E79"/>
    <mergeCell ref="A80:B80"/>
    <mergeCell ref="C80:E80"/>
    <mergeCell ref="A81:B81"/>
    <mergeCell ref="C81:E81"/>
    <mergeCell ref="A75:B75"/>
    <mergeCell ref="C75:E75"/>
    <mergeCell ref="A76:B76"/>
    <mergeCell ref="C76:E76"/>
    <mergeCell ref="A77:B77"/>
    <mergeCell ref="C77:E77"/>
    <mergeCell ref="A85:B85"/>
    <mergeCell ref="C85:E85"/>
    <mergeCell ref="A86:B86"/>
    <mergeCell ref="C86:E86"/>
    <mergeCell ref="A87:B87"/>
    <mergeCell ref="C87:E87"/>
    <mergeCell ref="A82:B82"/>
    <mergeCell ref="C82:E82"/>
    <mergeCell ref="A83:B83"/>
    <mergeCell ref="C83:E83"/>
    <mergeCell ref="A84:B84"/>
    <mergeCell ref="C84:E84"/>
    <mergeCell ref="A91:B91"/>
    <mergeCell ref="C91:E91"/>
    <mergeCell ref="A92:B92"/>
    <mergeCell ref="C92:E92"/>
    <mergeCell ref="A93:B93"/>
    <mergeCell ref="C93:E93"/>
    <mergeCell ref="A88:B88"/>
    <mergeCell ref="C88:E88"/>
    <mergeCell ref="A89:B89"/>
    <mergeCell ref="C89:E89"/>
    <mergeCell ref="A90:B90"/>
    <mergeCell ref="C90:E90"/>
    <mergeCell ref="A97:B97"/>
    <mergeCell ref="C97:E97"/>
    <mergeCell ref="A98:B98"/>
    <mergeCell ref="C98:E98"/>
    <mergeCell ref="A99:B99"/>
    <mergeCell ref="C99:E99"/>
    <mergeCell ref="A94:B94"/>
    <mergeCell ref="C94:E94"/>
    <mergeCell ref="A95:B95"/>
    <mergeCell ref="C95:E95"/>
    <mergeCell ref="A96:B96"/>
    <mergeCell ref="C96:E96"/>
    <mergeCell ref="A103:B103"/>
    <mergeCell ref="C103:E103"/>
    <mergeCell ref="A104:B104"/>
    <mergeCell ref="C104:E104"/>
    <mergeCell ref="A105:B105"/>
    <mergeCell ref="C105:E105"/>
    <mergeCell ref="A100:B100"/>
    <mergeCell ref="C100:E100"/>
    <mergeCell ref="A101:B101"/>
    <mergeCell ref="C101:E101"/>
    <mergeCell ref="A102:B102"/>
    <mergeCell ref="C102:E102"/>
    <mergeCell ref="A109:B109"/>
    <mergeCell ref="C109:E109"/>
    <mergeCell ref="A110:B110"/>
    <mergeCell ref="C110:E110"/>
    <mergeCell ref="A111:B111"/>
    <mergeCell ref="C111:E111"/>
    <mergeCell ref="A106:B106"/>
    <mergeCell ref="C106:E106"/>
    <mergeCell ref="A107:B107"/>
    <mergeCell ref="C107:E107"/>
    <mergeCell ref="A108:B108"/>
    <mergeCell ref="C108:E108"/>
    <mergeCell ref="A115:B115"/>
    <mergeCell ref="C115:E115"/>
    <mergeCell ref="A116:B116"/>
    <mergeCell ref="C116:E116"/>
    <mergeCell ref="A117:B117"/>
    <mergeCell ref="C117:E117"/>
    <mergeCell ref="A112:B112"/>
    <mergeCell ref="C112:E112"/>
    <mergeCell ref="A113:B113"/>
    <mergeCell ref="C113:E113"/>
    <mergeCell ref="A114:B114"/>
    <mergeCell ref="C114:E114"/>
    <mergeCell ref="A122:B122"/>
    <mergeCell ref="C122:E122"/>
    <mergeCell ref="A123:B123"/>
    <mergeCell ref="C123:E123"/>
    <mergeCell ref="A124:B124"/>
    <mergeCell ref="C124:E124"/>
    <mergeCell ref="A118:I118"/>
    <mergeCell ref="A119:B119"/>
    <mergeCell ref="C119:E119"/>
    <mergeCell ref="A120:B120"/>
    <mergeCell ref="C120:E120"/>
    <mergeCell ref="A121:B121"/>
    <mergeCell ref="C121:E121"/>
    <mergeCell ref="A128:B128"/>
    <mergeCell ref="C128:E128"/>
    <mergeCell ref="A129:B129"/>
    <mergeCell ref="C129:E129"/>
    <mergeCell ref="A130:B130"/>
    <mergeCell ref="C130:E130"/>
    <mergeCell ref="A125:B125"/>
    <mergeCell ref="C125:E125"/>
    <mergeCell ref="A126:B126"/>
    <mergeCell ref="C126:E126"/>
    <mergeCell ref="A127:B127"/>
    <mergeCell ref="C127:E127"/>
    <mergeCell ref="A140:M140"/>
    <mergeCell ref="A135:D135"/>
    <mergeCell ref="F135:H135"/>
    <mergeCell ref="A136:D136"/>
    <mergeCell ref="E136:H136"/>
    <mergeCell ref="A137:H137"/>
    <mergeCell ref="A138:I138"/>
    <mergeCell ref="A131:I131"/>
    <mergeCell ref="A132:H132"/>
    <mergeCell ref="A133:D133"/>
    <mergeCell ref="F133:H133"/>
    <mergeCell ref="A134:D134"/>
    <mergeCell ref="F134:H134"/>
  </mergeCells>
  <conditionalFormatting sqref="K16:K138">
    <cfRule type="cellIs" dxfId="242" priority="3" operator="greaterThan">
      <formula>0</formula>
    </cfRule>
    <cfRule type="cellIs" dxfId="241" priority="4" operator="lessThan">
      <formula>0</formula>
    </cfRule>
    <cfRule type="cellIs" dxfId="240" priority="5" operator="lessThan">
      <formula>0</formula>
    </cfRule>
  </conditionalFormatting>
  <conditionalFormatting sqref="L16:L138">
    <cfRule type="cellIs" dxfId="239" priority="1" operator="greaterThan">
      <formula>0.8</formula>
    </cfRule>
    <cfRule type="cellIs" dxfId="238" priority="2" operator="lessThan">
      <formula>0.8</formula>
    </cfRule>
  </conditionalFormatting>
  <pageMargins left="0.7" right="0.7" top="0.75" bottom="0.75" header="0.3" footer="0.3"/>
  <pageSetup paperSize="5" scale="55"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1F760-2DC7-4FD0-AEA0-79C4023C51C9}">
  <sheetPr>
    <tabColor rgb="FF92D050"/>
    <pageSetUpPr fitToPage="1"/>
  </sheetPr>
  <dimension ref="A1:AZ48"/>
  <sheetViews>
    <sheetView topLeftCell="A11" zoomScale="55" zoomScaleNormal="55" zoomScaleSheetLayoutView="50" workbookViewId="0">
      <selection activeCell="I37" sqref="I37:I38"/>
    </sheetView>
  </sheetViews>
  <sheetFormatPr baseColWidth="10" defaultColWidth="11.42578125" defaultRowHeight="16.5"/>
  <cols>
    <col min="1" max="1" width="16" style="2" customWidth="1"/>
    <col min="2" max="2" width="25.42578125" style="2" customWidth="1"/>
    <col min="3" max="3" width="43.42578125" style="2" customWidth="1"/>
    <col min="4" max="4" width="28.28515625" style="2" customWidth="1"/>
    <col min="5" max="5" width="26.140625" style="2" customWidth="1"/>
    <col min="6" max="6" width="32.42578125" style="2" customWidth="1"/>
    <col min="7" max="7" width="29.5703125" style="2" hidden="1" customWidth="1"/>
    <col min="8" max="8" width="32.42578125" style="2" hidden="1" customWidth="1"/>
    <col min="9" max="9" width="33.85546875" style="2" customWidth="1"/>
    <col min="10" max="10" width="23.28515625" style="2" customWidth="1"/>
    <col min="11" max="11" width="28.42578125" style="2" customWidth="1"/>
    <col min="12" max="12" width="33.28515625" style="2" customWidth="1"/>
    <col min="13" max="13" width="11.42578125" style="3" customWidth="1"/>
    <col min="14" max="14" width="15.7109375" style="14" customWidth="1"/>
    <col min="15" max="15" width="41.7109375" style="14" customWidth="1"/>
    <col min="16" max="16" width="23.28515625" style="14" customWidth="1"/>
    <col min="17" max="17" width="11.42578125" style="14" customWidth="1"/>
    <col min="18" max="18" width="11.42578125" style="2"/>
    <col min="19" max="19" width="53.7109375" style="2" customWidth="1"/>
    <col min="20" max="16384" width="11.42578125" style="2"/>
  </cols>
  <sheetData>
    <row r="1" spans="1:17" ht="85.5" customHeight="1" thickBot="1">
      <c r="A1" s="1">
        <v>4</v>
      </c>
      <c r="C1" s="214" t="s">
        <v>29</v>
      </c>
      <c r="D1" s="215"/>
      <c r="E1" s="215"/>
      <c r="F1" s="215"/>
      <c r="G1" s="215"/>
      <c r="H1" s="215"/>
      <c r="I1" s="215"/>
      <c r="J1" s="215"/>
      <c r="K1" s="216"/>
      <c r="L1" s="39"/>
      <c r="N1" s="3"/>
      <c r="O1" s="3"/>
      <c r="P1" s="3"/>
      <c r="Q1" s="3"/>
    </row>
    <row r="2" spans="1:17" ht="16.5" customHeight="1" thickBot="1">
      <c r="A2" s="4"/>
      <c r="B2" s="5"/>
      <c r="C2" s="5"/>
      <c r="D2" s="5"/>
      <c r="E2" s="5"/>
      <c r="F2" s="5"/>
      <c r="G2" s="5"/>
      <c r="H2" s="5"/>
      <c r="I2" s="5"/>
      <c r="J2" s="5"/>
      <c r="K2" s="5"/>
      <c r="L2" s="5"/>
      <c r="N2" s="3"/>
      <c r="O2" s="3"/>
      <c r="P2" s="3"/>
      <c r="Q2" s="3"/>
    </row>
    <row r="3" spans="1:17" ht="54.75" customHeight="1" thickBot="1">
      <c r="A3" s="4"/>
      <c r="B3" s="4"/>
      <c r="C3" s="80" t="s">
        <v>2</v>
      </c>
      <c r="D3" s="217" t="str">
        <f>+'CONSOLIDADO FINANCIERO'!L5</f>
        <v>REALIZAR LAS REPARACIONES LOCATIVAS DE LA INFRAESTRUCTURA FÍSICA DE LA SEDE PRINCIPAL - CNA DEL FONDO NACIONAL DEL AHORRO S.A.</v>
      </c>
      <c r="E3" s="218"/>
      <c r="F3" s="218"/>
      <c r="G3" s="218"/>
      <c r="H3" s="218"/>
      <c r="I3" s="218"/>
      <c r="J3" s="218"/>
      <c r="K3" s="219"/>
      <c r="L3" s="40"/>
      <c r="N3" s="3"/>
      <c r="O3" s="3"/>
      <c r="P3" s="3"/>
      <c r="Q3" s="3"/>
    </row>
    <row r="4" spans="1:17" ht="36.75" customHeight="1">
      <c r="A4" s="4"/>
      <c r="B4" s="4"/>
      <c r="C4" s="7" t="s">
        <v>4</v>
      </c>
      <c r="D4" s="220" t="str">
        <f>+'CONSOLIDADO FINANCIERO'!D6</f>
        <v>FNA-VGHA-CP-015-2024</v>
      </c>
      <c r="E4" s="220"/>
      <c r="F4" s="220"/>
      <c r="G4" s="220"/>
      <c r="H4" s="220"/>
      <c r="I4" s="220"/>
      <c r="J4" s="220"/>
      <c r="K4" s="221"/>
      <c r="L4" s="40"/>
      <c r="N4" s="3"/>
      <c r="O4" s="3"/>
      <c r="P4" s="3"/>
      <c r="Q4" s="3"/>
    </row>
    <row r="5" spans="1:17" ht="35.25" customHeight="1" thickBot="1">
      <c r="A5" s="4"/>
      <c r="B5" s="4"/>
      <c r="C5" s="8" t="s">
        <v>30</v>
      </c>
      <c r="D5" s="222">
        <f>+'CONSOLIDADO FINANCIERO'!L7</f>
        <v>5282931966</v>
      </c>
      <c r="E5" s="222"/>
      <c r="F5" s="222"/>
      <c r="G5" s="222"/>
      <c r="H5" s="222"/>
      <c r="I5" s="222"/>
      <c r="J5" s="222"/>
      <c r="K5" s="223"/>
      <c r="L5" s="40"/>
      <c r="N5" s="3"/>
      <c r="O5" s="3"/>
      <c r="P5" s="3"/>
      <c r="Q5" s="3"/>
    </row>
    <row r="6" spans="1:17" ht="16.5" customHeight="1" thickBot="1">
      <c r="A6" s="4"/>
      <c r="B6" s="4"/>
      <c r="C6" s="9"/>
      <c r="D6" s="10"/>
      <c r="E6" s="10"/>
      <c r="F6" s="10"/>
      <c r="G6" s="10"/>
      <c r="H6" s="10"/>
      <c r="I6" s="10"/>
      <c r="J6" s="10"/>
      <c r="K6" s="10"/>
      <c r="L6" s="40"/>
      <c r="N6" s="3"/>
      <c r="O6" s="3"/>
      <c r="P6" s="3"/>
      <c r="Q6" s="3"/>
    </row>
    <row r="7" spans="1:17" ht="60" customHeight="1" thickBot="1">
      <c r="A7" s="4"/>
      <c r="B7" s="4"/>
      <c r="C7" s="224" t="s">
        <v>31</v>
      </c>
      <c r="D7" s="225"/>
      <c r="E7" s="225"/>
      <c r="F7" s="225"/>
      <c r="G7" s="225"/>
      <c r="H7" s="225"/>
      <c r="I7" s="225"/>
      <c r="J7" s="225"/>
      <c r="K7" s="226"/>
      <c r="L7" s="40"/>
      <c r="N7" s="3"/>
      <c r="O7" s="3"/>
      <c r="P7" s="3"/>
      <c r="Q7" s="3"/>
    </row>
    <row r="8" spans="1:17" ht="42.75" customHeight="1" thickBot="1">
      <c r="A8" s="4"/>
      <c r="B8" s="4"/>
      <c r="C8" s="227" t="s">
        <v>286</v>
      </c>
      <c r="D8" s="228"/>
      <c r="E8" s="228"/>
      <c r="F8" s="228"/>
      <c r="G8" s="228"/>
      <c r="H8" s="228"/>
      <c r="I8" s="228"/>
      <c r="J8" s="228"/>
      <c r="K8" s="229"/>
      <c r="L8" s="40"/>
      <c r="N8" s="3"/>
      <c r="O8" s="3"/>
      <c r="P8" s="3"/>
      <c r="Q8" s="3"/>
    </row>
    <row r="9" spans="1:17" ht="36.75" customHeight="1">
      <c r="A9" s="4"/>
      <c r="B9" s="4"/>
      <c r="C9" s="6" t="s">
        <v>33</v>
      </c>
      <c r="D9" s="234">
        <v>45643</v>
      </c>
      <c r="E9" s="234"/>
      <c r="F9" s="234"/>
      <c r="G9" s="234"/>
      <c r="H9" s="234"/>
      <c r="I9" s="234"/>
      <c r="J9" s="235"/>
      <c r="K9" s="236"/>
      <c r="L9" s="40"/>
      <c r="N9" s="3"/>
      <c r="O9" s="3"/>
      <c r="P9" s="3"/>
      <c r="Q9" s="3"/>
    </row>
    <row r="10" spans="1:17" ht="36.75" customHeight="1" thickBot="1">
      <c r="A10" s="4"/>
      <c r="B10" s="4"/>
      <c r="C10" s="7" t="s">
        <v>34</v>
      </c>
      <c r="D10" s="230">
        <v>45629</v>
      </c>
      <c r="E10" s="230"/>
      <c r="F10" s="230"/>
      <c r="G10" s="230"/>
      <c r="H10" s="230"/>
      <c r="I10" s="230"/>
      <c r="J10" s="237" t="str">
        <f>IF(D10&gt;=O10,"CUMPLE","NO CUMPLE")</f>
        <v>CUMPLE</v>
      </c>
      <c r="K10" s="238"/>
      <c r="L10" s="41" t="s">
        <v>35</v>
      </c>
      <c r="M10" s="42">
        <f>IF(J10="CUMPLE",0,1)</f>
        <v>0</v>
      </c>
      <c r="N10" s="13">
        <f ca="1">+TODAY()-30</f>
        <v>45622</v>
      </c>
      <c r="O10" s="12">
        <f>+D9-30</f>
        <v>45613</v>
      </c>
      <c r="P10" s="3" t="s">
        <v>36</v>
      </c>
      <c r="Q10" s="3"/>
    </row>
    <row r="11" spans="1:17" ht="36.75" customHeight="1" thickBot="1">
      <c r="A11" s="4"/>
      <c r="B11" s="4"/>
      <c r="C11" s="7" t="s">
        <v>37</v>
      </c>
      <c r="D11" s="230"/>
      <c r="E11" s="230"/>
      <c r="F11" s="230"/>
      <c r="G11" s="230"/>
      <c r="H11" s="230"/>
      <c r="I11" s="230"/>
      <c r="J11" s="237" t="str">
        <f>IF(D10&gt;=O11,"CUMPLE","NO CUMPLE")</f>
        <v>CUMPLE</v>
      </c>
      <c r="K11" s="238"/>
      <c r="L11" s="41" t="s">
        <v>35</v>
      </c>
      <c r="M11" s="11">
        <f>IF(J11="CUMPLE",0,1)</f>
        <v>0</v>
      </c>
      <c r="N11" s="3"/>
      <c r="O11" s="13">
        <f>+D11+15</f>
        <v>15</v>
      </c>
      <c r="P11" s="3" t="s">
        <v>38</v>
      </c>
      <c r="Q11" s="3"/>
    </row>
    <row r="12" spans="1:17" s="14" customFormat="1" ht="41.25" customHeight="1" thickBot="1">
      <c r="A12" s="4"/>
      <c r="B12" s="4"/>
      <c r="C12" s="8" t="s">
        <v>39</v>
      </c>
      <c r="D12" s="230">
        <v>45291</v>
      </c>
      <c r="E12" s="230"/>
      <c r="F12" s="230"/>
      <c r="G12" s="230"/>
      <c r="H12" s="230"/>
      <c r="I12" s="230"/>
      <c r="J12" s="231" t="str">
        <f>IF(D10&gt;=O12,"CUMPLE","NO CUMPLE")</f>
        <v>CUMPLE</v>
      </c>
      <c r="K12" s="232"/>
      <c r="L12" s="41" t="s">
        <v>35</v>
      </c>
      <c r="M12" s="11">
        <f>IF(J12="CUMPLE",0,1)</f>
        <v>0</v>
      </c>
      <c r="N12" s="3"/>
      <c r="O12" s="13">
        <f>+D12+15</f>
        <v>45306</v>
      </c>
      <c r="P12" s="3"/>
      <c r="Q12" s="3"/>
    </row>
    <row r="13" spans="1:17" ht="31.5" customHeight="1" thickBot="1">
      <c r="A13" s="4"/>
      <c r="B13" s="4"/>
      <c r="C13" s="233"/>
      <c r="D13" s="233"/>
      <c r="E13" s="233"/>
      <c r="F13" s="233"/>
      <c r="G13" s="233"/>
      <c r="H13" s="233"/>
      <c r="I13" s="233"/>
      <c r="J13" s="233"/>
      <c r="K13" s="233"/>
      <c r="L13" s="41"/>
      <c r="N13" s="3"/>
      <c r="O13" s="3"/>
      <c r="P13" s="3"/>
      <c r="Q13" s="3"/>
    </row>
    <row r="14" spans="1:17" ht="37.5" hidden="1" customHeight="1" thickBot="1">
      <c r="A14" s="4"/>
      <c r="B14" s="4"/>
      <c r="C14" s="227"/>
      <c r="D14" s="228"/>
      <c r="E14" s="228"/>
      <c r="F14" s="228"/>
      <c r="G14" s="228"/>
      <c r="H14" s="228"/>
      <c r="I14" s="228"/>
      <c r="J14" s="228"/>
      <c r="K14" s="229"/>
      <c r="L14" s="41"/>
      <c r="N14" s="3"/>
      <c r="O14" s="3"/>
      <c r="P14" s="3"/>
      <c r="Q14" s="3"/>
    </row>
    <row r="15" spans="1:17" ht="36.75" hidden="1" customHeight="1" thickBot="1">
      <c r="A15" s="4"/>
      <c r="B15" s="4"/>
      <c r="C15" s="6" t="s">
        <v>33</v>
      </c>
      <c r="D15" s="234">
        <v>45638</v>
      </c>
      <c r="E15" s="234"/>
      <c r="F15" s="234"/>
      <c r="G15" s="234"/>
      <c r="H15" s="234"/>
      <c r="I15" s="234"/>
      <c r="J15" s="235"/>
      <c r="K15" s="236"/>
      <c r="L15" s="41"/>
      <c r="N15" s="3"/>
      <c r="O15" s="3"/>
      <c r="P15" s="3"/>
      <c r="Q15" s="3"/>
    </row>
    <row r="16" spans="1:17" ht="36.75" hidden="1" customHeight="1" thickBot="1">
      <c r="A16" s="4"/>
      <c r="B16" s="4"/>
      <c r="C16" s="7" t="s">
        <v>34</v>
      </c>
      <c r="D16" s="239">
        <v>45616</v>
      </c>
      <c r="E16" s="239"/>
      <c r="F16" s="239"/>
      <c r="G16" s="239"/>
      <c r="H16" s="239"/>
      <c r="I16" s="239"/>
      <c r="J16" s="237" t="str">
        <f>IF(D16&gt;=O16,"CUMPLE","NO CUMPLE")</f>
        <v>CUMPLE</v>
      </c>
      <c r="K16" s="238"/>
      <c r="L16" s="41" t="s">
        <v>35</v>
      </c>
      <c r="M16" s="11">
        <f>IF(J16="CUMPLE",0,1)</f>
        <v>0</v>
      </c>
      <c r="N16" s="3"/>
      <c r="O16" s="12">
        <f>+D15-30</f>
        <v>45608</v>
      </c>
      <c r="P16" s="3" t="s">
        <v>36</v>
      </c>
      <c r="Q16" s="3"/>
    </row>
    <row r="17" spans="1:19" ht="36.75" hidden="1" customHeight="1" thickBot="1">
      <c r="A17" s="4"/>
      <c r="B17" s="4"/>
      <c r="C17" s="7" t="s">
        <v>37</v>
      </c>
      <c r="D17" s="239">
        <v>45416</v>
      </c>
      <c r="E17" s="239"/>
      <c r="F17" s="239"/>
      <c r="G17" s="239"/>
      <c r="H17" s="239"/>
      <c r="I17" s="239"/>
      <c r="J17" s="237" t="str">
        <f>IF(D16&gt;=O17,"CUMPLE","NO CUMPLE")</f>
        <v>CUMPLE</v>
      </c>
      <c r="K17" s="238"/>
      <c r="L17" s="41" t="s">
        <v>35</v>
      </c>
      <c r="M17" s="11">
        <f>IF(J17="CUMPLE",0,1)</f>
        <v>0</v>
      </c>
      <c r="N17" s="3"/>
      <c r="O17" s="13">
        <f>+D17+15</f>
        <v>45431</v>
      </c>
      <c r="P17" s="3" t="s">
        <v>38</v>
      </c>
      <c r="Q17" s="3"/>
    </row>
    <row r="18" spans="1:19" s="14" customFormat="1" ht="36" hidden="1" customHeight="1" thickBot="1">
      <c r="A18" s="4"/>
      <c r="B18" s="4"/>
      <c r="C18" s="8" t="s">
        <v>39</v>
      </c>
      <c r="D18" s="230">
        <v>45291</v>
      </c>
      <c r="E18" s="230"/>
      <c r="F18" s="230"/>
      <c r="G18" s="230"/>
      <c r="H18" s="230"/>
      <c r="I18" s="230"/>
      <c r="J18" s="231" t="str">
        <f>IF(D16&gt;=O18,"CUMPLE","NO CUMPLE")</f>
        <v>CUMPLE</v>
      </c>
      <c r="K18" s="232"/>
      <c r="L18" s="41" t="s">
        <v>35</v>
      </c>
      <c r="M18" s="11">
        <f>IF(J18="CUMPLE",0,1)</f>
        <v>0</v>
      </c>
      <c r="N18" s="3"/>
      <c r="O18" s="13">
        <f>+D18+15</f>
        <v>45306</v>
      </c>
      <c r="P18" s="3"/>
      <c r="Q18" s="3"/>
    </row>
    <row r="19" spans="1:19" ht="13.5" hidden="1" customHeight="1" thickBot="1">
      <c r="B19" s="4"/>
      <c r="C19" s="15"/>
      <c r="D19" s="16"/>
      <c r="E19" s="16"/>
      <c r="F19" s="17"/>
      <c r="G19" s="16"/>
      <c r="H19" s="16"/>
      <c r="I19" s="16"/>
      <c r="J19" s="18"/>
      <c r="K19" s="19"/>
      <c r="L19" s="40"/>
      <c r="M19" s="11"/>
      <c r="N19" s="3"/>
      <c r="O19" s="3"/>
      <c r="P19" s="3"/>
      <c r="Q19" s="3"/>
    </row>
    <row r="20" spans="1:19" ht="31.5" hidden="1" customHeight="1" thickBot="1">
      <c r="A20" s="4"/>
      <c r="B20" s="4"/>
      <c r="C20" s="224"/>
      <c r="D20" s="225"/>
      <c r="E20" s="225"/>
      <c r="F20" s="225"/>
      <c r="G20" s="225"/>
      <c r="H20" s="225"/>
      <c r="I20" s="225"/>
      <c r="J20" s="225"/>
      <c r="K20" s="226"/>
      <c r="L20" s="41"/>
      <c r="N20" s="3"/>
      <c r="O20" s="3"/>
      <c r="P20" s="3"/>
      <c r="Q20" s="3"/>
    </row>
    <row r="21" spans="1:19" ht="5.0999999999999996" hidden="1" customHeight="1" thickBot="1">
      <c r="A21" s="4"/>
      <c r="B21" s="4"/>
      <c r="C21" s="9"/>
      <c r="D21" s="10"/>
      <c r="E21" s="10"/>
      <c r="F21" s="10"/>
      <c r="G21" s="10"/>
      <c r="H21" s="10"/>
      <c r="I21" s="10"/>
      <c r="J21" s="10"/>
      <c r="K21" s="10"/>
      <c r="L21" s="41"/>
      <c r="N21" s="3"/>
      <c r="O21" s="3"/>
      <c r="P21" s="3"/>
      <c r="Q21" s="3"/>
    </row>
    <row r="22" spans="1:19" ht="36.75" hidden="1" customHeight="1" thickBot="1">
      <c r="A22" s="4"/>
      <c r="B22" s="4"/>
      <c r="C22" s="6" t="s">
        <v>33</v>
      </c>
      <c r="D22" s="234"/>
      <c r="E22" s="234"/>
      <c r="F22" s="234"/>
      <c r="G22" s="234"/>
      <c r="H22" s="234"/>
      <c r="I22" s="234"/>
      <c r="J22" s="235"/>
      <c r="K22" s="236"/>
      <c r="L22" s="41"/>
      <c r="N22" s="3"/>
      <c r="O22" s="3"/>
      <c r="P22" s="3"/>
      <c r="Q22" s="3"/>
    </row>
    <row r="23" spans="1:19" ht="36.75" hidden="1" customHeight="1" thickBot="1">
      <c r="A23" s="4"/>
      <c r="B23" s="4"/>
      <c r="C23" s="7" t="s">
        <v>34</v>
      </c>
      <c r="D23" s="239"/>
      <c r="E23" s="239"/>
      <c r="F23" s="239"/>
      <c r="G23" s="239"/>
      <c r="H23" s="239"/>
      <c r="I23" s="239"/>
      <c r="J23" s="237"/>
      <c r="K23" s="237"/>
      <c r="L23" s="41" t="s">
        <v>35</v>
      </c>
      <c r="M23" s="11">
        <f>IF(J23="CUMPLE",0,1)</f>
        <v>1</v>
      </c>
      <c r="N23" s="3"/>
      <c r="O23" s="12">
        <f>+D22-30</f>
        <v>-30</v>
      </c>
      <c r="P23" s="3" t="s">
        <v>36</v>
      </c>
      <c r="Q23" s="3"/>
    </row>
    <row r="24" spans="1:19" ht="36.75" hidden="1" customHeight="1" thickBot="1">
      <c r="A24" s="4"/>
      <c r="B24" s="4"/>
      <c r="C24" s="7" t="s">
        <v>37</v>
      </c>
      <c r="D24" s="239"/>
      <c r="E24" s="239"/>
      <c r="F24" s="240"/>
      <c r="G24" s="240"/>
      <c r="H24" s="240"/>
      <c r="I24" s="239"/>
      <c r="J24" s="237"/>
      <c r="K24" s="237"/>
      <c r="L24" s="41" t="s">
        <v>35</v>
      </c>
      <c r="M24" s="11">
        <f>IF(J24="CUMPLE",0,1)</f>
        <v>1</v>
      </c>
      <c r="N24" s="3"/>
      <c r="O24" s="13">
        <f>+D24+15</f>
        <v>15</v>
      </c>
      <c r="P24" s="3" t="s">
        <v>38</v>
      </c>
      <c r="Q24" s="3"/>
    </row>
    <row r="25" spans="1:19" s="14" customFormat="1" ht="36" hidden="1" customHeight="1" thickBot="1">
      <c r="A25" s="4"/>
      <c r="B25" s="4"/>
      <c r="C25" s="8" t="s">
        <v>39</v>
      </c>
      <c r="D25" s="230"/>
      <c r="E25" s="230"/>
      <c r="F25" s="230"/>
      <c r="G25" s="230"/>
      <c r="H25" s="230"/>
      <c r="I25" s="230"/>
      <c r="J25" s="237"/>
      <c r="K25" s="237"/>
      <c r="L25" s="41" t="s">
        <v>35</v>
      </c>
      <c r="M25" s="11">
        <f>IF(J25="CUMPLE",0,1)</f>
        <v>1</v>
      </c>
      <c r="N25" s="3"/>
      <c r="O25" s="13">
        <f>+D25+15</f>
        <v>15</v>
      </c>
      <c r="P25" s="3"/>
      <c r="Q25" s="3"/>
    </row>
    <row r="26" spans="1:19" ht="13.5" hidden="1" customHeight="1" thickBot="1">
      <c r="B26" s="4"/>
      <c r="C26" s="15"/>
      <c r="D26" s="16"/>
      <c r="E26" s="16"/>
      <c r="F26" s="17"/>
      <c r="G26" s="16"/>
      <c r="H26" s="16"/>
      <c r="I26" s="16"/>
      <c r="J26" s="18"/>
      <c r="K26" s="19"/>
      <c r="L26" s="40"/>
      <c r="M26" s="11"/>
      <c r="N26" s="3"/>
      <c r="O26" s="3"/>
      <c r="P26" s="3"/>
      <c r="Q26" s="3"/>
    </row>
    <row r="27" spans="1:19" ht="39" customHeight="1" thickBot="1">
      <c r="A27" s="4"/>
      <c r="B27" s="5"/>
      <c r="C27" s="241" t="s">
        <v>40</v>
      </c>
      <c r="D27" s="242"/>
      <c r="E27" s="242"/>
      <c r="F27" s="243"/>
      <c r="G27" s="242"/>
      <c r="H27" s="242"/>
      <c r="I27" s="242"/>
      <c r="J27" s="242"/>
      <c r="K27" s="244"/>
      <c r="L27" s="5"/>
      <c r="N27" s="3"/>
      <c r="O27" s="3"/>
      <c r="P27" s="3"/>
      <c r="Q27" s="3"/>
    </row>
    <row r="28" spans="1:19" ht="7.5" customHeight="1">
      <c r="A28" s="4"/>
      <c r="B28" s="5"/>
      <c r="C28" s="5"/>
      <c r="D28" s="5"/>
      <c r="E28" s="5"/>
      <c r="F28" s="20"/>
      <c r="G28" s="5"/>
      <c r="H28" s="5"/>
      <c r="I28" s="5"/>
      <c r="J28" s="5"/>
      <c r="K28" s="21"/>
      <c r="L28" s="5"/>
      <c r="N28" s="3"/>
      <c r="O28" s="3"/>
      <c r="P28" s="3"/>
      <c r="Q28" s="3"/>
    </row>
    <row r="29" spans="1:19" s="24" customFormat="1" ht="69" customHeight="1">
      <c r="A29" s="245" t="s">
        <v>41</v>
      </c>
      <c r="B29" s="245" t="s">
        <v>42</v>
      </c>
      <c r="C29" s="245" t="s">
        <v>43</v>
      </c>
      <c r="D29" s="245" t="s">
        <v>44</v>
      </c>
      <c r="E29" s="245" t="s">
        <v>45</v>
      </c>
      <c r="F29" s="23" t="str">
        <f>+C8</f>
        <v>INGENIERIA Y SOLUCIONES INSOL SAS
N.I.T: 900.139.747-6</v>
      </c>
      <c r="G29" s="22"/>
      <c r="H29" s="22"/>
      <c r="I29" s="245" t="s">
        <v>46</v>
      </c>
      <c r="J29" s="245" t="s">
        <v>47</v>
      </c>
      <c r="K29" s="245" t="s">
        <v>48</v>
      </c>
      <c r="L29" s="246" t="s">
        <v>49</v>
      </c>
      <c r="M29" s="3"/>
      <c r="N29" s="3"/>
      <c r="O29" s="3"/>
      <c r="P29" s="3"/>
      <c r="Q29" s="3"/>
    </row>
    <row r="30" spans="1:19" s="24" customFormat="1" ht="27" customHeight="1">
      <c r="A30" s="245"/>
      <c r="B30" s="245"/>
      <c r="C30" s="245"/>
      <c r="D30" s="245"/>
      <c r="E30" s="245"/>
      <c r="F30" s="25">
        <v>1</v>
      </c>
      <c r="G30" s="26"/>
      <c r="H30" s="26"/>
      <c r="I30" s="245"/>
      <c r="J30" s="245"/>
      <c r="K30" s="245"/>
      <c r="L30" s="246"/>
      <c r="M30" s="3"/>
      <c r="N30" s="3"/>
      <c r="O30" s="3"/>
      <c r="P30" s="3"/>
      <c r="Q30" s="3"/>
    </row>
    <row r="31" spans="1:19" ht="33" customHeight="1">
      <c r="A31" s="247" t="s">
        <v>50</v>
      </c>
      <c r="B31" s="248" t="s">
        <v>51</v>
      </c>
      <c r="C31" s="249" t="s">
        <v>52</v>
      </c>
      <c r="D31" s="250">
        <f>'CONSOLIDADO FINANCIERO'!L7*25%</f>
        <v>1320732991.5</v>
      </c>
      <c r="E31" s="27" t="s">
        <v>53</v>
      </c>
      <c r="F31" s="74">
        <v>6071430171</v>
      </c>
      <c r="G31" s="74"/>
      <c r="H31" s="28"/>
      <c r="I31" s="251">
        <f>(F31-F32)+(G31-G32)</f>
        <v>4025806192</v>
      </c>
      <c r="J31" s="252" t="str">
        <f>IF(I31&gt;=D31,"CUMPLE","NO CUMPLE")</f>
        <v>CUMPLE</v>
      </c>
      <c r="K31" s="253" t="s">
        <v>54</v>
      </c>
      <c r="L31" s="254" t="s">
        <v>55</v>
      </c>
      <c r="M31" s="367">
        <f>IF(J31="CUMPLE",0,1)</f>
        <v>0</v>
      </c>
      <c r="N31" s="29"/>
      <c r="O31" s="3"/>
      <c r="P31" s="3"/>
      <c r="Q31" s="3"/>
      <c r="S31" s="46"/>
    </row>
    <row r="32" spans="1:19" ht="33" customHeight="1">
      <c r="A32" s="247"/>
      <c r="B32" s="248"/>
      <c r="C32" s="249"/>
      <c r="D32" s="250"/>
      <c r="E32" s="27" t="s">
        <v>56</v>
      </c>
      <c r="F32" s="74">
        <v>2045623979</v>
      </c>
      <c r="G32" s="74"/>
      <c r="H32" s="28"/>
      <c r="I32" s="251"/>
      <c r="J32" s="252"/>
      <c r="K32" s="253"/>
      <c r="L32" s="255"/>
      <c r="M32" s="367"/>
      <c r="N32" s="3"/>
      <c r="O32" s="3"/>
      <c r="P32" s="3"/>
      <c r="Q32" s="3"/>
      <c r="S32" s="46"/>
    </row>
    <row r="33" spans="1:52" ht="33" customHeight="1">
      <c r="A33" s="247" t="s">
        <v>50</v>
      </c>
      <c r="B33" s="248" t="str">
        <f>B31</f>
        <v>4.3.1 CAPACIDAD FINANCIERA</v>
      </c>
      <c r="C33" s="249" t="s">
        <v>10</v>
      </c>
      <c r="D33" s="262">
        <v>1.9</v>
      </c>
      <c r="E33" s="27" t="s">
        <v>53</v>
      </c>
      <c r="F33" s="75">
        <f>+F31</f>
        <v>6071430171</v>
      </c>
      <c r="G33" s="75"/>
      <c r="H33" s="43"/>
      <c r="I33" s="271">
        <f>+((F33*F30)+(G33*G30)+(H33*H30))/((F34*F30)+(G34*G30)+(H34*H30))</f>
        <v>2.9680088976899892</v>
      </c>
      <c r="J33" s="264" t="str">
        <f>IF(I33&gt;=D33,"CUMPLE","NO CUMPLE")</f>
        <v>CUMPLE</v>
      </c>
      <c r="K33" s="253" t="s">
        <v>54</v>
      </c>
      <c r="L33" s="255"/>
      <c r="M33" s="367">
        <f>IF(J33="CUMPLE",0,1)</f>
        <v>0</v>
      </c>
      <c r="N33" s="3"/>
      <c r="O33" s="3"/>
      <c r="P33" s="3"/>
      <c r="Q33" s="3"/>
      <c r="S33" s="46"/>
    </row>
    <row r="34" spans="1:52" ht="33" customHeight="1">
      <c r="A34" s="247"/>
      <c r="B34" s="248"/>
      <c r="C34" s="249"/>
      <c r="D34" s="262"/>
      <c r="E34" s="27" t="s">
        <v>56</v>
      </c>
      <c r="F34" s="75">
        <f>+F32</f>
        <v>2045623979</v>
      </c>
      <c r="G34" s="75"/>
      <c r="H34" s="35"/>
      <c r="I34" s="271"/>
      <c r="J34" s="264"/>
      <c r="K34" s="257"/>
      <c r="L34" s="255"/>
      <c r="M34" s="367"/>
      <c r="N34" s="3"/>
      <c r="O34" s="3"/>
      <c r="P34" s="3"/>
      <c r="Q34" s="3"/>
    </row>
    <row r="35" spans="1:52" ht="33" customHeight="1">
      <c r="A35" s="247" t="s">
        <v>50</v>
      </c>
      <c r="B35" s="248" t="str">
        <f>B33</f>
        <v>4.3.1 CAPACIDAD FINANCIERA</v>
      </c>
      <c r="C35" s="249" t="s">
        <v>11</v>
      </c>
      <c r="D35" s="267">
        <v>0.6</v>
      </c>
      <c r="E35" s="30" t="s">
        <v>57</v>
      </c>
      <c r="F35" s="74">
        <v>2427164831</v>
      </c>
      <c r="G35" s="74"/>
      <c r="H35" s="35"/>
      <c r="I35" s="268">
        <f>((F35*F30)+(G35*G30)+(H35*H30))/((F36*F30)+(G36*G30)+(H36*H30))</f>
        <v>0.37638960317138553</v>
      </c>
      <c r="J35" s="264" t="str">
        <f>IF(I35&lt;=D35,"CUMPLE","NO CUMPLE")</f>
        <v>CUMPLE</v>
      </c>
      <c r="K35" s="253" t="s">
        <v>54</v>
      </c>
      <c r="L35" s="255"/>
      <c r="M35" s="367">
        <f>IF(J35="CUMPLE",0,1)</f>
        <v>0</v>
      </c>
      <c r="N35" s="3"/>
      <c r="O35" s="3"/>
      <c r="P35" s="3"/>
      <c r="Q35" s="3"/>
    </row>
    <row r="36" spans="1:52" ht="33" customHeight="1">
      <c r="A36" s="247"/>
      <c r="B36" s="248"/>
      <c r="C36" s="249"/>
      <c r="D36" s="267"/>
      <c r="E36" s="30" t="s">
        <v>58</v>
      </c>
      <c r="F36" s="74">
        <v>6448543771</v>
      </c>
      <c r="G36" s="74"/>
      <c r="H36" s="35"/>
      <c r="I36" s="268"/>
      <c r="J36" s="264"/>
      <c r="K36" s="257"/>
      <c r="L36" s="255"/>
      <c r="M36" s="367"/>
      <c r="N36" s="3"/>
      <c r="O36" s="3"/>
      <c r="P36" s="3"/>
      <c r="Q36" s="3"/>
    </row>
    <row r="37" spans="1:52" s="32" customFormat="1" ht="27.75" customHeight="1">
      <c r="A37" s="247" t="s">
        <v>50</v>
      </c>
      <c r="B37" s="248" t="str">
        <f>B35</f>
        <v>4.3.1 CAPACIDAD FINANCIERA</v>
      </c>
      <c r="C37" s="249" t="s">
        <v>12</v>
      </c>
      <c r="D37" s="265">
        <v>1.49</v>
      </c>
      <c r="E37" s="30" t="s">
        <v>59</v>
      </c>
      <c r="F37" s="74">
        <v>6014719357</v>
      </c>
      <c r="G37" s="74"/>
      <c r="H37" s="35"/>
      <c r="I37" s="266">
        <f>((F37*F30)+(G37*G30)+(H37*H30))/((F38*F30)+(G38*G30)+(H38*H30))</f>
        <v>58.270557630013151</v>
      </c>
      <c r="J37" s="264" t="str">
        <f>IF(I37&gt;=D37,"CUMPLE","NO CUMPLE")</f>
        <v>CUMPLE</v>
      </c>
      <c r="K37" s="258" t="s">
        <v>54</v>
      </c>
      <c r="L37" s="255"/>
      <c r="M37" s="367">
        <f>IF(J37="CUMPLE",0,1)</f>
        <v>0</v>
      </c>
      <c r="N37" s="31"/>
      <c r="O37" s="31"/>
      <c r="P37" s="31"/>
      <c r="Q37" s="31"/>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row>
    <row r="38" spans="1:52" s="32" customFormat="1" ht="27.75" customHeight="1">
      <c r="A38" s="247"/>
      <c r="B38" s="248"/>
      <c r="C38" s="249"/>
      <c r="D38" s="265"/>
      <c r="E38" s="30" t="s">
        <v>60</v>
      </c>
      <c r="F38" s="74">
        <v>103220556</v>
      </c>
      <c r="G38" s="74"/>
      <c r="H38" s="35"/>
      <c r="I38" s="266"/>
      <c r="J38" s="264"/>
      <c r="K38" s="258"/>
      <c r="L38" s="255"/>
      <c r="M38" s="367"/>
      <c r="N38" s="31"/>
      <c r="O38" s="31"/>
      <c r="P38" s="31"/>
      <c r="Q38" s="31"/>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row>
    <row r="39" spans="1:52" s="34" customFormat="1" ht="33" customHeight="1">
      <c r="A39" s="247" t="s">
        <v>61</v>
      </c>
      <c r="B39" s="248" t="s">
        <v>62</v>
      </c>
      <c r="C39" s="269" t="s">
        <v>13</v>
      </c>
      <c r="D39" s="270">
        <v>0.11</v>
      </c>
      <c r="E39" s="30" t="s">
        <v>63</v>
      </c>
      <c r="F39" s="75">
        <f>+F37</f>
        <v>6014719357</v>
      </c>
      <c r="G39" s="75"/>
      <c r="H39" s="33"/>
      <c r="I39" s="271">
        <f>((F39*F30)+(G39*G30)+(H39*H30))/((F40*F30)+(G40*G30)+(H40*H30))</f>
        <v>1.4956857950322882</v>
      </c>
      <c r="J39" s="264" t="str">
        <f>IF(I39&gt;=D39,"CUMPLE","NO CUMPLE")</f>
        <v>CUMPLE</v>
      </c>
      <c r="K39" s="258" t="s">
        <v>54</v>
      </c>
      <c r="L39" s="255"/>
      <c r="M39" s="367">
        <f>IF(J39="CUMPLE",0,1)</f>
        <v>0</v>
      </c>
      <c r="N39" s="3"/>
      <c r="O39" s="3"/>
      <c r="P39" s="3"/>
      <c r="Q39" s="3"/>
    </row>
    <row r="40" spans="1:52" s="34" customFormat="1" ht="33" customHeight="1">
      <c r="A40" s="247"/>
      <c r="B40" s="248"/>
      <c r="C40" s="269"/>
      <c r="D40" s="270"/>
      <c r="E40" s="30" t="s">
        <v>64</v>
      </c>
      <c r="F40" s="74">
        <v>4021378940</v>
      </c>
      <c r="G40" s="74"/>
      <c r="H40" s="35"/>
      <c r="I40" s="271"/>
      <c r="J40" s="264"/>
      <c r="K40" s="258"/>
      <c r="L40" s="255"/>
      <c r="M40" s="367"/>
      <c r="N40" s="3"/>
      <c r="O40" s="3"/>
      <c r="P40" s="3"/>
      <c r="Q40" s="3"/>
    </row>
    <row r="41" spans="1:52" s="34" customFormat="1" ht="33" customHeight="1">
      <c r="A41" s="247" t="s">
        <v>61</v>
      </c>
      <c r="B41" s="248" t="str">
        <f>+B39</f>
        <v>4.3.2 capacidad Organizacional</v>
      </c>
      <c r="C41" s="269" t="s">
        <v>65</v>
      </c>
      <c r="D41" s="270">
        <v>0.05</v>
      </c>
      <c r="E41" s="30" t="s">
        <v>63</v>
      </c>
      <c r="F41" s="75">
        <f>+F37</f>
        <v>6014719357</v>
      </c>
      <c r="G41" s="75"/>
      <c r="H41" s="35"/>
      <c r="I41" s="271">
        <f>((F41*F30)+(G41*G30)+(H41*H30))/((F42*F30)+(G42*G30)+(H42*H30))</f>
        <v>0.9327252121710069</v>
      </c>
      <c r="J41" s="264" t="str">
        <f>IF(I41&gt;=D41,"CUMPLE","NO CUMPLE")</f>
        <v>CUMPLE</v>
      </c>
      <c r="K41" s="258" t="s">
        <v>54</v>
      </c>
      <c r="L41" s="255"/>
      <c r="M41" s="367">
        <f>IF(J41="CUMPLE",0,1)</f>
        <v>0</v>
      </c>
      <c r="N41" s="3"/>
      <c r="O41" s="3"/>
      <c r="P41" s="3"/>
      <c r="Q41" s="3"/>
    </row>
    <row r="42" spans="1:52" s="34" customFormat="1" ht="33" customHeight="1">
      <c r="A42" s="247"/>
      <c r="B42" s="248"/>
      <c r="C42" s="269"/>
      <c r="D42" s="270"/>
      <c r="E42" s="30" t="s">
        <v>66</v>
      </c>
      <c r="F42" s="75">
        <f>+F36</f>
        <v>6448543771</v>
      </c>
      <c r="G42" s="75"/>
      <c r="H42" s="35"/>
      <c r="I42" s="271"/>
      <c r="J42" s="264"/>
      <c r="K42" s="258"/>
      <c r="L42" s="255"/>
      <c r="M42" s="367"/>
      <c r="N42" s="3"/>
      <c r="O42" s="3"/>
      <c r="P42" s="3"/>
      <c r="Q42" s="3"/>
    </row>
    <row r="43" spans="1:52" s="37" customFormat="1" ht="27.75" customHeight="1">
      <c r="A43" s="247" t="s">
        <v>50</v>
      </c>
      <c r="B43" s="248" t="str">
        <f>B31</f>
        <v>4.3.1 CAPACIDAD FINANCIERA</v>
      </c>
      <c r="C43" s="249" t="s">
        <v>67</v>
      </c>
      <c r="D43" s="278">
        <f>'CONSOLIDADO FINANCIERO'!L7*30%</f>
        <v>1584879589.8</v>
      </c>
      <c r="E43" s="30" t="s">
        <v>66</v>
      </c>
      <c r="F43" s="75">
        <f>+F36</f>
        <v>6448543771</v>
      </c>
      <c r="G43" s="75"/>
      <c r="H43" s="33"/>
      <c r="I43" s="279">
        <f>(F43-F44)+(G43-G44)</f>
        <v>4021378940</v>
      </c>
      <c r="J43" s="252" t="str">
        <f>IF(I43&gt;=D43,"CUMPLE","NO CUMPLE")</f>
        <v>CUMPLE</v>
      </c>
      <c r="K43" s="259" t="s">
        <v>54</v>
      </c>
      <c r="L43" s="255"/>
      <c r="M43" s="367">
        <f>IF(J43="CUMPLE",0,1)</f>
        <v>0</v>
      </c>
      <c r="N43" s="36"/>
      <c r="O43" s="31"/>
      <c r="P43" s="31"/>
      <c r="Q43" s="31"/>
    </row>
    <row r="44" spans="1:52" s="37" customFormat="1" ht="27.75" customHeight="1" thickBot="1">
      <c r="A44" s="247"/>
      <c r="B44" s="248"/>
      <c r="C44" s="249"/>
      <c r="D44" s="278"/>
      <c r="E44" s="44" t="s">
        <v>68</v>
      </c>
      <c r="F44" s="76">
        <f>+F35</f>
        <v>2427164831</v>
      </c>
      <c r="G44" s="76"/>
      <c r="H44" s="33"/>
      <c r="I44" s="280"/>
      <c r="J44" s="281"/>
      <c r="K44" s="260"/>
      <c r="L44" s="256"/>
      <c r="M44" s="367"/>
      <c r="N44" s="31"/>
      <c r="O44" s="31"/>
      <c r="P44" s="31"/>
      <c r="Q44" s="31"/>
    </row>
    <row r="45" spans="1:52" ht="34.5" customHeight="1" thickBot="1">
      <c r="A45" s="4"/>
      <c r="B45" s="4"/>
      <c r="C45" s="4"/>
      <c r="D45" s="4"/>
      <c r="E45" s="272" t="s">
        <v>69</v>
      </c>
      <c r="F45" s="273"/>
      <c r="G45" s="274"/>
      <c r="H45" s="38"/>
      <c r="I45" s="275" t="str">
        <f>IF(M45&gt;0,"NO CUMPLE","CUMPLE")</f>
        <v>CUMPLE</v>
      </c>
      <c r="J45" s="276"/>
      <c r="K45" s="277"/>
      <c r="L45" s="4"/>
      <c r="M45" s="45">
        <f>SUM(M31:M44)</f>
        <v>0</v>
      </c>
      <c r="N45" s="3"/>
      <c r="O45" s="3"/>
      <c r="P45" s="3"/>
      <c r="Q45" s="3"/>
    </row>
    <row r="46" spans="1:52">
      <c r="A46" s="4"/>
      <c r="B46" s="4"/>
      <c r="C46" s="4"/>
      <c r="D46" s="4"/>
      <c r="E46" s="38"/>
      <c r="F46" s="38"/>
      <c r="G46" s="38"/>
      <c r="H46" s="38"/>
      <c r="I46" s="38"/>
      <c r="J46" s="38"/>
      <c r="K46" s="38"/>
      <c r="L46" s="4"/>
      <c r="N46" s="3"/>
      <c r="O46" s="3"/>
      <c r="P46" s="3"/>
      <c r="Q46" s="3"/>
    </row>
    <row r="47" spans="1:52">
      <c r="A47" s="4"/>
      <c r="B47" s="4"/>
      <c r="C47" s="4"/>
      <c r="D47" s="4"/>
      <c r="E47" s="4"/>
      <c r="F47" s="4"/>
      <c r="G47" s="4"/>
      <c r="H47" s="4"/>
      <c r="I47" s="4"/>
      <c r="J47" s="4"/>
      <c r="K47" s="4"/>
      <c r="L47" s="4"/>
      <c r="N47" s="3"/>
      <c r="O47" s="3"/>
      <c r="P47" s="3"/>
      <c r="Q47" s="3"/>
    </row>
    <row r="48" spans="1:52">
      <c r="A48" s="4"/>
      <c r="B48" s="4"/>
      <c r="C48" s="4"/>
      <c r="D48" s="4"/>
      <c r="E48" s="4"/>
      <c r="F48" s="4"/>
      <c r="G48" s="4"/>
      <c r="H48" s="4"/>
      <c r="I48" s="4"/>
      <c r="J48" s="4"/>
      <c r="K48" s="4"/>
      <c r="L48" s="4"/>
      <c r="N48" s="3"/>
      <c r="O48" s="3"/>
      <c r="P48" s="3"/>
      <c r="Q48" s="3"/>
    </row>
  </sheetData>
  <sheetProtection algorithmName="SHA-512" hashValue="3gx1lBN0rcsFOa0Dz/1iHZBogSZP0o+5bF0afck3SpOdJax3cXT89b+F37LiKjpNR5EFJM51JV1MJZG1eh2+2w==" saltValue="ZFfGo3PLzFHVnlPrJsCXeQ==" spinCount="100000" sheet="1" objects="1" scenarios="1"/>
  <mergeCells count="102">
    <mergeCell ref="C1:K1"/>
    <mergeCell ref="D3:K3"/>
    <mergeCell ref="D4:K4"/>
    <mergeCell ref="D5:K5"/>
    <mergeCell ref="C7:K7"/>
    <mergeCell ref="C8:K8"/>
    <mergeCell ref="D12:I12"/>
    <mergeCell ref="J12:K12"/>
    <mergeCell ref="C13:K13"/>
    <mergeCell ref="C14:K14"/>
    <mergeCell ref="D15:I15"/>
    <mergeCell ref="J15:K15"/>
    <mergeCell ref="D9:I9"/>
    <mergeCell ref="J9:K9"/>
    <mergeCell ref="D10:I10"/>
    <mergeCell ref="J10:K10"/>
    <mergeCell ref="D11:I11"/>
    <mergeCell ref="J11:K11"/>
    <mergeCell ref="C20:K20"/>
    <mergeCell ref="D22:I22"/>
    <mergeCell ref="J22:K22"/>
    <mergeCell ref="D23:I23"/>
    <mergeCell ref="J23:K23"/>
    <mergeCell ref="D24:I24"/>
    <mergeCell ref="J24:K24"/>
    <mergeCell ref="D16:I16"/>
    <mergeCell ref="J16:K16"/>
    <mergeCell ref="D17:I17"/>
    <mergeCell ref="J17:K17"/>
    <mergeCell ref="D18:I18"/>
    <mergeCell ref="J18:K18"/>
    <mergeCell ref="D25:I25"/>
    <mergeCell ref="J25:K25"/>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4"/>
    <mergeCell ref="K35:K36"/>
    <mergeCell ref="K39:K40"/>
    <mergeCell ref="K43:K44"/>
    <mergeCell ref="M31:M32"/>
    <mergeCell ref="A33:A34"/>
    <mergeCell ref="B33:B34"/>
    <mergeCell ref="C33:C34"/>
    <mergeCell ref="D33:D34"/>
    <mergeCell ref="I33:I34"/>
    <mergeCell ref="J33:J34"/>
    <mergeCell ref="K33:K34"/>
    <mergeCell ref="M33:M34"/>
    <mergeCell ref="M35:M36"/>
    <mergeCell ref="A37:A38"/>
    <mergeCell ref="B37:B38"/>
    <mergeCell ref="C37:C38"/>
    <mergeCell ref="D37:D38"/>
    <mergeCell ref="I37:I38"/>
    <mergeCell ref="J37:J38"/>
    <mergeCell ref="K37:K38"/>
    <mergeCell ref="M37:M38"/>
    <mergeCell ref="A35:A36"/>
    <mergeCell ref="B35:B36"/>
    <mergeCell ref="C35:C36"/>
    <mergeCell ref="D35:D36"/>
    <mergeCell ref="I35:I36"/>
    <mergeCell ref="J35:J36"/>
    <mergeCell ref="M39:M40"/>
    <mergeCell ref="A41:A42"/>
    <mergeCell ref="B41:B42"/>
    <mergeCell ref="C41:C42"/>
    <mergeCell ref="D41:D42"/>
    <mergeCell ref="I41:I42"/>
    <mergeCell ref="J41:J42"/>
    <mergeCell ref="K41:K42"/>
    <mergeCell ref="M41:M42"/>
    <mergeCell ref="A39:A40"/>
    <mergeCell ref="B39:B40"/>
    <mergeCell ref="C39:C40"/>
    <mergeCell ref="D39:D40"/>
    <mergeCell ref="I39:I40"/>
    <mergeCell ref="J39:J40"/>
    <mergeCell ref="M43:M44"/>
    <mergeCell ref="E45:G45"/>
    <mergeCell ref="I45:K45"/>
    <mergeCell ref="A43:A44"/>
    <mergeCell ref="B43:B44"/>
    <mergeCell ref="C43:C44"/>
    <mergeCell ref="D43:D44"/>
    <mergeCell ref="I43:I44"/>
    <mergeCell ref="J43:J44"/>
  </mergeCells>
  <conditionalFormatting sqref="J10:J12">
    <cfRule type="cellIs" dxfId="237" priority="11" operator="equal">
      <formula>"CUMPLE"</formula>
    </cfRule>
  </conditionalFormatting>
  <conditionalFormatting sqref="J16:J18">
    <cfRule type="cellIs" dxfId="236" priority="1" operator="equal">
      <formula>"CUMPLE"</formula>
    </cfRule>
  </conditionalFormatting>
  <conditionalFormatting sqref="J23:J25">
    <cfRule type="cellIs" dxfId="235" priority="3" operator="equal">
      <formula>"CUMPLE"</formula>
    </cfRule>
  </conditionalFormatting>
  <conditionalFormatting sqref="J31:J44">
    <cfRule type="cellIs" dxfId="234" priority="6" operator="equal">
      <formula>"CUMPLE"</formula>
    </cfRule>
    <cfRule type="cellIs" dxfId="233" priority="7" operator="equal">
      <formula>"NO CUMPLE"</formula>
    </cfRule>
  </conditionalFormatting>
  <conditionalFormatting sqref="J19:K19">
    <cfRule type="cellIs" dxfId="232" priority="10" operator="equal">
      <formula>"CUMPLE"</formula>
    </cfRule>
  </conditionalFormatting>
  <conditionalFormatting sqref="J26:K26">
    <cfRule type="cellIs" dxfId="231" priority="2" operator="equal">
      <formula>"CUMPLE"</formula>
    </cfRule>
  </conditionalFormatting>
  <conditionalFormatting sqref="K31">
    <cfRule type="cellIs" dxfId="230" priority="20" operator="equal">
      <formula>"CUMPLE"</formula>
    </cfRule>
    <cfRule type="cellIs" dxfId="229" priority="21" operator="equal">
      <formula>"NO CUMPLE"</formula>
    </cfRule>
  </conditionalFormatting>
  <conditionalFormatting sqref="K33 K35 K39 K41">
    <cfRule type="cellIs" dxfId="228" priority="16" operator="equal">
      <formula>"CUMPLE"</formula>
    </cfRule>
    <cfRule type="cellIs" dxfId="227" priority="17" operator="equal">
      <formula>"NO CUMPLE"</formula>
    </cfRule>
  </conditionalFormatting>
  <conditionalFormatting sqref="K37">
    <cfRule type="cellIs" dxfId="226" priority="4" operator="equal">
      <formula>"CUMPLE"</formula>
    </cfRule>
    <cfRule type="cellIs" dxfId="225" priority="5" operator="equal">
      <formula>"NO CUMPLE"</formula>
    </cfRule>
  </conditionalFormatting>
  <conditionalFormatting sqref="K43">
    <cfRule type="cellIs" dxfId="224" priority="8" operator="equal">
      <formula>"CUMPLE"</formula>
    </cfRule>
    <cfRule type="cellIs" dxfId="223" priority="9" operator="equal">
      <formula>"NO CUMPLE"</formula>
    </cfRule>
  </conditionalFormatting>
  <conditionalFormatting sqref="M10:M12">
    <cfRule type="cellIs" dxfId="222" priority="14" operator="equal">
      <formula>"CUMPLE"</formula>
    </cfRule>
    <cfRule type="cellIs" dxfId="221" priority="15" operator="equal">
      <formula>"NO CUMPLE"</formula>
    </cfRule>
  </conditionalFormatting>
  <conditionalFormatting sqref="M16:M19 M23:M26">
    <cfRule type="cellIs" dxfId="220" priority="12" operator="equal">
      <formula>"CUMPLE"</formula>
    </cfRule>
    <cfRule type="cellIs" dxfId="219" priority="13" operator="equal">
      <formula>"NO CUMPLE"</formula>
    </cfRule>
  </conditionalFormatting>
  <conditionalFormatting sqref="M31 M33 M35 M37 M39 M41 M43">
    <cfRule type="cellIs" dxfId="218" priority="18" operator="equal">
      <formula>"CUMPLE"</formula>
    </cfRule>
    <cfRule type="cellIs" dxfId="217" priority="19" operator="equal">
      <formula>"NO CUMPLE"</formula>
    </cfRule>
  </conditionalFormatting>
  <pageMargins left="0.70866141732283472" right="0.70866141732283472" top="0.74803149606299213" bottom="0.74803149606299213" header="0.31496062992125984" footer="0.31496062992125984"/>
  <pageSetup scale="33"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18B59-8C45-40C0-A901-C4A431981139}">
  <sheetPr>
    <tabColor rgb="FF92D050"/>
  </sheetPr>
  <dimension ref="A1:BQ145"/>
  <sheetViews>
    <sheetView showGridLines="0" topLeftCell="G1" zoomScale="70" zoomScaleNormal="70" workbookViewId="0">
      <selection activeCell="P137" sqref="P137"/>
    </sheetView>
  </sheetViews>
  <sheetFormatPr baseColWidth="10" defaultColWidth="11.42578125" defaultRowHeight="15"/>
  <cols>
    <col min="2" max="2" width="8.5703125" customWidth="1"/>
    <col min="3" max="3" width="8" customWidth="1"/>
    <col min="4" max="4" width="23.85546875" bestFit="1" customWidth="1"/>
    <col min="5" max="5" width="64.140625" customWidth="1"/>
    <col min="6" max="6" width="19.140625" bestFit="1" customWidth="1"/>
    <col min="7" max="7" width="13.7109375" bestFit="1" customWidth="1"/>
    <col min="8" max="8" width="27" customWidth="1"/>
    <col min="9" max="12" width="32.140625" customWidth="1"/>
    <col min="13" max="13" width="24.42578125" customWidth="1"/>
    <col min="14" max="14" width="19" customWidth="1"/>
    <col min="15" max="15" width="24.5703125" style="154" customWidth="1"/>
    <col min="16" max="16" width="22" style="154" bestFit="1" customWidth="1"/>
    <col min="17" max="17" width="20.7109375" customWidth="1"/>
    <col min="18" max="18" width="10.5703125" customWidth="1"/>
    <col min="19" max="19" width="20.7109375" customWidth="1"/>
    <col min="20" max="20" width="19.28515625" customWidth="1"/>
    <col min="21" max="21" width="20.28515625" customWidth="1"/>
    <col min="22" max="22" width="20.85546875" customWidth="1"/>
    <col min="23" max="23" width="22" customWidth="1"/>
    <col min="24" max="24" width="20.140625" bestFit="1" customWidth="1"/>
    <col min="25" max="25" width="18.5703125" bestFit="1" customWidth="1"/>
  </cols>
  <sheetData>
    <row r="1" spans="1:69" ht="15" customHeight="1">
      <c r="A1" s="330"/>
      <c r="B1" s="331"/>
      <c r="C1" s="331"/>
      <c r="D1" s="332"/>
      <c r="E1" s="339" t="s">
        <v>70</v>
      </c>
      <c r="F1" s="340"/>
      <c r="G1" s="340"/>
      <c r="H1" s="340"/>
      <c r="I1" s="340"/>
      <c r="J1" s="340"/>
      <c r="K1" s="341"/>
      <c r="L1" s="82"/>
      <c r="M1" s="82"/>
    </row>
    <row r="2" spans="1:69" ht="18">
      <c r="A2" s="333"/>
      <c r="B2" s="334"/>
      <c r="C2" s="334"/>
      <c r="D2" s="335"/>
      <c r="E2" s="342"/>
      <c r="F2" s="343"/>
      <c r="G2" s="343"/>
      <c r="H2" s="343"/>
      <c r="I2" s="343"/>
      <c r="J2" s="343"/>
      <c r="K2" s="344"/>
      <c r="L2" s="82"/>
      <c r="M2" s="82"/>
    </row>
    <row r="3" spans="1:69" ht="18">
      <c r="A3" s="333"/>
      <c r="B3" s="334"/>
      <c r="C3" s="334"/>
      <c r="D3" s="335"/>
      <c r="E3" s="342"/>
      <c r="F3" s="343"/>
      <c r="G3" s="343"/>
      <c r="H3" s="343"/>
      <c r="I3" s="343"/>
      <c r="J3" s="343"/>
      <c r="K3" s="344"/>
      <c r="L3" s="82"/>
      <c r="M3" s="82"/>
    </row>
    <row r="4" spans="1:69" ht="38.25" customHeight="1" thickBot="1">
      <c r="A4" s="336"/>
      <c r="B4" s="337"/>
      <c r="C4" s="337"/>
      <c r="D4" s="338"/>
      <c r="E4" s="345"/>
      <c r="F4" s="346"/>
      <c r="G4" s="346"/>
      <c r="H4" s="346"/>
      <c r="I4" s="346"/>
      <c r="J4" s="346"/>
      <c r="K4" s="347"/>
      <c r="L4" s="82"/>
      <c r="M4" s="82"/>
    </row>
    <row r="5" spans="1:69" ht="42" customHeight="1" thickBot="1">
      <c r="A5" s="348" t="s">
        <v>71</v>
      </c>
      <c r="B5" s="349"/>
      <c r="C5" s="349"/>
      <c r="D5" s="349"/>
      <c r="E5" s="349"/>
      <c r="F5" s="349"/>
      <c r="G5" s="349"/>
      <c r="H5" s="349"/>
      <c r="I5" s="349"/>
      <c r="J5" s="349"/>
      <c r="K5" s="349"/>
      <c r="L5" s="83"/>
      <c r="M5" s="83"/>
    </row>
    <row r="6" spans="1:69" ht="34.5" customHeight="1" thickBot="1">
      <c r="A6" s="317" t="s">
        <v>72</v>
      </c>
      <c r="B6" s="318"/>
      <c r="C6" s="318"/>
      <c r="D6" s="319"/>
      <c r="E6" s="329" t="s">
        <v>5</v>
      </c>
      <c r="F6" s="321"/>
      <c r="G6" s="321"/>
      <c r="H6" s="321"/>
      <c r="I6" s="321"/>
      <c r="J6" s="321"/>
      <c r="K6" s="322"/>
      <c r="L6" s="160"/>
      <c r="M6" s="160"/>
    </row>
    <row r="7" spans="1:69" ht="53.25" customHeight="1" thickBot="1">
      <c r="A7" s="317" t="s">
        <v>73</v>
      </c>
      <c r="B7" s="318"/>
      <c r="C7" s="318"/>
      <c r="D7" s="319"/>
      <c r="E7" s="350" t="s">
        <v>74</v>
      </c>
      <c r="F7" s="351"/>
      <c r="G7" s="351"/>
      <c r="H7" s="351"/>
      <c r="I7" s="351"/>
      <c r="J7" s="351"/>
      <c r="K7" s="352"/>
      <c r="L7" s="161"/>
      <c r="M7" s="161"/>
    </row>
    <row r="8" spans="1:69" ht="27" customHeight="1" thickBot="1">
      <c r="A8" s="317" t="s">
        <v>75</v>
      </c>
      <c r="B8" s="318"/>
      <c r="C8" s="318"/>
      <c r="D8" s="319"/>
      <c r="E8" s="329" t="s">
        <v>287</v>
      </c>
      <c r="F8" s="321"/>
      <c r="G8" s="321"/>
      <c r="H8" s="321"/>
      <c r="I8" s="321"/>
      <c r="J8" s="321"/>
      <c r="K8" s="322"/>
      <c r="L8" s="160"/>
      <c r="M8" s="160"/>
    </row>
    <row r="9" spans="1:69" ht="27" customHeight="1" thickBot="1">
      <c r="A9" s="317" t="s">
        <v>77</v>
      </c>
      <c r="B9" s="318"/>
      <c r="C9" s="318"/>
      <c r="D9" s="319"/>
      <c r="E9" s="329" t="s">
        <v>288</v>
      </c>
      <c r="F9" s="321"/>
      <c r="G9" s="321"/>
      <c r="H9" s="321"/>
      <c r="I9" s="321"/>
      <c r="J9" s="321"/>
      <c r="K9" s="322"/>
      <c r="L9" s="160"/>
      <c r="M9" s="160"/>
    </row>
    <row r="10" spans="1:69" ht="27" customHeight="1" thickBot="1">
      <c r="A10" s="317" t="s">
        <v>79</v>
      </c>
      <c r="B10" s="318"/>
      <c r="C10" s="318"/>
      <c r="D10" s="319"/>
      <c r="E10" s="329" t="s">
        <v>289</v>
      </c>
      <c r="F10" s="321"/>
      <c r="G10" s="321"/>
      <c r="H10" s="321"/>
      <c r="I10" s="321"/>
      <c r="J10" s="321"/>
      <c r="K10" s="322"/>
      <c r="L10" s="160"/>
      <c r="M10" s="160"/>
    </row>
    <row r="11" spans="1:69" ht="27" customHeight="1" thickBot="1">
      <c r="A11" s="317" t="s">
        <v>81</v>
      </c>
      <c r="B11" s="318"/>
      <c r="C11" s="318"/>
      <c r="D11" s="319"/>
      <c r="E11" s="320">
        <v>8160622</v>
      </c>
      <c r="F11" s="321"/>
      <c r="G11" s="321"/>
      <c r="H11" s="321"/>
      <c r="I11" s="321"/>
      <c r="J11" s="321"/>
      <c r="K11" s="322"/>
      <c r="L11" s="160"/>
      <c r="M11" s="160"/>
    </row>
    <row r="12" spans="1:69" ht="225.75" customHeight="1" thickBot="1">
      <c r="A12" s="323" t="s">
        <v>82</v>
      </c>
      <c r="B12" s="324"/>
      <c r="C12" s="324"/>
      <c r="D12" s="324"/>
      <c r="E12" s="324"/>
      <c r="F12" s="324"/>
      <c r="G12" s="324"/>
      <c r="H12" s="324"/>
      <c r="I12" s="324"/>
      <c r="J12" s="324"/>
      <c r="K12" s="325"/>
      <c r="L12" s="162"/>
      <c r="M12" s="162"/>
    </row>
    <row r="13" spans="1:69" ht="12.75" customHeight="1"/>
    <row r="14" spans="1:69" ht="48" customHeight="1">
      <c r="A14" s="326" t="s">
        <v>83</v>
      </c>
      <c r="B14" s="326"/>
      <c r="C14" s="326" t="s">
        <v>84</v>
      </c>
      <c r="D14" s="326"/>
      <c r="E14" s="326"/>
      <c r="F14" s="327" t="s">
        <v>85</v>
      </c>
      <c r="G14" s="327" t="s">
        <v>86</v>
      </c>
      <c r="H14" s="327" t="s">
        <v>87</v>
      </c>
      <c r="I14" s="328" t="s">
        <v>88</v>
      </c>
      <c r="J14" s="328"/>
      <c r="K14" s="328"/>
      <c r="L14" s="163"/>
      <c r="M14" s="163"/>
      <c r="BQ14" s="84"/>
    </row>
    <row r="15" spans="1:69" ht="48.75" customHeight="1">
      <c r="A15" s="326"/>
      <c r="B15" s="326"/>
      <c r="C15" s="326"/>
      <c r="D15" s="326"/>
      <c r="E15" s="326"/>
      <c r="F15" s="327"/>
      <c r="G15" s="327"/>
      <c r="H15" s="327"/>
      <c r="I15" s="85" t="s">
        <v>89</v>
      </c>
      <c r="J15" s="132" t="s">
        <v>290</v>
      </c>
      <c r="K15" s="85" t="s">
        <v>90</v>
      </c>
      <c r="L15" s="132" t="s">
        <v>290</v>
      </c>
      <c r="M15" s="132" t="s">
        <v>291</v>
      </c>
      <c r="N15" s="132" t="s">
        <v>92</v>
      </c>
      <c r="O15" s="155">
        <v>3.09E-2</v>
      </c>
      <c r="P15" s="155">
        <f>100%-O15</f>
        <v>0.96909999999999996</v>
      </c>
      <c r="BQ15" s="84"/>
    </row>
    <row r="16" spans="1:69" ht="60.75" customHeight="1">
      <c r="A16" s="310" t="s">
        <v>93</v>
      </c>
      <c r="B16" s="310"/>
      <c r="C16" s="303" t="s">
        <v>94</v>
      </c>
      <c r="D16" s="303"/>
      <c r="E16" s="303"/>
      <c r="F16" s="86" t="s">
        <v>95</v>
      </c>
      <c r="G16" s="87">
        <v>2000</v>
      </c>
      <c r="H16" s="88">
        <v>16341</v>
      </c>
      <c r="I16" s="88">
        <v>15836.063099999999</v>
      </c>
      <c r="J16" s="88">
        <f>+ROUND(I16,0)</f>
        <v>15836</v>
      </c>
      <c r="K16" s="88">
        <f>+ROUND(I16*G16,0)</f>
        <v>31672126</v>
      </c>
      <c r="L16" s="88">
        <f>+ROUND(J16*G16,0)</f>
        <v>31672000</v>
      </c>
      <c r="M16" s="133">
        <f>+J16-H16</f>
        <v>-505</v>
      </c>
      <c r="N16" s="134">
        <f>+J16/H16</f>
        <v>0.96909613854721255</v>
      </c>
      <c r="BQ16" s="89"/>
    </row>
    <row r="17" spans="1:69" ht="60.75" customHeight="1">
      <c r="A17" s="310" t="s">
        <v>96</v>
      </c>
      <c r="B17" s="310"/>
      <c r="C17" s="303" t="s">
        <v>97</v>
      </c>
      <c r="D17" s="303"/>
      <c r="E17" s="303"/>
      <c r="F17" s="86" t="s">
        <v>98</v>
      </c>
      <c r="G17" s="87">
        <v>300</v>
      </c>
      <c r="H17" s="88">
        <v>43227</v>
      </c>
      <c r="I17" s="88">
        <v>41891.2857</v>
      </c>
      <c r="J17" s="88">
        <f t="shared" ref="J17:J80" si="0">+ROUND(I17,0)</f>
        <v>41891</v>
      </c>
      <c r="K17" s="88">
        <f t="shared" ref="K17:K72" si="1">+ROUND(I17*G17,0)</f>
        <v>12567386</v>
      </c>
      <c r="L17" s="88">
        <f t="shared" ref="L17:L80" si="2">+ROUND(J17*G17,0)</f>
        <v>12567300</v>
      </c>
      <c r="M17" s="133">
        <f t="shared" ref="M17:M80" si="3">+J17-H17</f>
        <v>-1336</v>
      </c>
      <c r="N17" s="134">
        <f t="shared" ref="N17:N80" si="4">+J17/H17</f>
        <v>0.96909339070488354</v>
      </c>
      <c r="BQ17" s="90"/>
    </row>
    <row r="18" spans="1:69" ht="60.75" customHeight="1">
      <c r="A18" s="310" t="s">
        <v>99</v>
      </c>
      <c r="B18" s="310"/>
      <c r="C18" s="303" t="s">
        <v>100</v>
      </c>
      <c r="D18" s="303"/>
      <c r="E18" s="303"/>
      <c r="F18" s="86" t="s">
        <v>98</v>
      </c>
      <c r="G18" s="87">
        <v>2332.42</v>
      </c>
      <c r="H18" s="88">
        <v>30375</v>
      </c>
      <c r="I18" s="88">
        <v>29436.412499999999</v>
      </c>
      <c r="J18" s="88">
        <f t="shared" si="0"/>
        <v>29436</v>
      </c>
      <c r="K18" s="88">
        <f t="shared" si="1"/>
        <v>68658077</v>
      </c>
      <c r="L18" s="88">
        <f t="shared" si="2"/>
        <v>68657115</v>
      </c>
      <c r="M18" s="133">
        <f t="shared" si="3"/>
        <v>-939</v>
      </c>
      <c r="N18" s="134">
        <f t="shared" si="4"/>
        <v>0.9690864197530864</v>
      </c>
      <c r="BQ18" s="89"/>
    </row>
    <row r="19" spans="1:69" ht="60.75" customHeight="1">
      <c r="A19" s="310" t="s">
        <v>101</v>
      </c>
      <c r="B19" s="310"/>
      <c r="C19" s="303" t="s">
        <v>102</v>
      </c>
      <c r="D19" s="303"/>
      <c r="E19" s="303"/>
      <c r="F19" s="86" t="s">
        <v>98</v>
      </c>
      <c r="G19" s="87">
        <v>2332.42</v>
      </c>
      <c r="H19" s="88">
        <v>64685</v>
      </c>
      <c r="I19" s="88">
        <v>62686.233499999995</v>
      </c>
      <c r="J19" s="88">
        <f t="shared" si="0"/>
        <v>62686</v>
      </c>
      <c r="K19" s="88">
        <f t="shared" si="1"/>
        <v>146210625</v>
      </c>
      <c r="L19" s="88">
        <f t="shared" si="2"/>
        <v>146210080</v>
      </c>
      <c r="M19" s="133">
        <f t="shared" si="3"/>
        <v>-1999</v>
      </c>
      <c r="N19" s="134">
        <f t="shared" si="4"/>
        <v>0.96909639019865501</v>
      </c>
      <c r="BQ19" s="90"/>
    </row>
    <row r="20" spans="1:69" ht="60.75" customHeight="1">
      <c r="A20" s="310" t="s">
        <v>103</v>
      </c>
      <c r="B20" s="310"/>
      <c r="C20" s="303" t="s">
        <v>104</v>
      </c>
      <c r="D20" s="303"/>
      <c r="E20" s="303"/>
      <c r="F20" s="86" t="s">
        <v>98</v>
      </c>
      <c r="G20" s="87">
        <v>2332.42</v>
      </c>
      <c r="H20" s="88">
        <v>129968</v>
      </c>
      <c r="I20" s="88">
        <v>125951.98879999999</v>
      </c>
      <c r="J20" s="88">
        <f t="shared" si="0"/>
        <v>125952</v>
      </c>
      <c r="K20" s="88">
        <f t="shared" si="1"/>
        <v>293772938</v>
      </c>
      <c r="L20" s="88">
        <f t="shared" si="2"/>
        <v>293772964</v>
      </c>
      <c r="M20" s="133">
        <f t="shared" si="3"/>
        <v>-4016</v>
      </c>
      <c r="N20" s="134">
        <f t="shared" si="4"/>
        <v>0.96910008617505849</v>
      </c>
      <c r="BQ20" s="90"/>
    </row>
    <row r="21" spans="1:69" ht="60.75" customHeight="1">
      <c r="A21" s="310" t="s">
        <v>105</v>
      </c>
      <c r="B21" s="310"/>
      <c r="C21" s="303" t="s">
        <v>106</v>
      </c>
      <c r="D21" s="303"/>
      <c r="E21" s="303"/>
      <c r="F21" s="86" t="s">
        <v>98</v>
      </c>
      <c r="G21" s="87">
        <v>150</v>
      </c>
      <c r="H21" s="88">
        <v>53922</v>
      </c>
      <c r="I21" s="88">
        <v>52255.8102</v>
      </c>
      <c r="J21" s="88">
        <f t="shared" si="0"/>
        <v>52256</v>
      </c>
      <c r="K21" s="88">
        <f t="shared" si="1"/>
        <v>7838372</v>
      </c>
      <c r="L21" s="88">
        <f t="shared" si="2"/>
        <v>7838400</v>
      </c>
      <c r="M21" s="133">
        <f t="shared" si="3"/>
        <v>-1666</v>
      </c>
      <c r="N21" s="134">
        <f t="shared" si="4"/>
        <v>0.96910351989911359</v>
      </c>
      <c r="BE21" s="91"/>
      <c r="BF21" s="92"/>
      <c r="BG21" s="91"/>
      <c r="BH21" s="91"/>
      <c r="BI21" s="93"/>
      <c r="BK21" s="91"/>
      <c r="BL21" s="92"/>
      <c r="BM21" s="91"/>
      <c r="BN21" s="91"/>
      <c r="BO21" s="93"/>
      <c r="BQ21" s="90"/>
    </row>
    <row r="22" spans="1:69" ht="60.75" customHeight="1">
      <c r="A22" s="310" t="s">
        <v>107</v>
      </c>
      <c r="B22" s="310"/>
      <c r="C22" s="303" t="s">
        <v>108</v>
      </c>
      <c r="D22" s="303"/>
      <c r="E22" s="303"/>
      <c r="F22" s="86" t="s">
        <v>98</v>
      </c>
      <c r="G22" s="87">
        <v>150</v>
      </c>
      <c r="H22" s="88">
        <v>305942</v>
      </c>
      <c r="I22" s="88">
        <v>296488.3922</v>
      </c>
      <c r="J22" s="88">
        <f t="shared" si="0"/>
        <v>296488</v>
      </c>
      <c r="K22" s="88">
        <f t="shared" si="1"/>
        <v>44473259</v>
      </c>
      <c r="L22" s="88">
        <f t="shared" si="2"/>
        <v>44473200</v>
      </c>
      <c r="M22" s="133">
        <f t="shared" si="3"/>
        <v>-9454</v>
      </c>
      <c r="N22" s="134">
        <f t="shared" si="4"/>
        <v>0.96909871805767112</v>
      </c>
      <c r="BE22" s="91"/>
      <c r="BF22" s="92"/>
      <c r="BG22" s="91"/>
      <c r="BH22" s="91"/>
      <c r="BI22" s="93"/>
      <c r="BK22" s="91"/>
      <c r="BL22" s="92"/>
      <c r="BM22" s="91"/>
      <c r="BN22" s="91"/>
      <c r="BO22" s="93"/>
      <c r="BQ22" s="90"/>
    </row>
    <row r="23" spans="1:69" ht="92.25" customHeight="1">
      <c r="A23" s="310" t="s">
        <v>109</v>
      </c>
      <c r="B23" s="310"/>
      <c r="C23" s="303" t="s">
        <v>110</v>
      </c>
      <c r="D23" s="303"/>
      <c r="E23" s="303"/>
      <c r="F23" s="86" t="s">
        <v>95</v>
      </c>
      <c r="G23" s="87">
        <v>231</v>
      </c>
      <c r="H23" s="88">
        <v>125271</v>
      </c>
      <c r="I23" s="88">
        <v>121400.12609999999</v>
      </c>
      <c r="J23" s="88">
        <f t="shared" si="0"/>
        <v>121400</v>
      </c>
      <c r="K23" s="88">
        <f t="shared" si="1"/>
        <v>28043429</v>
      </c>
      <c r="L23" s="88">
        <f t="shared" si="2"/>
        <v>28043400</v>
      </c>
      <c r="M23" s="133">
        <f t="shared" si="3"/>
        <v>-3871</v>
      </c>
      <c r="N23" s="134">
        <f t="shared" si="4"/>
        <v>0.96909899338234706</v>
      </c>
      <c r="BE23" s="91"/>
      <c r="BF23" s="92"/>
      <c r="BG23" s="91"/>
      <c r="BH23" s="91"/>
      <c r="BI23" s="93"/>
      <c r="BK23" s="91"/>
      <c r="BL23" s="92"/>
      <c r="BM23" s="91"/>
      <c r="BN23" s="91"/>
      <c r="BO23" s="93"/>
      <c r="BQ23" s="90"/>
    </row>
    <row r="24" spans="1:69" ht="60.75" customHeight="1">
      <c r="A24" s="310" t="s">
        <v>111</v>
      </c>
      <c r="B24" s="310"/>
      <c r="C24" s="303" t="s">
        <v>112</v>
      </c>
      <c r="D24" s="303"/>
      <c r="E24" s="303"/>
      <c r="F24" s="86" t="s">
        <v>113</v>
      </c>
      <c r="G24" s="87">
        <v>50</v>
      </c>
      <c r="H24" s="88">
        <v>88909</v>
      </c>
      <c r="I24" s="88">
        <v>86161.711899999995</v>
      </c>
      <c r="J24" s="88">
        <f t="shared" si="0"/>
        <v>86162</v>
      </c>
      <c r="K24" s="88">
        <f t="shared" si="1"/>
        <v>4308086</v>
      </c>
      <c r="L24" s="88">
        <f t="shared" si="2"/>
        <v>4308100</v>
      </c>
      <c r="M24" s="133">
        <f t="shared" si="3"/>
        <v>-2747</v>
      </c>
      <c r="N24" s="134">
        <f t="shared" si="4"/>
        <v>0.96910324039186135</v>
      </c>
      <c r="BE24" s="91"/>
      <c r="BF24" s="92"/>
      <c r="BG24" s="91"/>
      <c r="BH24" s="91"/>
      <c r="BI24" s="93"/>
      <c r="BK24" s="91"/>
      <c r="BL24" s="92"/>
      <c r="BM24" s="91"/>
      <c r="BN24" s="91"/>
      <c r="BO24" s="93"/>
      <c r="BQ24" s="90"/>
    </row>
    <row r="25" spans="1:69" ht="60.75" customHeight="1">
      <c r="A25" s="310" t="s">
        <v>114</v>
      </c>
      <c r="B25" s="310"/>
      <c r="C25" s="303" t="s">
        <v>115</v>
      </c>
      <c r="D25" s="303"/>
      <c r="E25" s="303"/>
      <c r="F25" s="86" t="s">
        <v>113</v>
      </c>
      <c r="G25" s="87">
        <v>50</v>
      </c>
      <c r="H25" s="88">
        <v>97000</v>
      </c>
      <c r="I25" s="88">
        <v>94002.7</v>
      </c>
      <c r="J25" s="88">
        <f t="shared" si="0"/>
        <v>94003</v>
      </c>
      <c r="K25" s="88">
        <f t="shared" si="1"/>
        <v>4700135</v>
      </c>
      <c r="L25" s="88">
        <f t="shared" si="2"/>
        <v>4700150</v>
      </c>
      <c r="M25" s="133">
        <f t="shared" si="3"/>
        <v>-2997</v>
      </c>
      <c r="N25" s="134">
        <f t="shared" si="4"/>
        <v>0.96910309278350515</v>
      </c>
      <c r="BE25" s="91"/>
      <c r="BF25" s="92"/>
      <c r="BG25" s="91"/>
      <c r="BH25" s="91"/>
      <c r="BI25" s="93"/>
      <c r="BK25" s="91"/>
      <c r="BL25" s="92"/>
      <c r="BM25" s="91"/>
      <c r="BN25" s="91"/>
      <c r="BO25" s="93"/>
      <c r="BQ25" s="90"/>
    </row>
    <row r="26" spans="1:69" ht="60.75" customHeight="1">
      <c r="A26" s="302" t="s">
        <v>116</v>
      </c>
      <c r="B26" s="302"/>
      <c r="C26" s="303" t="s">
        <v>117</v>
      </c>
      <c r="D26" s="303"/>
      <c r="E26" s="303"/>
      <c r="F26" s="94" t="s">
        <v>98</v>
      </c>
      <c r="G26" s="95">
        <v>80</v>
      </c>
      <c r="H26" s="88">
        <v>38338</v>
      </c>
      <c r="I26" s="88">
        <v>37153.355799999998</v>
      </c>
      <c r="J26" s="88">
        <f t="shared" si="0"/>
        <v>37153</v>
      </c>
      <c r="K26" s="88">
        <f t="shared" si="1"/>
        <v>2972268</v>
      </c>
      <c r="L26" s="88">
        <f t="shared" si="2"/>
        <v>2972240</v>
      </c>
      <c r="M26" s="133">
        <f t="shared" si="3"/>
        <v>-1185</v>
      </c>
      <c r="N26" s="134">
        <f t="shared" si="4"/>
        <v>0.96909071939068292</v>
      </c>
    </row>
    <row r="27" spans="1:69" ht="60.75" customHeight="1">
      <c r="A27" s="302" t="s">
        <v>118</v>
      </c>
      <c r="B27" s="302"/>
      <c r="C27" s="303" t="s">
        <v>119</v>
      </c>
      <c r="D27" s="303"/>
      <c r="E27" s="303"/>
      <c r="F27" s="94" t="s">
        <v>98</v>
      </c>
      <c r="G27" s="95">
        <v>1800</v>
      </c>
      <c r="H27" s="88">
        <v>35000</v>
      </c>
      <c r="I27" s="88">
        <v>33918.5</v>
      </c>
      <c r="J27" s="88">
        <f t="shared" si="0"/>
        <v>33919</v>
      </c>
      <c r="K27" s="88">
        <f t="shared" si="1"/>
        <v>61053300</v>
      </c>
      <c r="L27" s="88">
        <f t="shared" si="2"/>
        <v>61054200</v>
      </c>
      <c r="M27" s="133">
        <f t="shared" si="3"/>
        <v>-1081</v>
      </c>
      <c r="N27" s="134">
        <f t="shared" si="4"/>
        <v>0.96911428571428571</v>
      </c>
    </row>
    <row r="28" spans="1:69" ht="60.75" customHeight="1">
      <c r="A28" s="302" t="s">
        <v>120</v>
      </c>
      <c r="B28" s="302"/>
      <c r="C28" s="303" t="s">
        <v>121</v>
      </c>
      <c r="D28" s="303"/>
      <c r="E28" s="303"/>
      <c r="F28" s="94" t="s">
        <v>98</v>
      </c>
      <c r="G28" s="95">
        <v>80</v>
      </c>
      <c r="H28" s="88">
        <v>96707</v>
      </c>
      <c r="I28" s="88">
        <v>93718.753700000001</v>
      </c>
      <c r="J28" s="88">
        <f t="shared" si="0"/>
        <v>93719</v>
      </c>
      <c r="K28" s="88">
        <f t="shared" si="1"/>
        <v>7497500</v>
      </c>
      <c r="L28" s="88">
        <f t="shared" si="2"/>
        <v>7497520</v>
      </c>
      <c r="M28" s="133">
        <f t="shared" si="3"/>
        <v>-2988</v>
      </c>
      <c r="N28" s="134">
        <f t="shared" si="4"/>
        <v>0.9691025468683756</v>
      </c>
    </row>
    <row r="29" spans="1:69" ht="60.75" customHeight="1">
      <c r="A29" s="302" t="s">
        <v>122</v>
      </c>
      <c r="B29" s="302"/>
      <c r="C29" s="303" t="s">
        <v>123</v>
      </c>
      <c r="D29" s="303"/>
      <c r="E29" s="303"/>
      <c r="F29" s="94" t="s">
        <v>98</v>
      </c>
      <c r="G29" s="95">
        <v>80</v>
      </c>
      <c r="H29" s="88">
        <v>130500</v>
      </c>
      <c r="I29" s="88">
        <v>126467.54999999999</v>
      </c>
      <c r="J29" s="88">
        <f t="shared" si="0"/>
        <v>126468</v>
      </c>
      <c r="K29" s="88">
        <f t="shared" si="1"/>
        <v>10117404</v>
      </c>
      <c r="L29" s="88">
        <f t="shared" si="2"/>
        <v>10117440</v>
      </c>
      <c r="M29" s="133">
        <f t="shared" si="3"/>
        <v>-4032</v>
      </c>
      <c r="N29" s="134">
        <f t="shared" si="4"/>
        <v>0.96910344827586203</v>
      </c>
    </row>
    <row r="30" spans="1:69" ht="60.75" customHeight="1">
      <c r="A30" s="310" t="s">
        <v>124</v>
      </c>
      <c r="B30" s="310"/>
      <c r="C30" s="303" t="s">
        <v>125</v>
      </c>
      <c r="D30" s="303"/>
      <c r="E30" s="303"/>
      <c r="F30" s="94" t="s">
        <v>113</v>
      </c>
      <c r="G30" s="95">
        <v>100</v>
      </c>
      <c r="H30" s="88">
        <v>1233196</v>
      </c>
      <c r="I30" s="88">
        <v>1195090.2435999999</v>
      </c>
      <c r="J30" s="88">
        <f t="shared" si="0"/>
        <v>1195090</v>
      </c>
      <c r="K30" s="88">
        <f t="shared" si="1"/>
        <v>119509024</v>
      </c>
      <c r="L30" s="88">
        <f t="shared" si="2"/>
        <v>119509000</v>
      </c>
      <c r="M30" s="133">
        <f t="shared" si="3"/>
        <v>-38106</v>
      </c>
      <c r="N30" s="134">
        <f t="shared" si="4"/>
        <v>0.96909980246449068</v>
      </c>
    </row>
    <row r="31" spans="1:69" ht="60.75" customHeight="1">
      <c r="A31" s="310" t="s">
        <v>126</v>
      </c>
      <c r="B31" s="310"/>
      <c r="C31" s="303" t="s">
        <v>127</v>
      </c>
      <c r="D31" s="303"/>
      <c r="E31" s="303"/>
      <c r="F31" s="94" t="s">
        <v>113</v>
      </c>
      <c r="G31" s="95">
        <v>85</v>
      </c>
      <c r="H31" s="88">
        <v>749188</v>
      </c>
      <c r="I31" s="88">
        <v>726038.09080000001</v>
      </c>
      <c r="J31" s="88">
        <f t="shared" si="0"/>
        <v>726038</v>
      </c>
      <c r="K31" s="88">
        <f t="shared" si="1"/>
        <v>61713238</v>
      </c>
      <c r="L31" s="88">
        <f t="shared" si="2"/>
        <v>61713230</v>
      </c>
      <c r="M31" s="133">
        <f t="shared" si="3"/>
        <v>-23150</v>
      </c>
      <c r="N31" s="134">
        <f t="shared" si="4"/>
        <v>0.96909987880211645</v>
      </c>
    </row>
    <row r="32" spans="1:69" ht="60.75" customHeight="1">
      <c r="A32" s="310" t="s">
        <v>128</v>
      </c>
      <c r="B32" s="310"/>
      <c r="C32" s="303" t="s">
        <v>129</v>
      </c>
      <c r="D32" s="303"/>
      <c r="E32" s="303"/>
      <c r="F32" s="94" t="s">
        <v>113</v>
      </c>
      <c r="G32" s="95">
        <v>20</v>
      </c>
      <c r="H32" s="88">
        <v>1242026</v>
      </c>
      <c r="I32" s="88">
        <v>1203647.3965999999</v>
      </c>
      <c r="J32" s="88">
        <f t="shared" si="0"/>
        <v>1203647</v>
      </c>
      <c r="K32" s="88">
        <f t="shared" si="1"/>
        <v>24072948</v>
      </c>
      <c r="L32" s="88">
        <f t="shared" si="2"/>
        <v>24072940</v>
      </c>
      <c r="M32" s="133">
        <f t="shared" si="3"/>
        <v>-38379</v>
      </c>
      <c r="N32" s="134">
        <f t="shared" si="4"/>
        <v>0.96909968068301311</v>
      </c>
    </row>
    <row r="33" spans="1:14" ht="60.75" customHeight="1">
      <c r="A33" s="310" t="s">
        <v>130</v>
      </c>
      <c r="B33" s="310"/>
      <c r="C33" s="303" t="s">
        <v>131</v>
      </c>
      <c r="D33" s="303"/>
      <c r="E33" s="303"/>
      <c r="F33" s="94" t="s">
        <v>98</v>
      </c>
      <c r="G33" s="95">
        <v>45</v>
      </c>
      <c r="H33" s="88">
        <v>40656</v>
      </c>
      <c r="I33" s="88">
        <v>39399.729599999999</v>
      </c>
      <c r="J33" s="88">
        <f t="shared" si="0"/>
        <v>39400</v>
      </c>
      <c r="K33" s="88">
        <f t="shared" si="1"/>
        <v>1772988</v>
      </c>
      <c r="L33" s="88">
        <f t="shared" si="2"/>
        <v>1773000</v>
      </c>
      <c r="M33" s="133">
        <f t="shared" si="3"/>
        <v>-1256</v>
      </c>
      <c r="N33" s="134">
        <f t="shared" si="4"/>
        <v>0.96910665092483272</v>
      </c>
    </row>
    <row r="34" spans="1:14" ht="60.75" customHeight="1">
      <c r="A34" s="310" t="s">
        <v>132</v>
      </c>
      <c r="B34" s="310"/>
      <c r="C34" s="303" t="s">
        <v>133</v>
      </c>
      <c r="D34" s="303"/>
      <c r="E34" s="303"/>
      <c r="F34" s="94" t="s">
        <v>98</v>
      </c>
      <c r="G34" s="95">
        <v>45</v>
      </c>
      <c r="H34" s="88">
        <v>1032471</v>
      </c>
      <c r="I34" s="88">
        <v>1000567.6461</v>
      </c>
      <c r="J34" s="88">
        <f t="shared" si="0"/>
        <v>1000568</v>
      </c>
      <c r="K34" s="88">
        <f t="shared" si="1"/>
        <v>45025544</v>
      </c>
      <c r="L34" s="88">
        <f t="shared" si="2"/>
        <v>45025560</v>
      </c>
      <c r="M34" s="133">
        <f t="shared" si="3"/>
        <v>-31903</v>
      </c>
      <c r="N34" s="134">
        <f t="shared" si="4"/>
        <v>0.96910034276991797</v>
      </c>
    </row>
    <row r="35" spans="1:14" ht="60.75" customHeight="1">
      <c r="A35" s="310" t="s">
        <v>134</v>
      </c>
      <c r="B35" s="310"/>
      <c r="C35" s="303" t="s">
        <v>135</v>
      </c>
      <c r="D35" s="303"/>
      <c r="E35" s="303"/>
      <c r="F35" s="94" t="s">
        <v>113</v>
      </c>
      <c r="G35" s="95">
        <v>275</v>
      </c>
      <c r="H35" s="88">
        <v>112609</v>
      </c>
      <c r="I35" s="88">
        <v>109129.38189999999</v>
      </c>
      <c r="J35" s="88">
        <f t="shared" si="0"/>
        <v>109129</v>
      </c>
      <c r="K35" s="88">
        <f t="shared" si="1"/>
        <v>30010580</v>
      </c>
      <c r="L35" s="88">
        <f t="shared" si="2"/>
        <v>30010475</v>
      </c>
      <c r="M35" s="133">
        <f t="shared" si="3"/>
        <v>-3480</v>
      </c>
      <c r="N35" s="134">
        <f t="shared" si="4"/>
        <v>0.96909660861920455</v>
      </c>
    </row>
    <row r="36" spans="1:14" ht="60.75" customHeight="1">
      <c r="A36" s="310" t="s">
        <v>136</v>
      </c>
      <c r="B36" s="310"/>
      <c r="C36" s="303" t="s">
        <v>137</v>
      </c>
      <c r="D36" s="303"/>
      <c r="E36" s="303"/>
      <c r="F36" s="94" t="s">
        <v>113</v>
      </c>
      <c r="G36" s="95">
        <v>1</v>
      </c>
      <c r="H36" s="88">
        <v>131148</v>
      </c>
      <c r="I36" s="88">
        <v>127095.52679999999</v>
      </c>
      <c r="J36" s="88">
        <f t="shared" si="0"/>
        <v>127096</v>
      </c>
      <c r="K36" s="88">
        <f t="shared" si="1"/>
        <v>127096</v>
      </c>
      <c r="L36" s="88">
        <f t="shared" si="2"/>
        <v>127096</v>
      </c>
      <c r="M36" s="133">
        <f t="shared" si="3"/>
        <v>-4052</v>
      </c>
      <c r="N36" s="134">
        <f t="shared" si="4"/>
        <v>0.96910360813737151</v>
      </c>
    </row>
    <row r="37" spans="1:14" ht="60.75" customHeight="1">
      <c r="A37" s="310" t="s">
        <v>138</v>
      </c>
      <c r="B37" s="310"/>
      <c r="C37" s="303" t="s">
        <v>139</v>
      </c>
      <c r="D37" s="303"/>
      <c r="E37" s="303"/>
      <c r="F37" s="94" t="s">
        <v>113</v>
      </c>
      <c r="G37" s="95">
        <v>1</v>
      </c>
      <c r="H37" s="88">
        <v>1224745</v>
      </c>
      <c r="I37" s="88">
        <v>1186900.3795</v>
      </c>
      <c r="J37" s="88">
        <f t="shared" si="0"/>
        <v>1186900</v>
      </c>
      <c r="K37" s="88">
        <f t="shared" si="1"/>
        <v>1186900</v>
      </c>
      <c r="L37" s="88">
        <f t="shared" si="2"/>
        <v>1186900</v>
      </c>
      <c r="M37" s="133">
        <f t="shared" si="3"/>
        <v>-37845</v>
      </c>
      <c r="N37" s="134">
        <f t="shared" si="4"/>
        <v>0.96909969013958008</v>
      </c>
    </row>
    <row r="38" spans="1:14" ht="60.75" customHeight="1">
      <c r="A38" s="310" t="s">
        <v>140</v>
      </c>
      <c r="B38" s="310"/>
      <c r="C38" s="303" t="s">
        <v>141</v>
      </c>
      <c r="D38" s="303"/>
      <c r="E38" s="303"/>
      <c r="F38" s="94" t="s">
        <v>98</v>
      </c>
      <c r="G38" s="95">
        <v>4500</v>
      </c>
      <c r="H38" s="88">
        <v>34663</v>
      </c>
      <c r="I38" s="88">
        <v>33591.9133</v>
      </c>
      <c r="J38" s="88">
        <f t="shared" si="0"/>
        <v>33592</v>
      </c>
      <c r="K38" s="88">
        <f t="shared" si="1"/>
        <v>151163610</v>
      </c>
      <c r="L38" s="88">
        <f t="shared" si="2"/>
        <v>151164000</v>
      </c>
      <c r="M38" s="133">
        <f t="shared" si="3"/>
        <v>-1071</v>
      </c>
      <c r="N38" s="134">
        <f t="shared" si="4"/>
        <v>0.96910250122609121</v>
      </c>
    </row>
    <row r="39" spans="1:14" ht="60.75" customHeight="1">
      <c r="A39" s="314" t="s">
        <v>142</v>
      </c>
      <c r="B39" s="315"/>
      <c r="C39" s="315"/>
      <c r="D39" s="315"/>
      <c r="E39" s="315"/>
      <c r="F39" s="315"/>
      <c r="G39" s="315"/>
      <c r="H39" s="315"/>
      <c r="I39" s="316"/>
      <c r="J39" s="88">
        <f t="shared" si="0"/>
        <v>0</v>
      </c>
      <c r="K39" s="96">
        <f>SUM(K16:K38)</f>
        <v>1158466833</v>
      </c>
      <c r="L39" s="96">
        <f>SUM(L16:L38)</f>
        <v>1158466310</v>
      </c>
      <c r="M39" s="133">
        <f t="shared" si="3"/>
        <v>0</v>
      </c>
      <c r="N39" s="134" t="e">
        <f t="shared" si="4"/>
        <v>#DIV/0!</v>
      </c>
    </row>
    <row r="40" spans="1:14" ht="60.75" customHeight="1">
      <c r="A40" s="310" t="s">
        <v>93</v>
      </c>
      <c r="B40" s="310"/>
      <c r="C40" s="303" t="s">
        <v>143</v>
      </c>
      <c r="D40" s="303"/>
      <c r="E40" s="303"/>
      <c r="F40" s="94" t="s">
        <v>98</v>
      </c>
      <c r="G40" s="95">
        <v>250</v>
      </c>
      <c r="H40" s="88">
        <v>49033</v>
      </c>
      <c r="I40" s="88">
        <v>47517.880299999997</v>
      </c>
      <c r="J40" s="88">
        <f t="shared" si="0"/>
        <v>47518</v>
      </c>
      <c r="K40" s="88">
        <f t="shared" si="1"/>
        <v>11879470</v>
      </c>
      <c r="L40" s="88">
        <f t="shared" si="2"/>
        <v>11879500</v>
      </c>
      <c r="M40" s="133">
        <f t="shared" si="3"/>
        <v>-1515</v>
      </c>
      <c r="N40" s="134">
        <f t="shared" si="4"/>
        <v>0.96910244121306055</v>
      </c>
    </row>
    <row r="41" spans="1:14" ht="60.75" customHeight="1">
      <c r="A41" s="310" t="s">
        <v>96</v>
      </c>
      <c r="B41" s="310"/>
      <c r="C41" s="303" t="s">
        <v>144</v>
      </c>
      <c r="D41" s="303"/>
      <c r="E41" s="303"/>
      <c r="F41" s="94" t="s">
        <v>98</v>
      </c>
      <c r="G41" s="95">
        <v>61</v>
      </c>
      <c r="H41" s="88">
        <v>50667</v>
      </c>
      <c r="I41" s="88">
        <v>49101.3897</v>
      </c>
      <c r="J41" s="88">
        <f t="shared" si="0"/>
        <v>49101</v>
      </c>
      <c r="K41" s="88">
        <f t="shared" si="1"/>
        <v>2995185</v>
      </c>
      <c r="L41" s="88">
        <f t="shared" si="2"/>
        <v>2995161</v>
      </c>
      <c r="M41" s="133">
        <f t="shared" si="3"/>
        <v>-1566</v>
      </c>
      <c r="N41" s="134">
        <f t="shared" si="4"/>
        <v>0.96909230860323292</v>
      </c>
    </row>
    <row r="42" spans="1:14" ht="60.75" customHeight="1">
      <c r="A42" s="310" t="s">
        <v>145</v>
      </c>
      <c r="B42" s="310"/>
      <c r="C42" s="303" t="s">
        <v>117</v>
      </c>
      <c r="D42" s="303"/>
      <c r="E42" s="303"/>
      <c r="F42" s="94" t="s">
        <v>98</v>
      </c>
      <c r="G42" s="95">
        <v>1070</v>
      </c>
      <c r="H42" s="88">
        <v>36183</v>
      </c>
      <c r="I42" s="88">
        <v>35064.945299999999</v>
      </c>
      <c r="J42" s="88">
        <f t="shared" si="0"/>
        <v>35065</v>
      </c>
      <c r="K42" s="88">
        <f t="shared" si="1"/>
        <v>37519491</v>
      </c>
      <c r="L42" s="88">
        <f t="shared" si="2"/>
        <v>37519550</v>
      </c>
      <c r="M42" s="133">
        <f t="shared" si="3"/>
        <v>-1118</v>
      </c>
      <c r="N42" s="134">
        <f t="shared" si="4"/>
        <v>0.96910151175966619</v>
      </c>
    </row>
    <row r="43" spans="1:14" ht="60.75" customHeight="1">
      <c r="A43" s="310" t="s">
        <v>146</v>
      </c>
      <c r="B43" s="310"/>
      <c r="C43" s="303" t="s">
        <v>147</v>
      </c>
      <c r="D43" s="303"/>
      <c r="E43" s="303"/>
      <c r="F43" s="94" t="s">
        <v>148</v>
      </c>
      <c r="G43" s="95">
        <v>1</v>
      </c>
      <c r="H43" s="88">
        <v>13063210</v>
      </c>
      <c r="I43" s="88">
        <v>12659556.810999999</v>
      </c>
      <c r="J43" s="88">
        <f t="shared" si="0"/>
        <v>12659557</v>
      </c>
      <c r="K43" s="88">
        <f t="shared" si="1"/>
        <v>12659557</v>
      </c>
      <c r="L43" s="88">
        <f t="shared" si="2"/>
        <v>12659557</v>
      </c>
      <c r="M43" s="133">
        <f t="shared" si="3"/>
        <v>-403653</v>
      </c>
      <c r="N43" s="134">
        <f t="shared" si="4"/>
        <v>0.96910001446811311</v>
      </c>
    </row>
    <row r="44" spans="1:14" ht="60.75" customHeight="1">
      <c r="A44" s="310" t="s">
        <v>149</v>
      </c>
      <c r="B44" s="310"/>
      <c r="C44" s="303" t="s">
        <v>150</v>
      </c>
      <c r="D44" s="303"/>
      <c r="E44" s="303"/>
      <c r="F44" s="94" t="s">
        <v>113</v>
      </c>
      <c r="G44" s="95">
        <v>135</v>
      </c>
      <c r="H44" s="88">
        <v>96339</v>
      </c>
      <c r="I44" s="88">
        <v>93362.124899999995</v>
      </c>
      <c r="J44" s="88">
        <f t="shared" si="0"/>
        <v>93362</v>
      </c>
      <c r="K44" s="88">
        <f t="shared" si="1"/>
        <v>12603887</v>
      </c>
      <c r="L44" s="88">
        <f t="shared" si="2"/>
        <v>12603870</v>
      </c>
      <c r="M44" s="133">
        <f t="shared" si="3"/>
        <v>-2977</v>
      </c>
      <c r="N44" s="134">
        <f t="shared" si="4"/>
        <v>0.96909870353647021</v>
      </c>
    </row>
    <row r="45" spans="1:14" ht="60.75" customHeight="1">
      <c r="A45" s="310" t="s">
        <v>151</v>
      </c>
      <c r="B45" s="310"/>
      <c r="C45" s="303" t="s">
        <v>152</v>
      </c>
      <c r="D45" s="303"/>
      <c r="E45" s="303"/>
      <c r="F45" s="94" t="s">
        <v>98</v>
      </c>
      <c r="G45" s="95">
        <v>78</v>
      </c>
      <c r="H45" s="88">
        <v>95199</v>
      </c>
      <c r="I45" s="88">
        <v>92257.35089999999</v>
      </c>
      <c r="J45" s="88">
        <f t="shared" si="0"/>
        <v>92257</v>
      </c>
      <c r="K45" s="88">
        <f t="shared" si="1"/>
        <v>7196073</v>
      </c>
      <c r="L45" s="88">
        <f t="shared" si="2"/>
        <v>7196046</v>
      </c>
      <c r="M45" s="133">
        <f t="shared" si="3"/>
        <v>-2942</v>
      </c>
      <c r="N45" s="134">
        <f t="shared" si="4"/>
        <v>0.9690963140369121</v>
      </c>
    </row>
    <row r="46" spans="1:14" ht="60.75" customHeight="1">
      <c r="A46" s="310" t="s">
        <v>99</v>
      </c>
      <c r="B46" s="310"/>
      <c r="C46" s="303" t="s">
        <v>153</v>
      </c>
      <c r="D46" s="303"/>
      <c r="E46" s="303"/>
      <c r="F46" s="94" t="s">
        <v>95</v>
      </c>
      <c r="G46" s="95">
        <v>100</v>
      </c>
      <c r="H46" s="88">
        <v>203925</v>
      </c>
      <c r="I46" s="88">
        <v>197623.7175</v>
      </c>
      <c r="J46" s="88">
        <f t="shared" si="0"/>
        <v>197624</v>
      </c>
      <c r="K46" s="88">
        <f t="shared" si="1"/>
        <v>19762372</v>
      </c>
      <c r="L46" s="88">
        <f t="shared" si="2"/>
        <v>19762400</v>
      </c>
      <c r="M46" s="133">
        <f t="shared" si="3"/>
        <v>-6301</v>
      </c>
      <c r="N46" s="134">
        <f t="shared" si="4"/>
        <v>0.96910138531322787</v>
      </c>
    </row>
    <row r="47" spans="1:14" ht="60.75" customHeight="1">
      <c r="A47" s="310" t="s">
        <v>101</v>
      </c>
      <c r="B47" s="310"/>
      <c r="C47" s="303" t="s">
        <v>154</v>
      </c>
      <c r="D47" s="303"/>
      <c r="E47" s="303"/>
      <c r="F47" s="94" t="s">
        <v>95</v>
      </c>
      <c r="G47" s="95">
        <v>130</v>
      </c>
      <c r="H47" s="88">
        <v>186288</v>
      </c>
      <c r="I47" s="88">
        <v>180531.70079999999</v>
      </c>
      <c r="J47" s="88">
        <f t="shared" si="0"/>
        <v>180532</v>
      </c>
      <c r="K47" s="88">
        <f t="shared" si="1"/>
        <v>23469121</v>
      </c>
      <c r="L47" s="88">
        <f t="shared" si="2"/>
        <v>23469160</v>
      </c>
      <c r="M47" s="133">
        <f t="shared" si="3"/>
        <v>-5756</v>
      </c>
      <c r="N47" s="134">
        <f t="shared" si="4"/>
        <v>0.96910160611526242</v>
      </c>
    </row>
    <row r="48" spans="1:14" ht="60.75" customHeight="1">
      <c r="A48" s="310" t="s">
        <v>116</v>
      </c>
      <c r="B48" s="310"/>
      <c r="C48" s="303" t="s">
        <v>155</v>
      </c>
      <c r="D48" s="303"/>
      <c r="E48" s="303"/>
      <c r="F48" s="94" t="s">
        <v>98</v>
      </c>
      <c r="G48" s="95">
        <v>30</v>
      </c>
      <c r="H48" s="88">
        <v>205133</v>
      </c>
      <c r="I48" s="88">
        <v>198794.3903</v>
      </c>
      <c r="J48" s="88">
        <f t="shared" si="0"/>
        <v>198794</v>
      </c>
      <c r="K48" s="88">
        <f t="shared" si="1"/>
        <v>5963832</v>
      </c>
      <c r="L48" s="88">
        <f t="shared" si="2"/>
        <v>5963820</v>
      </c>
      <c r="M48" s="133">
        <f t="shared" si="3"/>
        <v>-6339</v>
      </c>
      <c r="N48" s="134">
        <f t="shared" si="4"/>
        <v>0.96909809733197483</v>
      </c>
    </row>
    <row r="49" spans="1:14" ht="60.75" customHeight="1">
      <c r="A49" s="310" t="s">
        <v>124</v>
      </c>
      <c r="B49" s="310"/>
      <c r="C49" s="303" t="s">
        <v>156</v>
      </c>
      <c r="D49" s="303"/>
      <c r="E49" s="303"/>
      <c r="F49" s="94" t="s">
        <v>98</v>
      </c>
      <c r="G49" s="95">
        <v>1301</v>
      </c>
      <c r="H49" s="88">
        <v>131613</v>
      </c>
      <c r="I49" s="88">
        <v>127546.1583</v>
      </c>
      <c r="J49" s="88">
        <f t="shared" si="0"/>
        <v>127546</v>
      </c>
      <c r="K49" s="88">
        <f t="shared" si="1"/>
        <v>165937552</v>
      </c>
      <c r="L49" s="88">
        <f t="shared" si="2"/>
        <v>165937346</v>
      </c>
      <c r="M49" s="133">
        <f t="shared" si="3"/>
        <v>-4067</v>
      </c>
      <c r="N49" s="134">
        <f t="shared" si="4"/>
        <v>0.96909879723127657</v>
      </c>
    </row>
    <row r="50" spans="1:14" ht="60.75" customHeight="1">
      <c r="A50" s="310" t="s">
        <v>126</v>
      </c>
      <c r="B50" s="310"/>
      <c r="C50" s="303" t="s">
        <v>157</v>
      </c>
      <c r="D50" s="303"/>
      <c r="E50" s="303"/>
      <c r="F50" s="94" t="s">
        <v>98</v>
      </c>
      <c r="G50" s="95">
        <v>1301</v>
      </c>
      <c r="H50" s="88">
        <v>33384</v>
      </c>
      <c r="I50" s="88">
        <v>32352.434399999998</v>
      </c>
      <c r="J50" s="88">
        <f t="shared" si="0"/>
        <v>32352</v>
      </c>
      <c r="K50" s="88">
        <f t="shared" si="1"/>
        <v>42090517</v>
      </c>
      <c r="L50" s="88">
        <f t="shared" si="2"/>
        <v>42089952</v>
      </c>
      <c r="M50" s="133">
        <f t="shared" si="3"/>
        <v>-1032</v>
      </c>
      <c r="N50" s="134">
        <f t="shared" si="4"/>
        <v>0.9690869877785766</v>
      </c>
    </row>
    <row r="51" spans="1:14" ht="60.75" customHeight="1">
      <c r="A51" s="302" t="s">
        <v>136</v>
      </c>
      <c r="B51" s="302"/>
      <c r="C51" s="303" t="s">
        <v>158</v>
      </c>
      <c r="D51" s="303"/>
      <c r="E51" s="303"/>
      <c r="F51" s="97" t="s">
        <v>98</v>
      </c>
      <c r="G51" s="98">
        <v>1070</v>
      </c>
      <c r="H51" s="88">
        <v>194913</v>
      </c>
      <c r="I51" s="88">
        <v>188890.18829999998</v>
      </c>
      <c r="J51" s="88">
        <f t="shared" si="0"/>
        <v>188890</v>
      </c>
      <c r="K51" s="88">
        <f t="shared" si="1"/>
        <v>202112501</v>
      </c>
      <c r="L51" s="88">
        <f t="shared" si="2"/>
        <v>202112300</v>
      </c>
      <c r="M51" s="133">
        <f t="shared" si="3"/>
        <v>-6023</v>
      </c>
      <c r="N51" s="134">
        <f t="shared" si="4"/>
        <v>0.9690990339279576</v>
      </c>
    </row>
    <row r="52" spans="1:14" ht="60.75" customHeight="1">
      <c r="A52" s="310" t="s">
        <v>140</v>
      </c>
      <c r="B52" s="310"/>
      <c r="C52" s="303" t="s">
        <v>159</v>
      </c>
      <c r="D52" s="303"/>
      <c r="E52" s="303"/>
      <c r="F52" s="97" t="s">
        <v>95</v>
      </c>
      <c r="G52" s="98">
        <v>2400</v>
      </c>
      <c r="H52" s="88">
        <v>20487</v>
      </c>
      <c r="I52" s="88">
        <v>19853.951699999998</v>
      </c>
      <c r="J52" s="88">
        <f t="shared" si="0"/>
        <v>19854</v>
      </c>
      <c r="K52" s="88">
        <f t="shared" si="1"/>
        <v>47649484</v>
      </c>
      <c r="L52" s="88">
        <f t="shared" si="2"/>
        <v>47649600</v>
      </c>
      <c r="M52" s="133">
        <f t="shared" si="3"/>
        <v>-633</v>
      </c>
      <c r="N52" s="134">
        <f t="shared" si="4"/>
        <v>0.96910235759261976</v>
      </c>
    </row>
    <row r="53" spans="1:14" ht="60.75" customHeight="1">
      <c r="A53" s="310" t="s">
        <v>160</v>
      </c>
      <c r="B53" s="310"/>
      <c r="C53" s="303" t="s">
        <v>161</v>
      </c>
      <c r="D53" s="303"/>
      <c r="E53" s="303"/>
      <c r="F53" s="97" t="s">
        <v>95</v>
      </c>
      <c r="G53" s="98">
        <v>200</v>
      </c>
      <c r="H53" s="88">
        <v>373466</v>
      </c>
      <c r="I53" s="88">
        <v>361925.90059999999</v>
      </c>
      <c r="J53" s="88">
        <f t="shared" si="0"/>
        <v>361926</v>
      </c>
      <c r="K53" s="88">
        <f t="shared" si="1"/>
        <v>72385180</v>
      </c>
      <c r="L53" s="88">
        <f t="shared" si="2"/>
        <v>72385200</v>
      </c>
      <c r="M53" s="133">
        <f t="shared" si="3"/>
        <v>-11540</v>
      </c>
      <c r="N53" s="134">
        <f t="shared" si="4"/>
        <v>0.96910026615541978</v>
      </c>
    </row>
    <row r="54" spans="1:14" ht="60.75" customHeight="1">
      <c r="A54" s="310" t="s">
        <v>162</v>
      </c>
      <c r="B54" s="310"/>
      <c r="C54" s="303" t="s">
        <v>163</v>
      </c>
      <c r="D54" s="303"/>
      <c r="E54" s="303"/>
      <c r="F54" s="97" t="s">
        <v>113</v>
      </c>
      <c r="G54" s="98">
        <v>240</v>
      </c>
      <c r="H54" s="88">
        <v>157875</v>
      </c>
      <c r="I54" s="88">
        <v>152996.66250000001</v>
      </c>
      <c r="J54" s="88">
        <f t="shared" si="0"/>
        <v>152997</v>
      </c>
      <c r="K54" s="88">
        <f t="shared" si="1"/>
        <v>36719199</v>
      </c>
      <c r="L54" s="88">
        <f t="shared" si="2"/>
        <v>36719280</v>
      </c>
      <c r="M54" s="133">
        <f t="shared" si="3"/>
        <v>-4878</v>
      </c>
      <c r="N54" s="134">
        <f t="shared" si="4"/>
        <v>0.96910213776722087</v>
      </c>
    </row>
    <row r="55" spans="1:14" ht="60.75" customHeight="1">
      <c r="A55" s="310" t="s">
        <v>164</v>
      </c>
      <c r="B55" s="310"/>
      <c r="C55" s="303" t="s">
        <v>165</v>
      </c>
      <c r="D55" s="303"/>
      <c r="E55" s="303"/>
      <c r="F55" s="97" t="s">
        <v>113</v>
      </c>
      <c r="G55" s="98">
        <v>60</v>
      </c>
      <c r="H55" s="88">
        <v>177999</v>
      </c>
      <c r="I55" s="88">
        <v>172498.8309</v>
      </c>
      <c r="J55" s="88">
        <f t="shared" si="0"/>
        <v>172499</v>
      </c>
      <c r="K55" s="88">
        <f t="shared" si="1"/>
        <v>10349930</v>
      </c>
      <c r="L55" s="88">
        <f t="shared" si="2"/>
        <v>10349940</v>
      </c>
      <c r="M55" s="133">
        <f t="shared" si="3"/>
        <v>-5500</v>
      </c>
      <c r="N55" s="134">
        <f t="shared" si="4"/>
        <v>0.96910095000533714</v>
      </c>
    </row>
    <row r="56" spans="1:14" ht="60.75" customHeight="1">
      <c r="A56" s="310" t="s">
        <v>166</v>
      </c>
      <c r="B56" s="310"/>
      <c r="C56" s="303" t="s">
        <v>167</v>
      </c>
      <c r="D56" s="303"/>
      <c r="E56" s="303"/>
      <c r="F56" s="97" t="s">
        <v>113</v>
      </c>
      <c r="G56" s="98">
        <v>82</v>
      </c>
      <c r="H56" s="88">
        <v>327191</v>
      </c>
      <c r="I56" s="88">
        <v>317080.79810000001</v>
      </c>
      <c r="J56" s="88">
        <f t="shared" si="0"/>
        <v>317081</v>
      </c>
      <c r="K56" s="88">
        <f t="shared" si="1"/>
        <v>26000625</v>
      </c>
      <c r="L56" s="88">
        <f t="shared" si="2"/>
        <v>26000642</v>
      </c>
      <c r="M56" s="133">
        <f t="shared" si="3"/>
        <v>-10110</v>
      </c>
      <c r="N56" s="134">
        <f t="shared" si="4"/>
        <v>0.969100617070763</v>
      </c>
    </row>
    <row r="57" spans="1:14" ht="60.75" customHeight="1">
      <c r="A57" s="310" t="s">
        <v>168</v>
      </c>
      <c r="B57" s="310"/>
      <c r="C57" s="303" t="s">
        <v>169</v>
      </c>
      <c r="D57" s="303"/>
      <c r="E57" s="303"/>
      <c r="F57" s="97" t="s">
        <v>113</v>
      </c>
      <c r="G57" s="98">
        <v>90</v>
      </c>
      <c r="H57" s="88">
        <v>230677</v>
      </c>
      <c r="I57" s="88">
        <v>223549.08069999999</v>
      </c>
      <c r="J57" s="88">
        <f t="shared" si="0"/>
        <v>223549</v>
      </c>
      <c r="K57" s="88">
        <f t="shared" si="1"/>
        <v>20119417</v>
      </c>
      <c r="L57" s="88">
        <f t="shared" si="2"/>
        <v>20119410</v>
      </c>
      <c r="M57" s="133">
        <f t="shared" si="3"/>
        <v>-7128</v>
      </c>
      <c r="N57" s="134">
        <f t="shared" si="4"/>
        <v>0.96909965016018074</v>
      </c>
    </row>
    <row r="58" spans="1:14" ht="60.75" customHeight="1">
      <c r="A58" s="310" t="s">
        <v>170</v>
      </c>
      <c r="B58" s="310"/>
      <c r="C58" s="303" t="s">
        <v>171</v>
      </c>
      <c r="D58" s="303"/>
      <c r="E58" s="303"/>
      <c r="F58" s="97" t="s">
        <v>113</v>
      </c>
      <c r="G58" s="98">
        <v>7</v>
      </c>
      <c r="H58" s="88">
        <v>196020</v>
      </c>
      <c r="I58" s="88">
        <v>189962.98199999999</v>
      </c>
      <c r="J58" s="88">
        <f t="shared" si="0"/>
        <v>189963</v>
      </c>
      <c r="K58" s="88">
        <f t="shared" si="1"/>
        <v>1329741</v>
      </c>
      <c r="L58" s="88">
        <f t="shared" si="2"/>
        <v>1329741</v>
      </c>
      <c r="M58" s="133">
        <f t="shared" si="3"/>
        <v>-6057</v>
      </c>
      <c r="N58" s="134">
        <f t="shared" si="4"/>
        <v>0.96910009182736456</v>
      </c>
    </row>
    <row r="59" spans="1:14" ht="60.75" customHeight="1">
      <c r="A59" s="310" t="s">
        <v>172</v>
      </c>
      <c r="B59" s="310"/>
      <c r="C59" s="303" t="s">
        <v>173</v>
      </c>
      <c r="D59" s="303"/>
      <c r="E59" s="303"/>
      <c r="F59" s="97" t="s">
        <v>113</v>
      </c>
      <c r="G59" s="98">
        <v>22</v>
      </c>
      <c r="H59" s="88">
        <v>181406</v>
      </c>
      <c r="I59" s="88">
        <v>175800.5546</v>
      </c>
      <c r="J59" s="88">
        <f t="shared" si="0"/>
        <v>175801</v>
      </c>
      <c r="K59" s="88">
        <f t="shared" si="1"/>
        <v>3867612</v>
      </c>
      <c r="L59" s="88">
        <f t="shared" si="2"/>
        <v>3867622</v>
      </c>
      <c r="M59" s="133">
        <f t="shared" si="3"/>
        <v>-5605</v>
      </c>
      <c r="N59" s="134">
        <f t="shared" si="4"/>
        <v>0.96910245526608818</v>
      </c>
    </row>
    <row r="60" spans="1:14" ht="60.75" customHeight="1">
      <c r="A60" s="310" t="s">
        <v>174</v>
      </c>
      <c r="B60" s="310"/>
      <c r="C60" s="303" t="s">
        <v>175</v>
      </c>
      <c r="D60" s="303"/>
      <c r="E60" s="303"/>
      <c r="F60" s="97" t="s">
        <v>113</v>
      </c>
      <c r="G60" s="98">
        <v>10</v>
      </c>
      <c r="H60" s="88">
        <v>200830</v>
      </c>
      <c r="I60" s="88">
        <v>194624.353</v>
      </c>
      <c r="J60" s="88">
        <f t="shared" si="0"/>
        <v>194624</v>
      </c>
      <c r="K60" s="88">
        <f t="shared" si="1"/>
        <v>1946244</v>
      </c>
      <c r="L60" s="88">
        <f t="shared" si="2"/>
        <v>1946240</v>
      </c>
      <c r="M60" s="133">
        <f t="shared" si="3"/>
        <v>-6206</v>
      </c>
      <c r="N60" s="134">
        <f t="shared" si="4"/>
        <v>0.96909824229447794</v>
      </c>
    </row>
    <row r="61" spans="1:14" ht="60.75" customHeight="1">
      <c r="A61" s="310" t="s">
        <v>176</v>
      </c>
      <c r="B61" s="310"/>
      <c r="C61" s="303" t="s">
        <v>177</v>
      </c>
      <c r="D61" s="303"/>
      <c r="E61" s="303"/>
      <c r="F61" s="97" t="s">
        <v>113</v>
      </c>
      <c r="G61" s="98">
        <v>43</v>
      </c>
      <c r="H61" s="88">
        <v>178332</v>
      </c>
      <c r="I61" s="88">
        <v>172821.54120000001</v>
      </c>
      <c r="J61" s="88">
        <f t="shared" si="0"/>
        <v>172822</v>
      </c>
      <c r="K61" s="88">
        <f t="shared" si="1"/>
        <v>7431326</v>
      </c>
      <c r="L61" s="88">
        <f t="shared" si="2"/>
        <v>7431346</v>
      </c>
      <c r="M61" s="133">
        <f t="shared" si="3"/>
        <v>-5510</v>
      </c>
      <c r="N61" s="134">
        <f t="shared" si="4"/>
        <v>0.96910257272951572</v>
      </c>
    </row>
    <row r="62" spans="1:14" ht="60.75" customHeight="1">
      <c r="A62" s="310" t="s">
        <v>178</v>
      </c>
      <c r="B62" s="310"/>
      <c r="C62" s="303" t="s">
        <v>179</v>
      </c>
      <c r="D62" s="303"/>
      <c r="E62" s="303"/>
      <c r="F62" s="97" t="s">
        <v>180</v>
      </c>
      <c r="G62" s="98">
        <v>300</v>
      </c>
      <c r="H62" s="88">
        <v>16471</v>
      </c>
      <c r="I62" s="88">
        <v>15962.0461</v>
      </c>
      <c r="J62" s="88">
        <f t="shared" si="0"/>
        <v>15962</v>
      </c>
      <c r="K62" s="88">
        <f t="shared" si="1"/>
        <v>4788614</v>
      </c>
      <c r="L62" s="88">
        <f t="shared" si="2"/>
        <v>4788600</v>
      </c>
      <c r="M62" s="133">
        <f t="shared" si="3"/>
        <v>-509</v>
      </c>
      <c r="N62" s="134">
        <f t="shared" si="4"/>
        <v>0.96909720114140008</v>
      </c>
    </row>
    <row r="63" spans="1:14" ht="60.75" customHeight="1">
      <c r="A63" s="310" t="s">
        <v>181</v>
      </c>
      <c r="B63" s="310"/>
      <c r="C63" s="303" t="s">
        <v>182</v>
      </c>
      <c r="D63" s="303"/>
      <c r="E63" s="303"/>
      <c r="F63" s="97" t="s">
        <v>95</v>
      </c>
      <c r="G63" s="98">
        <v>180</v>
      </c>
      <c r="H63" s="88">
        <v>159622</v>
      </c>
      <c r="I63" s="88">
        <v>154689.6802</v>
      </c>
      <c r="J63" s="88">
        <f t="shared" si="0"/>
        <v>154690</v>
      </c>
      <c r="K63" s="88">
        <f t="shared" si="1"/>
        <v>27844142</v>
      </c>
      <c r="L63" s="88">
        <f t="shared" si="2"/>
        <v>27844200</v>
      </c>
      <c r="M63" s="133">
        <f t="shared" si="3"/>
        <v>-4932</v>
      </c>
      <c r="N63" s="134">
        <f t="shared" si="4"/>
        <v>0.96910200348322917</v>
      </c>
    </row>
    <row r="64" spans="1:14" ht="60.75" customHeight="1">
      <c r="A64" s="310" t="s">
        <v>183</v>
      </c>
      <c r="B64" s="310"/>
      <c r="C64" s="303" t="s">
        <v>184</v>
      </c>
      <c r="D64" s="303"/>
      <c r="E64" s="303"/>
      <c r="F64" s="97" t="s">
        <v>95</v>
      </c>
      <c r="G64" s="98">
        <v>220</v>
      </c>
      <c r="H64" s="88">
        <v>301400</v>
      </c>
      <c r="I64" s="88">
        <v>292086.74</v>
      </c>
      <c r="J64" s="88">
        <f t="shared" si="0"/>
        <v>292087</v>
      </c>
      <c r="K64" s="88">
        <f t="shared" si="1"/>
        <v>64259083</v>
      </c>
      <c r="L64" s="88">
        <f t="shared" si="2"/>
        <v>64259140</v>
      </c>
      <c r="M64" s="133">
        <f t="shared" si="3"/>
        <v>-9313</v>
      </c>
      <c r="N64" s="134">
        <f t="shared" si="4"/>
        <v>0.96910086264100859</v>
      </c>
    </row>
    <row r="65" spans="1:14" ht="60.75" customHeight="1">
      <c r="A65" s="310" t="s">
        <v>185</v>
      </c>
      <c r="B65" s="310"/>
      <c r="C65" s="303" t="s">
        <v>186</v>
      </c>
      <c r="D65" s="303"/>
      <c r="E65" s="303"/>
      <c r="F65" s="97" t="s">
        <v>113</v>
      </c>
      <c r="G65" s="98">
        <v>2</v>
      </c>
      <c r="H65" s="88">
        <v>3554535</v>
      </c>
      <c r="I65" s="88">
        <v>3444699.8684999999</v>
      </c>
      <c r="J65" s="88">
        <f t="shared" si="0"/>
        <v>3444700</v>
      </c>
      <c r="K65" s="88">
        <f t="shared" si="1"/>
        <v>6889400</v>
      </c>
      <c r="L65" s="88">
        <f t="shared" si="2"/>
        <v>6889400</v>
      </c>
      <c r="M65" s="133">
        <f t="shared" si="3"/>
        <v>-109835</v>
      </c>
      <c r="N65" s="134">
        <f t="shared" si="4"/>
        <v>0.9691000369949937</v>
      </c>
    </row>
    <row r="66" spans="1:14" ht="60.75" customHeight="1">
      <c r="A66" s="310" t="s">
        <v>187</v>
      </c>
      <c r="B66" s="310"/>
      <c r="C66" s="303" t="s">
        <v>188</v>
      </c>
      <c r="D66" s="303"/>
      <c r="E66" s="303"/>
      <c r="F66" s="97" t="s">
        <v>98</v>
      </c>
      <c r="G66" s="98">
        <v>300</v>
      </c>
      <c r="H66" s="88">
        <v>853000</v>
      </c>
      <c r="I66" s="88">
        <v>826642.29999999993</v>
      </c>
      <c r="J66" s="88">
        <f t="shared" si="0"/>
        <v>826642</v>
      </c>
      <c r="K66" s="88">
        <f t="shared" si="1"/>
        <v>247992690</v>
      </c>
      <c r="L66" s="88">
        <f t="shared" si="2"/>
        <v>247992600</v>
      </c>
      <c r="M66" s="133">
        <f t="shared" si="3"/>
        <v>-26358</v>
      </c>
      <c r="N66" s="134">
        <f t="shared" si="4"/>
        <v>0.96909964830011719</v>
      </c>
    </row>
    <row r="67" spans="1:14" ht="60.75" customHeight="1">
      <c r="A67" s="310" t="s">
        <v>189</v>
      </c>
      <c r="B67" s="310"/>
      <c r="C67" s="303" t="s">
        <v>190</v>
      </c>
      <c r="D67" s="303"/>
      <c r="E67" s="303"/>
      <c r="F67" s="97" t="s">
        <v>98</v>
      </c>
      <c r="G67" s="98">
        <v>30</v>
      </c>
      <c r="H67" s="88">
        <v>879613</v>
      </c>
      <c r="I67" s="88">
        <v>852432.95829999994</v>
      </c>
      <c r="J67" s="88">
        <f t="shared" si="0"/>
        <v>852433</v>
      </c>
      <c r="K67" s="88">
        <f t="shared" si="1"/>
        <v>25572989</v>
      </c>
      <c r="L67" s="88">
        <f t="shared" si="2"/>
        <v>25572990</v>
      </c>
      <c r="M67" s="133">
        <f t="shared" si="3"/>
        <v>-27180</v>
      </c>
      <c r="N67" s="134">
        <f t="shared" si="4"/>
        <v>0.96910004740721201</v>
      </c>
    </row>
    <row r="68" spans="1:14" ht="60.75" customHeight="1">
      <c r="A68" s="310" t="s">
        <v>191</v>
      </c>
      <c r="B68" s="310"/>
      <c r="C68" s="303" t="s">
        <v>192</v>
      </c>
      <c r="D68" s="303"/>
      <c r="E68" s="303"/>
      <c r="F68" s="97" t="s">
        <v>95</v>
      </c>
      <c r="G68" s="98">
        <v>60</v>
      </c>
      <c r="H68" s="88">
        <v>87418</v>
      </c>
      <c r="I68" s="88">
        <v>84716.78379999999</v>
      </c>
      <c r="J68" s="88">
        <f t="shared" si="0"/>
        <v>84717</v>
      </c>
      <c r="K68" s="88">
        <f t="shared" si="1"/>
        <v>5083007</v>
      </c>
      <c r="L68" s="88">
        <f t="shared" si="2"/>
        <v>5083020</v>
      </c>
      <c r="M68" s="133">
        <f t="shared" si="3"/>
        <v>-2701</v>
      </c>
      <c r="N68" s="134">
        <f t="shared" si="4"/>
        <v>0.96910247317486098</v>
      </c>
    </row>
    <row r="69" spans="1:14" ht="60.75" customHeight="1">
      <c r="A69" s="310" t="s">
        <v>193</v>
      </c>
      <c r="B69" s="310"/>
      <c r="C69" s="303" t="s">
        <v>194</v>
      </c>
      <c r="D69" s="303"/>
      <c r="E69" s="303"/>
      <c r="F69" s="97" t="s">
        <v>113</v>
      </c>
      <c r="G69" s="98">
        <v>41</v>
      </c>
      <c r="H69" s="88">
        <v>142900</v>
      </c>
      <c r="I69" s="88">
        <v>138484.38999999998</v>
      </c>
      <c r="J69" s="88">
        <f t="shared" si="0"/>
        <v>138484</v>
      </c>
      <c r="K69" s="88">
        <f t="shared" si="1"/>
        <v>5677860</v>
      </c>
      <c r="L69" s="88">
        <f t="shared" si="2"/>
        <v>5677844</v>
      </c>
      <c r="M69" s="133">
        <f t="shared" si="3"/>
        <v>-4416</v>
      </c>
      <c r="N69" s="134">
        <f t="shared" si="4"/>
        <v>0.96909727081875441</v>
      </c>
    </row>
    <row r="70" spans="1:14" ht="60.75" customHeight="1">
      <c r="A70" s="310" t="s">
        <v>195</v>
      </c>
      <c r="B70" s="310"/>
      <c r="C70" s="303" t="s">
        <v>196</v>
      </c>
      <c r="D70" s="303"/>
      <c r="E70" s="303"/>
      <c r="F70" s="97" t="s">
        <v>113</v>
      </c>
      <c r="G70" s="98">
        <v>1</v>
      </c>
      <c r="H70" s="88">
        <v>1176585</v>
      </c>
      <c r="I70" s="88">
        <v>1140228.5234999999</v>
      </c>
      <c r="J70" s="88">
        <f t="shared" si="0"/>
        <v>1140229</v>
      </c>
      <c r="K70" s="88">
        <f t="shared" si="1"/>
        <v>1140229</v>
      </c>
      <c r="L70" s="88">
        <f t="shared" si="2"/>
        <v>1140229</v>
      </c>
      <c r="M70" s="133">
        <f t="shared" si="3"/>
        <v>-36356</v>
      </c>
      <c r="N70" s="134">
        <f t="shared" si="4"/>
        <v>0.96910040498561512</v>
      </c>
    </row>
    <row r="71" spans="1:14" ht="60.75" customHeight="1">
      <c r="A71" s="310" t="s">
        <v>197</v>
      </c>
      <c r="B71" s="310"/>
      <c r="C71" s="303" t="s">
        <v>198</v>
      </c>
      <c r="D71" s="303"/>
      <c r="E71" s="303"/>
      <c r="F71" s="97" t="s">
        <v>98</v>
      </c>
      <c r="G71" s="98">
        <v>1000</v>
      </c>
      <c r="H71" s="88">
        <v>38208</v>
      </c>
      <c r="I71" s="88">
        <v>37027.372799999997</v>
      </c>
      <c r="J71" s="88">
        <f t="shared" si="0"/>
        <v>37027</v>
      </c>
      <c r="K71" s="88">
        <f t="shared" si="1"/>
        <v>37027373</v>
      </c>
      <c r="L71" s="88">
        <f t="shared" si="2"/>
        <v>37027000</v>
      </c>
      <c r="M71" s="133">
        <f t="shared" si="3"/>
        <v>-1181</v>
      </c>
      <c r="N71" s="134">
        <f t="shared" si="4"/>
        <v>0.96909024288107204</v>
      </c>
    </row>
    <row r="72" spans="1:14" ht="60.75" customHeight="1">
      <c r="A72" s="310" t="s">
        <v>199</v>
      </c>
      <c r="B72" s="310"/>
      <c r="C72" s="303" t="s">
        <v>200</v>
      </c>
      <c r="D72" s="303"/>
      <c r="E72" s="303"/>
      <c r="F72" s="97" t="s">
        <v>98</v>
      </c>
      <c r="G72" s="98">
        <v>230.61</v>
      </c>
      <c r="H72" s="88">
        <v>41123</v>
      </c>
      <c r="I72" s="88">
        <v>39852.299299999999</v>
      </c>
      <c r="J72" s="88">
        <f t="shared" si="0"/>
        <v>39852</v>
      </c>
      <c r="K72" s="88">
        <f t="shared" si="1"/>
        <v>9190339</v>
      </c>
      <c r="L72" s="88">
        <f t="shared" si="2"/>
        <v>9190270</v>
      </c>
      <c r="M72" s="133">
        <f t="shared" si="3"/>
        <v>-1271</v>
      </c>
      <c r="N72" s="134">
        <f t="shared" si="4"/>
        <v>0.96909272183449646</v>
      </c>
    </row>
    <row r="73" spans="1:14" ht="60.75" customHeight="1">
      <c r="A73" s="311" t="s">
        <v>201</v>
      </c>
      <c r="B73" s="312"/>
      <c r="C73" s="312"/>
      <c r="D73" s="312"/>
      <c r="E73" s="312"/>
      <c r="F73" s="312"/>
      <c r="G73" s="312"/>
      <c r="H73" s="312"/>
      <c r="I73" s="313"/>
      <c r="J73" s="88">
        <f t="shared" si="0"/>
        <v>0</v>
      </c>
      <c r="K73" s="99">
        <f>SUM(K40:K72)</f>
        <v>1207454042</v>
      </c>
      <c r="L73" s="99">
        <f>SUM(L40:L72)</f>
        <v>1207452976</v>
      </c>
      <c r="M73" s="133">
        <f t="shared" si="3"/>
        <v>0</v>
      </c>
      <c r="N73" s="134" t="e">
        <f t="shared" si="4"/>
        <v>#DIV/0!</v>
      </c>
    </row>
    <row r="74" spans="1:14" ht="60.75" customHeight="1">
      <c r="A74" s="302" t="s">
        <v>202</v>
      </c>
      <c r="B74" s="302"/>
      <c r="C74" s="303" t="s">
        <v>203</v>
      </c>
      <c r="D74" s="303"/>
      <c r="E74" s="303"/>
      <c r="F74" s="97" t="s">
        <v>98</v>
      </c>
      <c r="G74" s="98">
        <v>450</v>
      </c>
      <c r="H74" s="88">
        <v>194913</v>
      </c>
      <c r="I74" s="88">
        <v>188890.18829999998</v>
      </c>
      <c r="J74" s="88">
        <f t="shared" si="0"/>
        <v>188890</v>
      </c>
      <c r="K74" s="88">
        <f t="shared" ref="K74:K130" si="5">+ROUND(I74*G74,0)</f>
        <v>85000585</v>
      </c>
      <c r="L74" s="88">
        <f t="shared" si="2"/>
        <v>85000500</v>
      </c>
      <c r="M74" s="133">
        <f t="shared" si="3"/>
        <v>-6023</v>
      </c>
      <c r="N74" s="134">
        <f t="shared" si="4"/>
        <v>0.9690990339279576</v>
      </c>
    </row>
    <row r="75" spans="1:14" ht="60.75" customHeight="1">
      <c r="A75" s="302" t="s">
        <v>197</v>
      </c>
      <c r="B75" s="302"/>
      <c r="C75" s="303" t="s">
        <v>204</v>
      </c>
      <c r="D75" s="303"/>
      <c r="E75" s="303"/>
      <c r="F75" s="97" t="s">
        <v>113</v>
      </c>
      <c r="G75" s="98">
        <v>2</v>
      </c>
      <c r="H75" s="88">
        <v>3334200</v>
      </c>
      <c r="I75" s="88">
        <v>3231173.2199999997</v>
      </c>
      <c r="J75" s="88">
        <f t="shared" si="0"/>
        <v>3231173</v>
      </c>
      <c r="K75" s="88">
        <f t="shared" si="5"/>
        <v>6462346</v>
      </c>
      <c r="L75" s="88">
        <f t="shared" si="2"/>
        <v>6462346</v>
      </c>
      <c r="M75" s="133">
        <f t="shared" si="3"/>
        <v>-103027</v>
      </c>
      <c r="N75" s="134">
        <f t="shared" si="4"/>
        <v>0.96909993401715555</v>
      </c>
    </row>
    <row r="76" spans="1:14" ht="60.75" customHeight="1">
      <c r="A76" s="302" t="s">
        <v>199</v>
      </c>
      <c r="B76" s="302"/>
      <c r="C76" s="303" t="s">
        <v>205</v>
      </c>
      <c r="D76" s="303"/>
      <c r="E76" s="303"/>
      <c r="F76" s="97" t="s">
        <v>113</v>
      </c>
      <c r="G76" s="98">
        <v>12</v>
      </c>
      <c r="H76" s="88">
        <v>858374</v>
      </c>
      <c r="I76" s="88">
        <v>831850.24339999992</v>
      </c>
      <c r="J76" s="88">
        <f t="shared" si="0"/>
        <v>831850</v>
      </c>
      <c r="K76" s="88">
        <f t="shared" si="5"/>
        <v>9982203</v>
      </c>
      <c r="L76" s="88">
        <f t="shared" si="2"/>
        <v>9982200</v>
      </c>
      <c r="M76" s="133">
        <f t="shared" si="3"/>
        <v>-26524</v>
      </c>
      <c r="N76" s="134">
        <f t="shared" si="4"/>
        <v>0.9690997164406191</v>
      </c>
    </row>
    <row r="77" spans="1:14" ht="60.75" customHeight="1">
      <c r="A77" s="302" t="s">
        <v>206</v>
      </c>
      <c r="B77" s="302"/>
      <c r="C77" s="303" t="s">
        <v>207</v>
      </c>
      <c r="D77" s="303"/>
      <c r="E77" s="303"/>
      <c r="F77" s="97" t="s">
        <v>98</v>
      </c>
      <c r="G77" s="98">
        <v>222.23000000000002</v>
      </c>
      <c r="H77" s="88">
        <v>34663</v>
      </c>
      <c r="I77" s="88">
        <v>33591.9133</v>
      </c>
      <c r="J77" s="88">
        <f t="shared" si="0"/>
        <v>33592</v>
      </c>
      <c r="K77" s="88">
        <f t="shared" si="5"/>
        <v>7465131</v>
      </c>
      <c r="L77" s="88">
        <f t="shared" si="2"/>
        <v>7465150</v>
      </c>
      <c r="M77" s="133">
        <f t="shared" si="3"/>
        <v>-1071</v>
      </c>
      <c r="N77" s="134">
        <f t="shared" si="4"/>
        <v>0.96910250122609121</v>
      </c>
    </row>
    <row r="78" spans="1:14" ht="60.75" customHeight="1">
      <c r="A78" s="307" t="s">
        <v>208</v>
      </c>
      <c r="B78" s="308"/>
      <c r="C78" s="308"/>
      <c r="D78" s="308"/>
      <c r="E78" s="308"/>
      <c r="F78" s="308"/>
      <c r="G78" s="308"/>
      <c r="H78" s="308"/>
      <c r="I78" s="309"/>
      <c r="J78" s="88">
        <f t="shared" si="0"/>
        <v>0</v>
      </c>
      <c r="K78" s="100">
        <f>SUM(K74:K77)</f>
        <v>108910265</v>
      </c>
      <c r="L78" s="100">
        <f>SUM(L74:L77)</f>
        <v>108910196</v>
      </c>
      <c r="M78" s="133">
        <f t="shared" si="3"/>
        <v>0</v>
      </c>
      <c r="N78" s="134" t="e">
        <f t="shared" si="4"/>
        <v>#DIV/0!</v>
      </c>
    </row>
    <row r="79" spans="1:14" ht="60.75" customHeight="1">
      <c r="A79" s="302" t="s">
        <v>93</v>
      </c>
      <c r="B79" s="302"/>
      <c r="C79" s="303" t="s">
        <v>143</v>
      </c>
      <c r="D79" s="303"/>
      <c r="E79" s="303"/>
      <c r="F79" s="97" t="s">
        <v>98</v>
      </c>
      <c r="G79" s="98">
        <v>161.58000000000001</v>
      </c>
      <c r="H79" s="88">
        <v>49033</v>
      </c>
      <c r="I79" s="88">
        <v>47517.880299999997</v>
      </c>
      <c r="J79" s="88">
        <f t="shared" si="0"/>
        <v>47518</v>
      </c>
      <c r="K79" s="88">
        <f t="shared" si="5"/>
        <v>7677939</v>
      </c>
      <c r="L79" s="88">
        <f t="shared" si="2"/>
        <v>7677958</v>
      </c>
      <c r="M79" s="133">
        <f t="shared" si="3"/>
        <v>-1515</v>
      </c>
      <c r="N79" s="134">
        <f t="shared" si="4"/>
        <v>0.96910244121306055</v>
      </c>
    </row>
    <row r="80" spans="1:14" ht="60.75" customHeight="1">
      <c r="A80" s="302" t="s">
        <v>96</v>
      </c>
      <c r="B80" s="302"/>
      <c r="C80" s="303" t="s">
        <v>144</v>
      </c>
      <c r="D80" s="303"/>
      <c r="E80" s="303"/>
      <c r="F80" s="97" t="s">
        <v>98</v>
      </c>
      <c r="G80" s="98">
        <v>246.96</v>
      </c>
      <c r="H80" s="88">
        <v>97950</v>
      </c>
      <c r="I80" s="88">
        <v>94923.345000000001</v>
      </c>
      <c r="J80" s="88">
        <f t="shared" si="0"/>
        <v>94923</v>
      </c>
      <c r="K80" s="88">
        <f t="shared" si="5"/>
        <v>23442269</v>
      </c>
      <c r="L80" s="88">
        <f t="shared" si="2"/>
        <v>23442184</v>
      </c>
      <c r="M80" s="133">
        <f t="shared" si="3"/>
        <v>-3027</v>
      </c>
      <c r="N80" s="134">
        <f t="shared" si="4"/>
        <v>0.96909647779479324</v>
      </c>
    </row>
    <row r="81" spans="1:14" ht="60.75" customHeight="1">
      <c r="A81" s="302" t="s">
        <v>145</v>
      </c>
      <c r="B81" s="302"/>
      <c r="C81" s="303" t="s">
        <v>209</v>
      </c>
      <c r="D81" s="303"/>
      <c r="E81" s="303"/>
      <c r="F81" s="97" t="s">
        <v>98</v>
      </c>
      <c r="G81" s="98">
        <v>888.84</v>
      </c>
      <c r="H81" s="88">
        <v>36183</v>
      </c>
      <c r="I81" s="88">
        <v>35064.945299999999</v>
      </c>
      <c r="J81" s="88">
        <f t="shared" ref="J81:J130" si="6">+ROUND(I81,0)</f>
        <v>35065</v>
      </c>
      <c r="K81" s="88">
        <f t="shared" si="5"/>
        <v>31167126</v>
      </c>
      <c r="L81" s="88">
        <f t="shared" ref="L81:L130" si="7">+ROUND(J81*G81,0)</f>
        <v>31167175</v>
      </c>
      <c r="M81" s="133">
        <f t="shared" ref="M81:M130" si="8">+J81-H81</f>
        <v>-1118</v>
      </c>
      <c r="N81" s="134">
        <f t="shared" ref="N81:N130" si="9">+J81/H81</f>
        <v>0.96910151175966619</v>
      </c>
    </row>
    <row r="82" spans="1:14" ht="60.75" customHeight="1">
      <c r="A82" s="302" t="s">
        <v>146</v>
      </c>
      <c r="B82" s="302"/>
      <c r="C82" s="303" t="s">
        <v>147</v>
      </c>
      <c r="D82" s="303"/>
      <c r="E82" s="303"/>
      <c r="F82" s="97" t="s">
        <v>148</v>
      </c>
      <c r="G82" s="98">
        <v>1</v>
      </c>
      <c r="H82" s="88">
        <v>6960160</v>
      </c>
      <c r="I82" s="88">
        <v>6745091.0559999999</v>
      </c>
      <c r="J82" s="88">
        <f t="shared" si="6"/>
        <v>6745091</v>
      </c>
      <c r="K82" s="88">
        <f t="shared" si="5"/>
        <v>6745091</v>
      </c>
      <c r="L82" s="88">
        <f t="shared" si="7"/>
        <v>6745091</v>
      </c>
      <c r="M82" s="133">
        <f t="shared" si="8"/>
        <v>-215069</v>
      </c>
      <c r="N82" s="134">
        <f t="shared" si="9"/>
        <v>0.96909999195420793</v>
      </c>
    </row>
    <row r="83" spans="1:14" ht="60.75" customHeight="1">
      <c r="A83" s="302" t="s">
        <v>149</v>
      </c>
      <c r="B83" s="302"/>
      <c r="C83" s="303" t="s">
        <v>210</v>
      </c>
      <c r="D83" s="303"/>
      <c r="E83" s="303"/>
      <c r="F83" s="97" t="s">
        <v>113</v>
      </c>
      <c r="G83" s="98">
        <v>150</v>
      </c>
      <c r="H83" s="88">
        <v>96339</v>
      </c>
      <c r="I83" s="88">
        <v>93362.124899999995</v>
      </c>
      <c r="J83" s="88">
        <f t="shared" si="6"/>
        <v>93362</v>
      </c>
      <c r="K83" s="88">
        <f t="shared" si="5"/>
        <v>14004319</v>
      </c>
      <c r="L83" s="88">
        <f t="shared" si="7"/>
        <v>14004300</v>
      </c>
      <c r="M83" s="133">
        <f t="shared" si="8"/>
        <v>-2977</v>
      </c>
      <c r="N83" s="134">
        <f t="shared" si="9"/>
        <v>0.96909870353647021</v>
      </c>
    </row>
    <row r="84" spans="1:14" ht="60.75" customHeight="1">
      <c r="A84" s="302" t="s">
        <v>151</v>
      </c>
      <c r="B84" s="302"/>
      <c r="C84" s="303" t="s">
        <v>211</v>
      </c>
      <c r="D84" s="303"/>
      <c r="E84" s="303"/>
      <c r="F84" s="97" t="s">
        <v>98</v>
      </c>
      <c r="G84" s="98">
        <v>37.5</v>
      </c>
      <c r="H84" s="88">
        <v>95199</v>
      </c>
      <c r="I84" s="88">
        <v>92257.35089999999</v>
      </c>
      <c r="J84" s="88">
        <f t="shared" si="6"/>
        <v>92257</v>
      </c>
      <c r="K84" s="88">
        <f t="shared" si="5"/>
        <v>3459651</v>
      </c>
      <c r="L84" s="88">
        <f t="shared" si="7"/>
        <v>3459638</v>
      </c>
      <c r="M84" s="133">
        <f t="shared" si="8"/>
        <v>-2942</v>
      </c>
      <c r="N84" s="134">
        <f t="shared" si="9"/>
        <v>0.9690963140369121</v>
      </c>
    </row>
    <row r="85" spans="1:14" ht="60.75" customHeight="1">
      <c r="A85" s="302" t="s">
        <v>99</v>
      </c>
      <c r="B85" s="302"/>
      <c r="C85" s="303" t="s">
        <v>153</v>
      </c>
      <c r="D85" s="303"/>
      <c r="E85" s="303"/>
      <c r="F85" s="97" t="s">
        <v>95</v>
      </c>
      <c r="G85" s="98">
        <v>121</v>
      </c>
      <c r="H85" s="88">
        <v>203925</v>
      </c>
      <c r="I85" s="88">
        <v>197623.7175</v>
      </c>
      <c r="J85" s="88">
        <f t="shared" si="6"/>
        <v>197624</v>
      </c>
      <c r="K85" s="88">
        <f t="shared" si="5"/>
        <v>23912470</v>
      </c>
      <c r="L85" s="88">
        <f t="shared" si="7"/>
        <v>23912504</v>
      </c>
      <c r="M85" s="133">
        <f t="shared" si="8"/>
        <v>-6301</v>
      </c>
      <c r="N85" s="134">
        <f t="shared" si="9"/>
        <v>0.96910138531322787</v>
      </c>
    </row>
    <row r="86" spans="1:14" ht="60.75" customHeight="1">
      <c r="A86" s="302" t="s">
        <v>101</v>
      </c>
      <c r="B86" s="302"/>
      <c r="C86" s="303" t="s">
        <v>154</v>
      </c>
      <c r="D86" s="303"/>
      <c r="E86" s="303"/>
      <c r="F86" s="97" t="s">
        <v>95</v>
      </c>
      <c r="G86" s="98">
        <v>145</v>
      </c>
      <c r="H86" s="88">
        <v>186288</v>
      </c>
      <c r="I86" s="88">
        <v>180531.70079999999</v>
      </c>
      <c r="J86" s="88">
        <f t="shared" si="6"/>
        <v>180532</v>
      </c>
      <c r="K86" s="88">
        <f t="shared" si="5"/>
        <v>26177097</v>
      </c>
      <c r="L86" s="88">
        <f t="shared" si="7"/>
        <v>26177140</v>
      </c>
      <c r="M86" s="133">
        <f t="shared" si="8"/>
        <v>-5756</v>
      </c>
      <c r="N86" s="134">
        <f t="shared" si="9"/>
        <v>0.96910160611526242</v>
      </c>
    </row>
    <row r="87" spans="1:14" ht="60.75" customHeight="1">
      <c r="A87" s="302" t="s">
        <v>103</v>
      </c>
      <c r="B87" s="302"/>
      <c r="C87" s="303" t="s">
        <v>212</v>
      </c>
      <c r="D87" s="303"/>
      <c r="E87" s="303"/>
      <c r="F87" s="97" t="s">
        <v>98</v>
      </c>
      <c r="G87" s="98">
        <v>40</v>
      </c>
      <c r="H87" s="88">
        <v>240790</v>
      </c>
      <c r="I87" s="88">
        <v>233349.58899999998</v>
      </c>
      <c r="J87" s="88">
        <f t="shared" si="6"/>
        <v>233350</v>
      </c>
      <c r="K87" s="88">
        <f t="shared" si="5"/>
        <v>9333984</v>
      </c>
      <c r="L87" s="88">
        <f t="shared" si="7"/>
        <v>9334000</v>
      </c>
      <c r="M87" s="133">
        <f t="shared" si="8"/>
        <v>-7440</v>
      </c>
      <c r="N87" s="134">
        <f t="shared" si="9"/>
        <v>0.96910170688151498</v>
      </c>
    </row>
    <row r="88" spans="1:14" ht="60.75" customHeight="1">
      <c r="A88" s="302" t="s">
        <v>116</v>
      </c>
      <c r="B88" s="302"/>
      <c r="C88" s="303" t="s">
        <v>213</v>
      </c>
      <c r="D88" s="303"/>
      <c r="E88" s="303"/>
      <c r="F88" s="97" t="s">
        <v>98</v>
      </c>
      <c r="G88" s="98">
        <v>5</v>
      </c>
      <c r="H88" s="88">
        <v>161174</v>
      </c>
      <c r="I88" s="88">
        <v>156193.72339999999</v>
      </c>
      <c r="J88" s="88">
        <f t="shared" si="6"/>
        <v>156194</v>
      </c>
      <c r="K88" s="88">
        <f t="shared" si="5"/>
        <v>780969</v>
      </c>
      <c r="L88" s="88">
        <f t="shared" si="7"/>
        <v>780970</v>
      </c>
      <c r="M88" s="133">
        <f t="shared" si="8"/>
        <v>-4980</v>
      </c>
      <c r="N88" s="134">
        <f t="shared" si="9"/>
        <v>0.96910171615769292</v>
      </c>
    </row>
    <row r="89" spans="1:14" ht="60.75" customHeight="1">
      <c r="A89" s="302" t="s">
        <v>124</v>
      </c>
      <c r="B89" s="302"/>
      <c r="C89" s="303" t="s">
        <v>214</v>
      </c>
      <c r="D89" s="303"/>
      <c r="E89" s="303"/>
      <c r="F89" s="97" t="s">
        <v>98</v>
      </c>
      <c r="G89" s="98">
        <v>888.84</v>
      </c>
      <c r="H89" s="88">
        <v>116086</v>
      </c>
      <c r="I89" s="88">
        <v>112498.94259999999</v>
      </c>
      <c r="J89" s="88">
        <f t="shared" si="6"/>
        <v>112499</v>
      </c>
      <c r="K89" s="88">
        <f t="shared" si="5"/>
        <v>99993560</v>
      </c>
      <c r="L89" s="88">
        <f t="shared" si="7"/>
        <v>99993611</v>
      </c>
      <c r="M89" s="133">
        <f t="shared" si="8"/>
        <v>-3587</v>
      </c>
      <c r="N89" s="134">
        <f t="shared" si="9"/>
        <v>0.9691004944610031</v>
      </c>
    </row>
    <row r="90" spans="1:14" ht="60.75" customHeight="1">
      <c r="A90" s="302" t="s">
        <v>136</v>
      </c>
      <c r="B90" s="302"/>
      <c r="C90" s="303" t="s">
        <v>215</v>
      </c>
      <c r="D90" s="303"/>
      <c r="E90" s="303"/>
      <c r="F90" s="97" t="s">
        <v>98</v>
      </c>
      <c r="G90" s="98">
        <v>888.84</v>
      </c>
      <c r="H90" s="88">
        <v>194913</v>
      </c>
      <c r="I90" s="88">
        <v>188890.18829999998</v>
      </c>
      <c r="J90" s="88">
        <f t="shared" si="6"/>
        <v>188890</v>
      </c>
      <c r="K90" s="88">
        <f t="shared" si="5"/>
        <v>167893155</v>
      </c>
      <c r="L90" s="88">
        <f t="shared" si="7"/>
        <v>167892988</v>
      </c>
      <c r="M90" s="133">
        <f t="shared" si="8"/>
        <v>-6023</v>
      </c>
      <c r="N90" s="134">
        <f t="shared" si="9"/>
        <v>0.9690990339279576</v>
      </c>
    </row>
    <row r="91" spans="1:14" ht="60.75" customHeight="1">
      <c r="A91" s="302" t="s">
        <v>140</v>
      </c>
      <c r="B91" s="302"/>
      <c r="C91" s="303" t="s">
        <v>159</v>
      </c>
      <c r="D91" s="303"/>
      <c r="E91" s="303"/>
      <c r="F91" s="97" t="s">
        <v>95</v>
      </c>
      <c r="G91" s="98">
        <v>1800</v>
      </c>
      <c r="H91" s="88">
        <v>20382</v>
      </c>
      <c r="I91" s="88">
        <v>19752.196199999998</v>
      </c>
      <c r="J91" s="88">
        <f t="shared" si="6"/>
        <v>19752</v>
      </c>
      <c r="K91" s="88">
        <f t="shared" si="5"/>
        <v>35553953</v>
      </c>
      <c r="L91" s="88">
        <f t="shared" si="7"/>
        <v>35553600</v>
      </c>
      <c r="M91" s="133">
        <f t="shared" si="8"/>
        <v>-630</v>
      </c>
      <c r="N91" s="134">
        <f t="shared" si="9"/>
        <v>0.96909037385928765</v>
      </c>
    </row>
    <row r="92" spans="1:14" ht="60.75" customHeight="1">
      <c r="A92" s="302" t="s">
        <v>160</v>
      </c>
      <c r="B92" s="302"/>
      <c r="C92" s="303" t="s">
        <v>161</v>
      </c>
      <c r="D92" s="303"/>
      <c r="E92" s="303"/>
      <c r="F92" s="97" t="s">
        <v>95</v>
      </c>
      <c r="G92" s="98">
        <v>50</v>
      </c>
      <c r="H92" s="88">
        <v>226317</v>
      </c>
      <c r="I92" s="88">
        <v>219323.80469999998</v>
      </c>
      <c r="J92" s="88">
        <f t="shared" si="6"/>
        <v>219324</v>
      </c>
      <c r="K92" s="88">
        <f t="shared" si="5"/>
        <v>10966190</v>
      </c>
      <c r="L92" s="88">
        <f t="shared" si="7"/>
        <v>10966200</v>
      </c>
      <c r="M92" s="133">
        <f t="shared" si="8"/>
        <v>-6993</v>
      </c>
      <c r="N92" s="134">
        <f t="shared" si="9"/>
        <v>0.96910086294887265</v>
      </c>
    </row>
    <row r="93" spans="1:14" ht="60.75" customHeight="1">
      <c r="A93" s="302" t="s">
        <v>162</v>
      </c>
      <c r="B93" s="302"/>
      <c r="C93" s="303" t="s">
        <v>216</v>
      </c>
      <c r="D93" s="303"/>
      <c r="E93" s="303"/>
      <c r="F93" s="97" t="s">
        <v>113</v>
      </c>
      <c r="G93" s="98">
        <v>180</v>
      </c>
      <c r="H93" s="88">
        <v>151650</v>
      </c>
      <c r="I93" s="88">
        <v>146964.01499999998</v>
      </c>
      <c r="J93" s="88">
        <f t="shared" si="6"/>
        <v>146964</v>
      </c>
      <c r="K93" s="88">
        <f t="shared" si="5"/>
        <v>26453523</v>
      </c>
      <c r="L93" s="88">
        <f t="shared" si="7"/>
        <v>26453520</v>
      </c>
      <c r="M93" s="133">
        <f t="shared" si="8"/>
        <v>-4686</v>
      </c>
      <c r="N93" s="134">
        <f t="shared" si="9"/>
        <v>0.96909990108803168</v>
      </c>
    </row>
    <row r="94" spans="1:14" ht="60.75" customHeight="1">
      <c r="A94" s="302" t="s">
        <v>164</v>
      </c>
      <c r="B94" s="302"/>
      <c r="C94" s="303" t="s">
        <v>217</v>
      </c>
      <c r="D94" s="303"/>
      <c r="E94" s="303"/>
      <c r="F94" s="97" t="s">
        <v>113</v>
      </c>
      <c r="G94" s="98">
        <v>60</v>
      </c>
      <c r="H94" s="88">
        <v>170847</v>
      </c>
      <c r="I94" s="88">
        <v>165567.82769999999</v>
      </c>
      <c r="J94" s="88">
        <f t="shared" si="6"/>
        <v>165568</v>
      </c>
      <c r="K94" s="88">
        <f t="shared" si="5"/>
        <v>9934070</v>
      </c>
      <c r="L94" s="88">
        <f t="shared" si="7"/>
        <v>9934080</v>
      </c>
      <c r="M94" s="133">
        <f t="shared" si="8"/>
        <v>-5279</v>
      </c>
      <c r="N94" s="134">
        <f t="shared" si="9"/>
        <v>0.9691010085046855</v>
      </c>
    </row>
    <row r="95" spans="1:14" ht="60.75" customHeight="1">
      <c r="A95" s="302" t="s">
        <v>166</v>
      </c>
      <c r="B95" s="302"/>
      <c r="C95" s="303" t="s">
        <v>218</v>
      </c>
      <c r="D95" s="303"/>
      <c r="E95" s="303"/>
      <c r="F95" s="97" t="s">
        <v>113</v>
      </c>
      <c r="G95" s="98">
        <v>42</v>
      </c>
      <c r="H95" s="88">
        <v>308438</v>
      </c>
      <c r="I95" s="88">
        <v>298907.26579999999</v>
      </c>
      <c r="J95" s="88">
        <f t="shared" si="6"/>
        <v>298907</v>
      </c>
      <c r="K95" s="88">
        <f t="shared" si="5"/>
        <v>12554105</v>
      </c>
      <c r="L95" s="88">
        <f t="shared" si="7"/>
        <v>12554094</v>
      </c>
      <c r="M95" s="133">
        <f t="shared" si="8"/>
        <v>-9531</v>
      </c>
      <c r="N95" s="134">
        <f t="shared" si="9"/>
        <v>0.96909913823847904</v>
      </c>
    </row>
    <row r="96" spans="1:14" ht="60.75" customHeight="1">
      <c r="A96" s="302" t="s">
        <v>168</v>
      </c>
      <c r="B96" s="302"/>
      <c r="C96" s="303" t="s">
        <v>219</v>
      </c>
      <c r="D96" s="303"/>
      <c r="E96" s="303"/>
      <c r="F96" s="97" t="s">
        <v>113</v>
      </c>
      <c r="G96" s="98">
        <v>88</v>
      </c>
      <c r="H96" s="88">
        <v>106167</v>
      </c>
      <c r="I96" s="88">
        <v>102886.4397</v>
      </c>
      <c r="J96" s="88">
        <f t="shared" si="6"/>
        <v>102886</v>
      </c>
      <c r="K96" s="88">
        <f t="shared" si="5"/>
        <v>9054007</v>
      </c>
      <c r="L96" s="88">
        <f t="shared" si="7"/>
        <v>9053968</v>
      </c>
      <c r="M96" s="133">
        <f t="shared" si="8"/>
        <v>-3281</v>
      </c>
      <c r="N96" s="134">
        <f t="shared" si="9"/>
        <v>0.9690958584117475</v>
      </c>
    </row>
    <row r="97" spans="1:14" ht="60.75" customHeight="1">
      <c r="A97" s="302" t="s">
        <v>220</v>
      </c>
      <c r="B97" s="302"/>
      <c r="C97" s="303" t="s">
        <v>169</v>
      </c>
      <c r="D97" s="303"/>
      <c r="E97" s="303"/>
      <c r="F97" s="97" t="s">
        <v>113</v>
      </c>
      <c r="G97" s="98">
        <v>22</v>
      </c>
      <c r="H97" s="88">
        <v>215408</v>
      </c>
      <c r="I97" s="88">
        <v>208751.8928</v>
      </c>
      <c r="J97" s="88">
        <f t="shared" si="6"/>
        <v>208752</v>
      </c>
      <c r="K97" s="88">
        <f t="shared" si="5"/>
        <v>4592542</v>
      </c>
      <c r="L97" s="88">
        <f t="shared" si="7"/>
        <v>4592544</v>
      </c>
      <c r="M97" s="133">
        <f t="shared" si="8"/>
        <v>-6656</v>
      </c>
      <c r="N97" s="134">
        <f t="shared" si="9"/>
        <v>0.96910049766025408</v>
      </c>
    </row>
    <row r="98" spans="1:14" ht="60.75" customHeight="1">
      <c r="A98" s="302" t="s">
        <v>172</v>
      </c>
      <c r="B98" s="302"/>
      <c r="C98" s="303" t="s">
        <v>173</v>
      </c>
      <c r="D98" s="303"/>
      <c r="E98" s="303"/>
      <c r="F98" s="97" t="s">
        <v>113</v>
      </c>
      <c r="G98" s="98">
        <v>14</v>
      </c>
      <c r="H98" s="88">
        <v>226550</v>
      </c>
      <c r="I98" s="88">
        <v>219549.60499999998</v>
      </c>
      <c r="J98" s="88">
        <f t="shared" si="6"/>
        <v>219550</v>
      </c>
      <c r="K98" s="88">
        <f t="shared" si="5"/>
        <v>3073694</v>
      </c>
      <c r="L98" s="88">
        <f t="shared" si="7"/>
        <v>3073700</v>
      </c>
      <c r="M98" s="133">
        <f t="shared" si="8"/>
        <v>-7000</v>
      </c>
      <c r="N98" s="134">
        <f t="shared" si="9"/>
        <v>0.96910174354447143</v>
      </c>
    </row>
    <row r="99" spans="1:14" ht="60.75" customHeight="1">
      <c r="A99" s="302" t="s">
        <v>174</v>
      </c>
      <c r="B99" s="302"/>
      <c r="C99" s="303" t="s">
        <v>221</v>
      </c>
      <c r="D99" s="303"/>
      <c r="E99" s="303"/>
      <c r="F99" s="97" t="s">
        <v>113</v>
      </c>
      <c r="G99" s="98">
        <v>11</v>
      </c>
      <c r="H99" s="88">
        <v>203875</v>
      </c>
      <c r="I99" s="88">
        <v>197575.26249999998</v>
      </c>
      <c r="J99" s="88">
        <f t="shared" si="6"/>
        <v>197575</v>
      </c>
      <c r="K99" s="88">
        <f t="shared" si="5"/>
        <v>2173328</v>
      </c>
      <c r="L99" s="88">
        <f t="shared" si="7"/>
        <v>2173325</v>
      </c>
      <c r="M99" s="133">
        <f t="shared" si="8"/>
        <v>-6300</v>
      </c>
      <c r="N99" s="134">
        <f t="shared" si="9"/>
        <v>0.96909871244635193</v>
      </c>
    </row>
    <row r="100" spans="1:14" ht="60.75" customHeight="1">
      <c r="A100" s="302" t="s">
        <v>176</v>
      </c>
      <c r="B100" s="302"/>
      <c r="C100" s="303" t="s">
        <v>222</v>
      </c>
      <c r="D100" s="303"/>
      <c r="E100" s="303"/>
      <c r="F100" s="97" t="s">
        <v>113</v>
      </c>
      <c r="G100" s="98">
        <v>23</v>
      </c>
      <c r="H100" s="88">
        <v>178332</v>
      </c>
      <c r="I100" s="88">
        <v>172821.54120000001</v>
      </c>
      <c r="J100" s="88">
        <f t="shared" si="6"/>
        <v>172822</v>
      </c>
      <c r="K100" s="88">
        <f t="shared" si="5"/>
        <v>3974895</v>
      </c>
      <c r="L100" s="88">
        <f t="shared" si="7"/>
        <v>3974906</v>
      </c>
      <c r="M100" s="133">
        <f t="shared" si="8"/>
        <v>-5510</v>
      </c>
      <c r="N100" s="134">
        <f t="shared" si="9"/>
        <v>0.96910257272951572</v>
      </c>
    </row>
    <row r="101" spans="1:14" ht="60.75" customHeight="1">
      <c r="A101" s="302" t="s">
        <v>178</v>
      </c>
      <c r="B101" s="302"/>
      <c r="C101" s="303" t="s">
        <v>223</v>
      </c>
      <c r="D101" s="303"/>
      <c r="E101" s="303"/>
      <c r="F101" s="97" t="s">
        <v>95</v>
      </c>
      <c r="G101" s="98">
        <v>150</v>
      </c>
      <c r="H101" s="88">
        <v>16471</v>
      </c>
      <c r="I101" s="88">
        <v>15962.0461</v>
      </c>
      <c r="J101" s="88">
        <f t="shared" si="6"/>
        <v>15962</v>
      </c>
      <c r="K101" s="88">
        <f t="shared" si="5"/>
        <v>2394307</v>
      </c>
      <c r="L101" s="88">
        <f t="shared" si="7"/>
        <v>2394300</v>
      </c>
      <c r="M101" s="133">
        <f t="shared" si="8"/>
        <v>-509</v>
      </c>
      <c r="N101" s="134">
        <f t="shared" si="9"/>
        <v>0.96909720114140008</v>
      </c>
    </row>
    <row r="102" spans="1:14" ht="60.75" customHeight="1">
      <c r="A102" s="302" t="s">
        <v>181</v>
      </c>
      <c r="B102" s="302"/>
      <c r="C102" s="303" t="s">
        <v>224</v>
      </c>
      <c r="D102" s="303"/>
      <c r="E102" s="303"/>
      <c r="F102" s="97" t="s">
        <v>95</v>
      </c>
      <c r="G102" s="98">
        <v>50</v>
      </c>
      <c r="H102" s="88">
        <v>159622</v>
      </c>
      <c r="I102" s="88">
        <v>154689.6802</v>
      </c>
      <c r="J102" s="88">
        <f t="shared" si="6"/>
        <v>154690</v>
      </c>
      <c r="K102" s="88">
        <f t="shared" si="5"/>
        <v>7734484</v>
      </c>
      <c r="L102" s="88">
        <f t="shared" si="7"/>
        <v>7734500</v>
      </c>
      <c r="M102" s="133">
        <f t="shared" si="8"/>
        <v>-4932</v>
      </c>
      <c r="N102" s="134">
        <f t="shared" si="9"/>
        <v>0.96910200348322917</v>
      </c>
    </row>
    <row r="103" spans="1:14" ht="60.75" customHeight="1">
      <c r="A103" s="302" t="s">
        <v>183</v>
      </c>
      <c r="B103" s="302"/>
      <c r="C103" s="303" t="s">
        <v>225</v>
      </c>
      <c r="D103" s="303"/>
      <c r="E103" s="303"/>
      <c r="F103" s="97" t="s">
        <v>95</v>
      </c>
      <c r="G103" s="98">
        <v>120</v>
      </c>
      <c r="H103" s="88">
        <v>326273</v>
      </c>
      <c r="I103" s="88">
        <v>316191.1643</v>
      </c>
      <c r="J103" s="88">
        <f t="shared" si="6"/>
        <v>316191</v>
      </c>
      <c r="K103" s="88">
        <f t="shared" si="5"/>
        <v>37942940</v>
      </c>
      <c r="L103" s="88">
        <f t="shared" si="7"/>
        <v>37942920</v>
      </c>
      <c r="M103" s="133">
        <f t="shared" si="8"/>
        <v>-10082</v>
      </c>
      <c r="N103" s="134">
        <f t="shared" si="9"/>
        <v>0.96909949643396787</v>
      </c>
    </row>
    <row r="104" spans="1:14" ht="60.75" customHeight="1">
      <c r="A104" s="302" t="s">
        <v>185</v>
      </c>
      <c r="B104" s="302"/>
      <c r="C104" s="303" t="s">
        <v>226</v>
      </c>
      <c r="D104" s="303"/>
      <c r="E104" s="303"/>
      <c r="F104" s="97" t="s">
        <v>113</v>
      </c>
      <c r="G104" s="98">
        <v>1</v>
      </c>
      <c r="H104" s="88">
        <v>3554535</v>
      </c>
      <c r="I104" s="88">
        <v>3444699.8684999999</v>
      </c>
      <c r="J104" s="88">
        <f t="shared" si="6"/>
        <v>3444700</v>
      </c>
      <c r="K104" s="88">
        <f t="shared" si="5"/>
        <v>3444700</v>
      </c>
      <c r="L104" s="88">
        <f t="shared" si="7"/>
        <v>3444700</v>
      </c>
      <c r="M104" s="133">
        <f t="shared" si="8"/>
        <v>-109835</v>
      </c>
      <c r="N104" s="134">
        <f t="shared" si="9"/>
        <v>0.9691000369949937</v>
      </c>
    </row>
    <row r="105" spans="1:14" ht="60.75" customHeight="1">
      <c r="A105" s="302" t="s">
        <v>187</v>
      </c>
      <c r="B105" s="302"/>
      <c r="C105" s="303" t="s">
        <v>227</v>
      </c>
      <c r="D105" s="303"/>
      <c r="E105" s="303"/>
      <c r="F105" s="97" t="s">
        <v>95</v>
      </c>
      <c r="G105" s="98">
        <v>3.22</v>
      </c>
      <c r="H105" s="88">
        <v>1454712</v>
      </c>
      <c r="I105" s="88">
        <v>1409761.3991999999</v>
      </c>
      <c r="J105" s="88">
        <f t="shared" si="6"/>
        <v>1409761</v>
      </c>
      <c r="K105" s="88">
        <f t="shared" si="5"/>
        <v>4539432</v>
      </c>
      <c r="L105" s="88">
        <f t="shared" si="7"/>
        <v>4539430</v>
      </c>
      <c r="M105" s="133">
        <f t="shared" si="8"/>
        <v>-44951</v>
      </c>
      <c r="N105" s="134">
        <f t="shared" si="9"/>
        <v>0.96909972558142088</v>
      </c>
    </row>
    <row r="106" spans="1:14" ht="60.75" customHeight="1">
      <c r="A106" s="302" t="s">
        <v>189</v>
      </c>
      <c r="B106" s="302"/>
      <c r="C106" s="303" t="s">
        <v>228</v>
      </c>
      <c r="D106" s="303"/>
      <c r="E106" s="303"/>
      <c r="F106" s="97" t="s">
        <v>113</v>
      </c>
      <c r="G106" s="98">
        <v>1</v>
      </c>
      <c r="H106" s="88">
        <v>2638957</v>
      </c>
      <c r="I106" s="88">
        <v>2557413.2286999999</v>
      </c>
      <c r="J106" s="88">
        <f t="shared" si="6"/>
        <v>2557413</v>
      </c>
      <c r="K106" s="88">
        <f t="shared" si="5"/>
        <v>2557413</v>
      </c>
      <c r="L106" s="88">
        <f t="shared" si="7"/>
        <v>2557413</v>
      </c>
      <c r="M106" s="133">
        <f t="shared" si="8"/>
        <v>-81544</v>
      </c>
      <c r="N106" s="134">
        <f t="shared" si="9"/>
        <v>0.96909991333697365</v>
      </c>
    </row>
    <row r="107" spans="1:14" ht="60.75" customHeight="1">
      <c r="A107" s="302" t="s">
        <v>195</v>
      </c>
      <c r="B107" s="302"/>
      <c r="C107" s="303" t="s">
        <v>229</v>
      </c>
      <c r="D107" s="303"/>
      <c r="E107" s="303"/>
      <c r="F107" s="97" t="s">
        <v>98</v>
      </c>
      <c r="G107" s="98">
        <v>279.83999999999997</v>
      </c>
      <c r="H107" s="88">
        <v>879575</v>
      </c>
      <c r="I107" s="88">
        <v>852396.13249999995</v>
      </c>
      <c r="J107" s="88">
        <f t="shared" si="6"/>
        <v>852396</v>
      </c>
      <c r="K107" s="88">
        <f t="shared" si="5"/>
        <v>238534534</v>
      </c>
      <c r="L107" s="88">
        <f t="shared" si="7"/>
        <v>238534497</v>
      </c>
      <c r="M107" s="133">
        <f t="shared" si="8"/>
        <v>-27179</v>
      </c>
      <c r="N107" s="134">
        <f t="shared" si="9"/>
        <v>0.96909984935906546</v>
      </c>
    </row>
    <row r="108" spans="1:14" ht="60.75" customHeight="1">
      <c r="A108" s="302" t="s">
        <v>230</v>
      </c>
      <c r="B108" s="302"/>
      <c r="C108" s="303" t="s">
        <v>231</v>
      </c>
      <c r="D108" s="303"/>
      <c r="E108" s="303"/>
      <c r="F108" s="97" t="s">
        <v>98</v>
      </c>
      <c r="G108" s="98">
        <v>40</v>
      </c>
      <c r="H108" s="88">
        <v>882113</v>
      </c>
      <c r="I108" s="88">
        <v>854855.70829999994</v>
      </c>
      <c r="J108" s="88">
        <f t="shared" si="6"/>
        <v>854856</v>
      </c>
      <c r="K108" s="88">
        <f t="shared" si="5"/>
        <v>34194228</v>
      </c>
      <c r="L108" s="88">
        <f t="shared" si="7"/>
        <v>34194240</v>
      </c>
      <c r="M108" s="133">
        <f t="shared" si="8"/>
        <v>-27257</v>
      </c>
      <c r="N108" s="134">
        <f t="shared" si="9"/>
        <v>0.96910033068325718</v>
      </c>
    </row>
    <row r="109" spans="1:14" ht="60.75" customHeight="1">
      <c r="A109" s="302" t="s">
        <v>232</v>
      </c>
      <c r="B109" s="302"/>
      <c r="C109" s="303" t="s">
        <v>233</v>
      </c>
      <c r="D109" s="303"/>
      <c r="E109" s="303"/>
      <c r="F109" s="97" t="s">
        <v>98</v>
      </c>
      <c r="G109" s="98">
        <v>8</v>
      </c>
      <c r="H109" s="88">
        <v>1651657</v>
      </c>
      <c r="I109" s="88">
        <v>1600620.7986999999</v>
      </c>
      <c r="J109" s="88">
        <f t="shared" si="6"/>
        <v>1600621</v>
      </c>
      <c r="K109" s="88">
        <f t="shared" si="5"/>
        <v>12804966</v>
      </c>
      <c r="L109" s="88">
        <f t="shared" si="7"/>
        <v>12804968</v>
      </c>
      <c r="M109" s="133">
        <f t="shared" si="8"/>
        <v>-51036</v>
      </c>
      <c r="N109" s="134">
        <f t="shared" si="9"/>
        <v>0.9691001218776053</v>
      </c>
    </row>
    <row r="110" spans="1:14" ht="60.75" customHeight="1">
      <c r="A110" s="302" t="s">
        <v>234</v>
      </c>
      <c r="B110" s="302"/>
      <c r="C110" s="303" t="s">
        <v>235</v>
      </c>
      <c r="D110" s="303"/>
      <c r="E110" s="303"/>
      <c r="F110" s="97" t="s">
        <v>95</v>
      </c>
      <c r="G110" s="98">
        <v>60</v>
      </c>
      <c r="H110" s="88">
        <v>84894</v>
      </c>
      <c r="I110" s="88">
        <v>82270.775399999999</v>
      </c>
      <c r="J110" s="88">
        <f t="shared" si="6"/>
        <v>82271</v>
      </c>
      <c r="K110" s="88">
        <f t="shared" si="5"/>
        <v>4936247</v>
      </c>
      <c r="L110" s="88">
        <f t="shared" si="7"/>
        <v>4936260</v>
      </c>
      <c r="M110" s="133">
        <f t="shared" si="8"/>
        <v>-2623</v>
      </c>
      <c r="N110" s="134">
        <f t="shared" si="9"/>
        <v>0.96910264565222515</v>
      </c>
    </row>
    <row r="111" spans="1:14" ht="60.75" customHeight="1">
      <c r="A111" s="302" t="s">
        <v>236</v>
      </c>
      <c r="B111" s="302"/>
      <c r="C111" s="303" t="s">
        <v>237</v>
      </c>
      <c r="D111" s="303"/>
      <c r="E111" s="303"/>
      <c r="F111" s="97" t="s">
        <v>113</v>
      </c>
      <c r="G111" s="98">
        <v>46</v>
      </c>
      <c r="H111" s="88">
        <v>142900</v>
      </c>
      <c r="I111" s="88">
        <v>138484.38999999998</v>
      </c>
      <c r="J111" s="88">
        <f t="shared" si="6"/>
        <v>138484</v>
      </c>
      <c r="K111" s="88">
        <f t="shared" si="5"/>
        <v>6370282</v>
      </c>
      <c r="L111" s="88">
        <f t="shared" si="7"/>
        <v>6370264</v>
      </c>
      <c r="M111" s="133">
        <f t="shared" si="8"/>
        <v>-4416</v>
      </c>
      <c r="N111" s="134">
        <f t="shared" si="9"/>
        <v>0.96909727081875441</v>
      </c>
    </row>
    <row r="112" spans="1:14" ht="60.75" customHeight="1">
      <c r="A112" s="302" t="s">
        <v>197</v>
      </c>
      <c r="B112" s="302"/>
      <c r="C112" s="303" t="s">
        <v>238</v>
      </c>
      <c r="D112" s="303"/>
      <c r="E112" s="303"/>
      <c r="F112" s="97" t="s">
        <v>113</v>
      </c>
      <c r="G112" s="98">
        <v>1</v>
      </c>
      <c r="H112" s="88">
        <v>1176585</v>
      </c>
      <c r="I112" s="88">
        <v>1140228.5234999999</v>
      </c>
      <c r="J112" s="88">
        <f t="shared" si="6"/>
        <v>1140229</v>
      </c>
      <c r="K112" s="88">
        <f t="shared" si="5"/>
        <v>1140229</v>
      </c>
      <c r="L112" s="88">
        <f t="shared" si="7"/>
        <v>1140229</v>
      </c>
      <c r="M112" s="133">
        <f t="shared" si="8"/>
        <v>-36356</v>
      </c>
      <c r="N112" s="134">
        <f t="shared" si="9"/>
        <v>0.96910040498561512</v>
      </c>
    </row>
    <row r="113" spans="1:14" ht="60.75" customHeight="1">
      <c r="A113" s="302" t="s">
        <v>199</v>
      </c>
      <c r="B113" s="302"/>
      <c r="C113" s="303" t="s">
        <v>239</v>
      </c>
      <c r="D113" s="303"/>
      <c r="E113" s="303"/>
      <c r="F113" s="97" t="s">
        <v>95</v>
      </c>
      <c r="G113" s="98">
        <v>30</v>
      </c>
      <c r="H113" s="88">
        <v>363800</v>
      </c>
      <c r="I113" s="88">
        <v>352558.57999999996</v>
      </c>
      <c r="J113" s="88">
        <f t="shared" si="6"/>
        <v>352559</v>
      </c>
      <c r="K113" s="88">
        <f t="shared" si="5"/>
        <v>10576757</v>
      </c>
      <c r="L113" s="88">
        <f t="shared" si="7"/>
        <v>10576770</v>
      </c>
      <c r="M113" s="133">
        <f t="shared" si="8"/>
        <v>-11241</v>
      </c>
      <c r="N113" s="134">
        <f t="shared" si="9"/>
        <v>0.96910115448048373</v>
      </c>
    </row>
    <row r="114" spans="1:14" ht="60.75" customHeight="1">
      <c r="A114" s="302" t="s">
        <v>240</v>
      </c>
      <c r="B114" s="302"/>
      <c r="C114" s="303" t="s">
        <v>241</v>
      </c>
      <c r="D114" s="303"/>
      <c r="E114" s="303"/>
      <c r="F114" s="94" t="s">
        <v>98</v>
      </c>
      <c r="G114" s="95">
        <v>509.69</v>
      </c>
      <c r="H114" s="88">
        <v>33664</v>
      </c>
      <c r="I114" s="88">
        <v>32623.7824</v>
      </c>
      <c r="J114" s="88">
        <f t="shared" si="6"/>
        <v>32624</v>
      </c>
      <c r="K114" s="88">
        <f t="shared" si="5"/>
        <v>16628016</v>
      </c>
      <c r="L114" s="88">
        <f t="shared" si="7"/>
        <v>16628127</v>
      </c>
      <c r="M114" s="133">
        <f t="shared" si="8"/>
        <v>-1040</v>
      </c>
      <c r="N114" s="134">
        <f t="shared" si="9"/>
        <v>0.969106463878327</v>
      </c>
    </row>
    <row r="115" spans="1:14" ht="60.75" customHeight="1">
      <c r="A115" s="302" t="s">
        <v>242</v>
      </c>
      <c r="B115" s="302"/>
      <c r="C115" s="303" t="s">
        <v>243</v>
      </c>
      <c r="D115" s="303"/>
      <c r="E115" s="303"/>
      <c r="F115" s="94" t="s">
        <v>98</v>
      </c>
      <c r="G115" s="95">
        <v>100</v>
      </c>
      <c r="H115" s="88">
        <v>40123</v>
      </c>
      <c r="I115" s="88">
        <v>38883.1993</v>
      </c>
      <c r="J115" s="88">
        <f t="shared" si="6"/>
        <v>38883</v>
      </c>
      <c r="K115" s="88">
        <f t="shared" si="5"/>
        <v>3888320</v>
      </c>
      <c r="L115" s="88">
        <f t="shared" si="7"/>
        <v>3888300</v>
      </c>
      <c r="M115" s="133">
        <f t="shared" si="8"/>
        <v>-1240</v>
      </c>
      <c r="N115" s="134">
        <f t="shared" si="9"/>
        <v>0.96909503277421927</v>
      </c>
    </row>
    <row r="116" spans="1:14" ht="60.75" customHeight="1">
      <c r="A116" s="302" t="s">
        <v>244</v>
      </c>
      <c r="B116" s="302"/>
      <c r="C116" s="303" t="s">
        <v>245</v>
      </c>
      <c r="D116" s="303"/>
      <c r="E116" s="303"/>
      <c r="F116" s="94" t="s">
        <v>98</v>
      </c>
      <c r="G116" s="95">
        <v>40</v>
      </c>
      <c r="H116" s="88">
        <v>38208</v>
      </c>
      <c r="I116" s="88">
        <v>37027.372799999997</v>
      </c>
      <c r="J116" s="88">
        <f t="shared" si="6"/>
        <v>37027</v>
      </c>
      <c r="K116" s="88">
        <f t="shared" si="5"/>
        <v>1481095</v>
      </c>
      <c r="L116" s="88">
        <f t="shared" si="7"/>
        <v>1481080</v>
      </c>
      <c r="M116" s="133">
        <f t="shared" si="8"/>
        <v>-1181</v>
      </c>
      <c r="N116" s="134">
        <f t="shared" si="9"/>
        <v>0.96909024288107204</v>
      </c>
    </row>
    <row r="117" spans="1:14" ht="60.75" customHeight="1">
      <c r="A117" s="302" t="s">
        <v>246</v>
      </c>
      <c r="B117" s="302"/>
      <c r="C117" s="303" t="s">
        <v>247</v>
      </c>
      <c r="D117" s="303"/>
      <c r="E117" s="303"/>
      <c r="F117" s="94" t="s">
        <v>98</v>
      </c>
      <c r="G117" s="95">
        <v>25</v>
      </c>
      <c r="H117" s="88">
        <v>38208</v>
      </c>
      <c r="I117" s="88">
        <v>37027.372799999997</v>
      </c>
      <c r="J117" s="88">
        <f t="shared" si="6"/>
        <v>37027</v>
      </c>
      <c r="K117" s="88">
        <f t="shared" si="5"/>
        <v>925684</v>
      </c>
      <c r="L117" s="88">
        <f t="shared" si="7"/>
        <v>925675</v>
      </c>
      <c r="M117" s="133">
        <f t="shared" si="8"/>
        <v>-1181</v>
      </c>
      <c r="N117" s="134">
        <f t="shared" si="9"/>
        <v>0.96909024288107204</v>
      </c>
    </row>
    <row r="118" spans="1:14" ht="60.75" customHeight="1">
      <c r="A118" s="304" t="s">
        <v>248</v>
      </c>
      <c r="B118" s="305"/>
      <c r="C118" s="305"/>
      <c r="D118" s="305"/>
      <c r="E118" s="305"/>
      <c r="F118" s="305"/>
      <c r="G118" s="305"/>
      <c r="H118" s="305"/>
      <c r="I118" s="306"/>
      <c r="J118" s="88">
        <f t="shared" si="6"/>
        <v>0</v>
      </c>
      <c r="K118" s="101">
        <f>SUM(K79:K117)</f>
        <v>923011571</v>
      </c>
      <c r="L118" s="101">
        <f>SUM(L79:L117)</f>
        <v>923011169</v>
      </c>
      <c r="M118" s="133">
        <f t="shared" si="8"/>
        <v>0</v>
      </c>
      <c r="N118" s="134" t="e">
        <f t="shared" si="9"/>
        <v>#DIV/0!</v>
      </c>
    </row>
    <row r="119" spans="1:14" ht="60.75" customHeight="1">
      <c r="A119" s="302" t="s">
        <v>93</v>
      </c>
      <c r="B119" s="302"/>
      <c r="C119" s="303" t="s">
        <v>249</v>
      </c>
      <c r="D119" s="303"/>
      <c r="E119" s="303"/>
      <c r="F119" s="94" t="s">
        <v>98</v>
      </c>
      <c r="G119" s="95">
        <v>860</v>
      </c>
      <c r="H119" s="88">
        <v>38338</v>
      </c>
      <c r="I119" s="88">
        <v>37153.355799999998</v>
      </c>
      <c r="J119" s="88">
        <f t="shared" si="6"/>
        <v>37153</v>
      </c>
      <c r="K119" s="88">
        <f t="shared" si="5"/>
        <v>31951886</v>
      </c>
      <c r="L119" s="88">
        <f t="shared" si="7"/>
        <v>31951580</v>
      </c>
      <c r="M119" s="133">
        <f t="shared" si="8"/>
        <v>-1185</v>
      </c>
      <c r="N119" s="134">
        <f t="shared" si="9"/>
        <v>0.96909071939068292</v>
      </c>
    </row>
    <row r="120" spans="1:14" ht="60.75" customHeight="1">
      <c r="A120" s="302" t="s">
        <v>96</v>
      </c>
      <c r="B120" s="302"/>
      <c r="C120" s="303" t="s">
        <v>150</v>
      </c>
      <c r="D120" s="303"/>
      <c r="E120" s="303"/>
      <c r="F120" s="94" t="s">
        <v>113</v>
      </c>
      <c r="G120" s="95">
        <v>180</v>
      </c>
      <c r="H120" s="88">
        <v>96339</v>
      </c>
      <c r="I120" s="88">
        <v>93362.124899999995</v>
      </c>
      <c r="J120" s="88">
        <f t="shared" si="6"/>
        <v>93362</v>
      </c>
      <c r="K120" s="88">
        <f t="shared" si="5"/>
        <v>16805182</v>
      </c>
      <c r="L120" s="88">
        <f t="shared" si="7"/>
        <v>16805160</v>
      </c>
      <c r="M120" s="133">
        <f t="shared" si="8"/>
        <v>-2977</v>
      </c>
      <c r="N120" s="134">
        <f t="shared" si="9"/>
        <v>0.96909870353647021</v>
      </c>
    </row>
    <row r="121" spans="1:14" ht="60.75" customHeight="1">
      <c r="A121" s="302" t="s">
        <v>145</v>
      </c>
      <c r="B121" s="302"/>
      <c r="C121" s="303" t="s">
        <v>152</v>
      </c>
      <c r="D121" s="303"/>
      <c r="E121" s="303"/>
      <c r="F121" s="94" t="s">
        <v>98</v>
      </c>
      <c r="G121" s="102">
        <v>4</v>
      </c>
      <c r="H121" s="88">
        <v>95199</v>
      </c>
      <c r="I121" s="88">
        <v>92257.35089999999</v>
      </c>
      <c r="J121" s="88">
        <f t="shared" si="6"/>
        <v>92257</v>
      </c>
      <c r="K121" s="88">
        <f t="shared" si="5"/>
        <v>369029</v>
      </c>
      <c r="L121" s="88">
        <f t="shared" si="7"/>
        <v>369028</v>
      </c>
      <c r="M121" s="133">
        <f t="shared" si="8"/>
        <v>-2942</v>
      </c>
      <c r="N121" s="134">
        <f t="shared" si="9"/>
        <v>0.9690963140369121</v>
      </c>
    </row>
    <row r="122" spans="1:14" ht="60.75" customHeight="1">
      <c r="A122" s="302" t="s">
        <v>99</v>
      </c>
      <c r="B122" s="302"/>
      <c r="C122" s="303" t="s">
        <v>250</v>
      </c>
      <c r="D122" s="303"/>
      <c r="E122" s="303"/>
      <c r="F122" s="94" t="s">
        <v>98</v>
      </c>
      <c r="G122" s="95">
        <v>860</v>
      </c>
      <c r="H122" s="88">
        <v>130620</v>
      </c>
      <c r="I122" s="88">
        <v>126583.84199999999</v>
      </c>
      <c r="J122" s="88">
        <f t="shared" si="6"/>
        <v>126584</v>
      </c>
      <c r="K122" s="88">
        <f t="shared" si="5"/>
        <v>108862104</v>
      </c>
      <c r="L122" s="88">
        <f t="shared" si="7"/>
        <v>108862240</v>
      </c>
      <c r="M122" s="133">
        <f t="shared" si="8"/>
        <v>-4036</v>
      </c>
      <c r="N122" s="134">
        <f t="shared" si="9"/>
        <v>0.96910120961567903</v>
      </c>
    </row>
    <row r="123" spans="1:14" ht="60.75" customHeight="1">
      <c r="A123" s="302" t="s">
        <v>116</v>
      </c>
      <c r="B123" s="302"/>
      <c r="C123" s="303" t="s">
        <v>158</v>
      </c>
      <c r="D123" s="303"/>
      <c r="E123" s="303"/>
      <c r="F123" s="94" t="s">
        <v>98</v>
      </c>
      <c r="G123" s="95">
        <v>860</v>
      </c>
      <c r="H123" s="88">
        <v>194913</v>
      </c>
      <c r="I123" s="88">
        <v>188890.18829999998</v>
      </c>
      <c r="J123" s="88">
        <f t="shared" si="6"/>
        <v>188890</v>
      </c>
      <c r="K123" s="88">
        <f t="shared" si="5"/>
        <v>162445562</v>
      </c>
      <c r="L123" s="88">
        <f t="shared" si="7"/>
        <v>162445400</v>
      </c>
      <c r="M123" s="133">
        <f t="shared" si="8"/>
        <v>-6023</v>
      </c>
      <c r="N123" s="134">
        <f t="shared" si="9"/>
        <v>0.9690990339279576</v>
      </c>
    </row>
    <row r="124" spans="1:14" ht="60.75" customHeight="1">
      <c r="A124" s="302" t="s">
        <v>124</v>
      </c>
      <c r="B124" s="302"/>
      <c r="C124" s="303" t="s">
        <v>167</v>
      </c>
      <c r="D124" s="303"/>
      <c r="E124" s="303"/>
      <c r="F124" s="94" t="s">
        <v>113</v>
      </c>
      <c r="G124" s="95">
        <v>20</v>
      </c>
      <c r="H124" s="88">
        <v>319533</v>
      </c>
      <c r="I124" s="88">
        <v>309659.43030000001</v>
      </c>
      <c r="J124" s="88">
        <f t="shared" si="6"/>
        <v>309659</v>
      </c>
      <c r="K124" s="88">
        <f t="shared" si="5"/>
        <v>6193189</v>
      </c>
      <c r="L124" s="88">
        <f t="shared" si="7"/>
        <v>6193180</v>
      </c>
      <c r="M124" s="133">
        <f t="shared" si="8"/>
        <v>-9874</v>
      </c>
      <c r="N124" s="134">
        <f t="shared" si="9"/>
        <v>0.96909865334722867</v>
      </c>
    </row>
    <row r="125" spans="1:14" ht="60.75" customHeight="1">
      <c r="A125" s="302" t="s">
        <v>126</v>
      </c>
      <c r="B125" s="302"/>
      <c r="C125" s="303" t="s">
        <v>169</v>
      </c>
      <c r="D125" s="303"/>
      <c r="E125" s="303"/>
      <c r="F125" s="94" t="s">
        <v>113</v>
      </c>
      <c r="G125" s="95">
        <v>20</v>
      </c>
      <c r="H125" s="88">
        <v>233891</v>
      </c>
      <c r="I125" s="88">
        <v>226663.76809999999</v>
      </c>
      <c r="J125" s="88">
        <f t="shared" si="6"/>
        <v>226664</v>
      </c>
      <c r="K125" s="88">
        <f t="shared" si="5"/>
        <v>4533275</v>
      </c>
      <c r="L125" s="88">
        <f t="shared" si="7"/>
        <v>4533280</v>
      </c>
      <c r="M125" s="133">
        <f t="shared" si="8"/>
        <v>-7227</v>
      </c>
      <c r="N125" s="134">
        <f t="shared" si="9"/>
        <v>0.96910099148748774</v>
      </c>
    </row>
    <row r="126" spans="1:14" ht="60.75" customHeight="1">
      <c r="A126" s="302" t="s">
        <v>128</v>
      </c>
      <c r="B126" s="302"/>
      <c r="C126" s="303" t="s">
        <v>251</v>
      </c>
      <c r="D126" s="303"/>
      <c r="E126" s="303"/>
      <c r="F126" s="94" t="s">
        <v>113</v>
      </c>
      <c r="G126" s="95">
        <v>113</v>
      </c>
      <c r="H126" s="88">
        <v>98830</v>
      </c>
      <c r="I126" s="88">
        <v>95776.152999999991</v>
      </c>
      <c r="J126" s="88">
        <f t="shared" si="6"/>
        <v>95776</v>
      </c>
      <c r="K126" s="88">
        <f t="shared" si="5"/>
        <v>10822705</v>
      </c>
      <c r="L126" s="88">
        <f t="shared" si="7"/>
        <v>10822688</v>
      </c>
      <c r="M126" s="133">
        <f t="shared" si="8"/>
        <v>-3054</v>
      </c>
      <c r="N126" s="134">
        <f t="shared" si="9"/>
        <v>0.96909845188707877</v>
      </c>
    </row>
    <row r="127" spans="1:14" ht="60.75" customHeight="1">
      <c r="A127" s="302" t="s">
        <v>130</v>
      </c>
      <c r="B127" s="302"/>
      <c r="C127" s="303" t="s">
        <v>173</v>
      </c>
      <c r="D127" s="303"/>
      <c r="E127" s="303"/>
      <c r="F127" s="94" t="s">
        <v>113</v>
      </c>
      <c r="G127" s="95">
        <v>8</v>
      </c>
      <c r="H127" s="88">
        <v>215750</v>
      </c>
      <c r="I127" s="88">
        <v>209083.32499999998</v>
      </c>
      <c r="J127" s="88">
        <f t="shared" si="6"/>
        <v>209083</v>
      </c>
      <c r="K127" s="88">
        <f t="shared" si="5"/>
        <v>1672667</v>
      </c>
      <c r="L127" s="88">
        <f t="shared" si="7"/>
        <v>1672664</v>
      </c>
      <c r="M127" s="133">
        <f t="shared" si="8"/>
        <v>-6667</v>
      </c>
      <c r="N127" s="134">
        <f t="shared" si="9"/>
        <v>0.96909849362688294</v>
      </c>
    </row>
    <row r="128" spans="1:14" ht="60.75" customHeight="1">
      <c r="A128" s="302" t="s">
        <v>132</v>
      </c>
      <c r="B128" s="302"/>
      <c r="C128" s="303" t="s">
        <v>175</v>
      </c>
      <c r="D128" s="303"/>
      <c r="E128" s="303"/>
      <c r="F128" s="94" t="s">
        <v>113</v>
      </c>
      <c r="G128" s="95">
        <v>4</v>
      </c>
      <c r="H128" s="88">
        <v>200830</v>
      </c>
      <c r="I128" s="88">
        <v>194624.353</v>
      </c>
      <c r="J128" s="88">
        <f t="shared" si="6"/>
        <v>194624</v>
      </c>
      <c r="K128" s="88">
        <f t="shared" si="5"/>
        <v>778497</v>
      </c>
      <c r="L128" s="88">
        <f t="shared" si="7"/>
        <v>778496</v>
      </c>
      <c r="M128" s="133">
        <f t="shared" si="8"/>
        <v>-6206</v>
      </c>
      <c r="N128" s="134">
        <f t="shared" si="9"/>
        <v>0.96909824229447794</v>
      </c>
    </row>
    <row r="129" spans="1:17" ht="60.75" customHeight="1">
      <c r="A129" s="302" t="s">
        <v>136</v>
      </c>
      <c r="B129" s="302"/>
      <c r="C129" s="303" t="s">
        <v>196</v>
      </c>
      <c r="D129" s="303"/>
      <c r="E129" s="303"/>
      <c r="F129" s="94" t="s">
        <v>113</v>
      </c>
      <c r="G129" s="95">
        <v>1</v>
      </c>
      <c r="H129" s="88">
        <v>1025000</v>
      </c>
      <c r="I129" s="88">
        <v>993327.5</v>
      </c>
      <c r="J129" s="88">
        <f t="shared" si="6"/>
        <v>993328</v>
      </c>
      <c r="K129" s="88">
        <f t="shared" si="5"/>
        <v>993328</v>
      </c>
      <c r="L129" s="88">
        <f t="shared" si="7"/>
        <v>993328</v>
      </c>
      <c r="M129" s="133">
        <f t="shared" si="8"/>
        <v>-31672</v>
      </c>
      <c r="N129" s="134">
        <f t="shared" si="9"/>
        <v>0.96910048780487801</v>
      </c>
    </row>
    <row r="130" spans="1:17" ht="60.75" customHeight="1">
      <c r="A130" s="302" t="s">
        <v>140</v>
      </c>
      <c r="B130" s="302"/>
      <c r="C130" s="303" t="s">
        <v>198</v>
      </c>
      <c r="D130" s="303"/>
      <c r="E130" s="303"/>
      <c r="F130" s="94" t="s">
        <v>98</v>
      </c>
      <c r="G130" s="95">
        <v>880</v>
      </c>
      <c r="H130" s="88">
        <v>35833</v>
      </c>
      <c r="I130" s="88">
        <v>34725.760300000002</v>
      </c>
      <c r="J130" s="88">
        <f t="shared" si="6"/>
        <v>34726</v>
      </c>
      <c r="K130" s="88">
        <f t="shared" si="5"/>
        <v>30558669</v>
      </c>
      <c r="L130" s="88">
        <f t="shared" si="7"/>
        <v>30558880</v>
      </c>
      <c r="M130" s="133">
        <f t="shared" si="8"/>
        <v>-1107</v>
      </c>
      <c r="N130" s="134">
        <f t="shared" si="9"/>
        <v>0.96910668936455224</v>
      </c>
    </row>
    <row r="131" spans="1:17" ht="60.75" customHeight="1">
      <c r="A131" s="296" t="s">
        <v>252</v>
      </c>
      <c r="B131" s="297"/>
      <c r="C131" s="297"/>
      <c r="D131" s="297"/>
      <c r="E131" s="297"/>
      <c r="F131" s="297"/>
      <c r="G131" s="297"/>
      <c r="H131" s="297"/>
      <c r="I131" s="298"/>
      <c r="J131" s="103"/>
      <c r="K131" s="104">
        <f>SUM(K119:K130)</f>
        <v>375986093</v>
      </c>
      <c r="L131" s="104">
        <f>SUM(L119:L130)</f>
        <v>375985924</v>
      </c>
      <c r="M131" s="133">
        <f t="shared" ref="M131" si="10">+I131-H131</f>
        <v>0</v>
      </c>
      <c r="N131" s="134" t="e">
        <f t="shared" ref="N131" si="11">+I131/H131</f>
        <v>#DIV/0!</v>
      </c>
    </row>
    <row r="132" spans="1:17" ht="60.75" customHeight="1">
      <c r="A132" s="299" t="s">
        <v>253</v>
      </c>
      <c r="B132" s="300"/>
      <c r="C132" s="300"/>
      <c r="D132" s="300"/>
      <c r="E132" s="300"/>
      <c r="F132" s="300"/>
      <c r="G132" s="300"/>
      <c r="H132" s="301"/>
      <c r="I132" s="105">
        <f>+ROUND(K132*10%,0)</f>
        <v>377382880</v>
      </c>
      <c r="J132" s="105">
        <f>+ROUND(L132*10%,0)</f>
        <v>377382658</v>
      </c>
      <c r="K132" s="104">
        <f>+K118+K78+K73+K39+K131</f>
        <v>3773828804</v>
      </c>
      <c r="L132" s="104">
        <f>+L118+L78+L73+L39+L131</f>
        <v>3773826575</v>
      </c>
      <c r="M132" s="133"/>
      <c r="N132" s="134"/>
    </row>
    <row r="133" spans="1:17" ht="41.25" customHeight="1">
      <c r="A133" s="286" t="s">
        <v>254</v>
      </c>
      <c r="B133" s="287"/>
      <c r="C133" s="287"/>
      <c r="D133" s="288"/>
      <c r="E133" s="106">
        <v>0.12</v>
      </c>
      <c r="F133" s="289">
        <v>0.12</v>
      </c>
      <c r="G133" s="290"/>
      <c r="H133" s="291"/>
      <c r="I133" s="108">
        <f>+ROUND($I$132*F133,0)</f>
        <v>45285946</v>
      </c>
      <c r="J133" s="108">
        <f>+ROUND($J$132*F133,0)</f>
        <v>45285919</v>
      </c>
      <c r="K133" s="108">
        <f>+ROUND($K$132*F133,0)</f>
        <v>452859456</v>
      </c>
      <c r="L133" s="108">
        <f>+ROUND($L$132*F133,0)</f>
        <v>452859189</v>
      </c>
      <c r="M133" s="135">
        <f>+F133-E133</f>
        <v>0</v>
      </c>
      <c r="N133" s="134">
        <f>+F133/E133</f>
        <v>1</v>
      </c>
    </row>
    <row r="134" spans="1:17" ht="35.25" customHeight="1">
      <c r="A134" s="286" t="s">
        <v>255</v>
      </c>
      <c r="B134" s="287"/>
      <c r="C134" s="287"/>
      <c r="D134" s="288"/>
      <c r="E134" s="106">
        <v>0.03</v>
      </c>
      <c r="F134" s="289">
        <v>0.03</v>
      </c>
      <c r="G134" s="290"/>
      <c r="H134" s="291"/>
      <c r="I134" s="108">
        <f>+ROUND($I$132*F134,0)</f>
        <v>11321486</v>
      </c>
      <c r="J134" s="108">
        <f t="shared" ref="J134:J135" si="12">+ROUND($J$132*F134,0)</f>
        <v>11321480</v>
      </c>
      <c r="K134" s="108">
        <f>+ROUND($K$132*F134,0)</f>
        <v>113214864</v>
      </c>
      <c r="L134" s="108">
        <f t="shared" ref="L134:L135" si="13">+ROUND($L$132*F134,0)</f>
        <v>113214797</v>
      </c>
      <c r="M134" s="135">
        <f t="shared" ref="M134:M135" si="14">+F134-E134</f>
        <v>0</v>
      </c>
      <c r="N134" s="134">
        <f t="shared" ref="N134:N135" si="15">+F134/E134</f>
        <v>1</v>
      </c>
    </row>
    <row r="135" spans="1:17" ht="31.5" customHeight="1">
      <c r="A135" s="286" t="s">
        <v>256</v>
      </c>
      <c r="B135" s="287"/>
      <c r="C135" s="287"/>
      <c r="D135" s="288"/>
      <c r="E135" s="106">
        <v>7.0000000000000007E-2</v>
      </c>
      <c r="F135" s="289">
        <v>7.0000000000000007E-2</v>
      </c>
      <c r="G135" s="290"/>
      <c r="H135" s="291"/>
      <c r="I135" s="108">
        <f t="shared" ref="I135" si="16">+ROUND($I$132*F135,0)</f>
        <v>26416802</v>
      </c>
      <c r="J135" s="108">
        <f t="shared" si="12"/>
        <v>26416786</v>
      </c>
      <c r="K135" s="108">
        <f>+ROUND($K$132*F135,0)</f>
        <v>264168016</v>
      </c>
      <c r="L135" s="108">
        <f t="shared" si="13"/>
        <v>264167860</v>
      </c>
      <c r="M135" s="135">
        <f t="shared" si="14"/>
        <v>0</v>
      </c>
      <c r="N135" s="134">
        <f t="shared" si="15"/>
        <v>1</v>
      </c>
    </row>
    <row r="136" spans="1:17" ht="33.75" customHeight="1">
      <c r="A136" s="286" t="s">
        <v>257</v>
      </c>
      <c r="B136" s="287"/>
      <c r="C136" s="287"/>
      <c r="D136" s="288"/>
      <c r="E136" s="289">
        <v>0.19</v>
      </c>
      <c r="F136" s="290"/>
      <c r="G136" s="290"/>
      <c r="H136" s="291"/>
      <c r="I136" s="108">
        <f>+ROUND(I135*E136,0)</f>
        <v>5019192</v>
      </c>
      <c r="J136" s="108">
        <f>+ROUND(J135*E136,0)</f>
        <v>5019189</v>
      </c>
      <c r="K136" s="108">
        <f>+ROUND(K135*E136,0)</f>
        <v>50191923</v>
      </c>
      <c r="L136" s="108">
        <f>+ROUND(L135*E136,0)</f>
        <v>50191893</v>
      </c>
      <c r="M136" s="135"/>
      <c r="N136" s="134"/>
    </row>
    <row r="137" spans="1:17" ht="42" customHeight="1">
      <c r="A137" s="292" t="s">
        <v>258</v>
      </c>
      <c r="B137" s="293"/>
      <c r="C137" s="293"/>
      <c r="D137" s="293"/>
      <c r="E137" s="293"/>
      <c r="F137" s="293"/>
      <c r="G137" s="293"/>
      <c r="H137" s="294"/>
      <c r="I137" s="109">
        <f>SUM(I132:I136)</f>
        <v>465426306</v>
      </c>
      <c r="J137" s="109">
        <f>SUM(J132:J136)</f>
        <v>465426032</v>
      </c>
      <c r="K137" s="109">
        <f>SUM(K132:K136)</f>
        <v>4654263063</v>
      </c>
      <c r="L137" s="109">
        <f>SUM(L132:L136)</f>
        <v>4654260314</v>
      </c>
      <c r="M137" s="133"/>
      <c r="N137" s="134"/>
    </row>
    <row r="138" spans="1:17" ht="60.75" customHeight="1">
      <c r="A138" s="295" t="s">
        <v>259</v>
      </c>
      <c r="B138" s="295"/>
      <c r="C138" s="295"/>
      <c r="D138" s="295"/>
      <c r="E138" s="295"/>
      <c r="F138" s="295"/>
      <c r="G138" s="295"/>
      <c r="H138" s="295"/>
      <c r="I138" s="295"/>
      <c r="J138" s="110"/>
      <c r="K138" s="111">
        <f>+I137+K137</f>
        <v>5119689369</v>
      </c>
      <c r="L138" s="111">
        <f>+J137+L137</f>
        <v>5119686346</v>
      </c>
      <c r="M138" s="137">
        <f>+L138-'CONSOLIDADO FINANCIERO'!L7</f>
        <v>-163245620</v>
      </c>
      <c r="N138" s="134">
        <f>+L138/'CONSOLIDADO FINANCIERO'!L7</f>
        <v>0.9690994279217261</v>
      </c>
      <c r="P138" s="156"/>
      <c r="Q138" s="136"/>
    </row>
    <row r="139" spans="1:17" ht="15.75" customHeight="1" thickBot="1"/>
    <row r="140" spans="1:17" ht="215.25" customHeight="1" thickBot="1">
      <c r="A140" s="282" t="s">
        <v>260</v>
      </c>
      <c r="B140" s="283"/>
      <c r="C140" s="283"/>
      <c r="D140" s="283"/>
      <c r="E140" s="283"/>
      <c r="F140" s="283"/>
      <c r="G140" s="283"/>
      <c r="H140" s="283"/>
      <c r="I140" s="283"/>
      <c r="J140" s="283"/>
      <c r="K140" s="283"/>
      <c r="L140" s="283"/>
      <c r="M140" s="283"/>
      <c r="N140" s="283"/>
      <c r="O140" s="283"/>
      <c r="P140" s="284"/>
    </row>
    <row r="141" spans="1:17" ht="2.25" customHeight="1" thickBot="1">
      <c r="A141" s="112"/>
      <c r="B141" s="112"/>
      <c r="C141" s="112"/>
      <c r="D141" s="112"/>
      <c r="E141" s="112"/>
      <c r="F141" s="113"/>
      <c r="G141" s="113"/>
      <c r="H141" s="113"/>
      <c r="I141" s="113"/>
      <c r="J141" s="113"/>
      <c r="K141" s="113"/>
      <c r="L141" s="113"/>
      <c r="M141" s="113"/>
      <c r="N141" s="113"/>
      <c r="O141" s="157"/>
      <c r="P141" s="157"/>
    </row>
    <row r="142" spans="1:17" ht="57" customHeight="1" thickBot="1">
      <c r="A142" s="114"/>
      <c r="B142" s="368"/>
      <c r="C142" s="368"/>
      <c r="D142" s="368"/>
      <c r="E142" s="117"/>
      <c r="F142" s="117"/>
      <c r="G142" s="117"/>
      <c r="H142" s="117"/>
      <c r="I142" s="117"/>
      <c r="J142" s="117"/>
      <c r="K142" s="117"/>
      <c r="L142" s="117"/>
      <c r="M142" s="117"/>
      <c r="N142" s="117"/>
      <c r="O142" s="158"/>
      <c r="P142" s="159"/>
    </row>
    <row r="143" spans="1:17" ht="16.5">
      <c r="A143" s="119"/>
      <c r="B143" s="285" t="s">
        <v>261</v>
      </c>
      <c r="C143" s="285"/>
      <c r="D143" s="121"/>
      <c r="E143" s="122"/>
      <c r="F143" s="112"/>
      <c r="G143" s="112"/>
      <c r="H143" s="112"/>
      <c r="I143" s="112"/>
      <c r="J143" s="112"/>
      <c r="K143" s="112"/>
      <c r="L143" s="112"/>
      <c r="M143" s="112"/>
      <c r="N143" s="112"/>
      <c r="O143" s="146"/>
      <c r="P143" s="147"/>
    </row>
    <row r="144" spans="1:17" ht="40.5" customHeight="1" thickBot="1">
      <c r="A144" s="124"/>
      <c r="B144" s="369" t="s">
        <v>292</v>
      </c>
      <c r="C144" s="369"/>
      <c r="D144" s="369"/>
      <c r="E144" s="127"/>
      <c r="F144" s="128"/>
      <c r="G144" s="128"/>
      <c r="H144" s="128"/>
      <c r="I144" s="128"/>
      <c r="J144" s="128"/>
      <c r="K144" s="128"/>
      <c r="L144" s="128"/>
      <c r="M144" s="128"/>
      <c r="N144" s="128"/>
      <c r="O144" s="128"/>
      <c r="P144" s="129"/>
    </row>
    <row r="145" spans="1:7">
      <c r="A145" s="130"/>
      <c r="C145" s="131"/>
      <c r="D145" s="131"/>
      <c r="E145" s="131"/>
      <c r="F145" s="131"/>
      <c r="G145" s="131"/>
    </row>
  </sheetData>
  <sheetProtection algorithmName="SHA-512" hashValue="3WigDALNEC3ntT3fnabndckVW5WYFeS77NYAKDFKDZqa2Uc4/0uOfRDMHNBvZOjW4RWYCos+G1UurHTonLUdMQ==" saltValue="jGGNX5okeAnmRujv/Kh4QQ==" spinCount="100000" sheet="1" objects="1" scenarios="1"/>
  <mergeCells count="264">
    <mergeCell ref="A8:D8"/>
    <mergeCell ref="E8:K8"/>
    <mergeCell ref="A9:D9"/>
    <mergeCell ref="E9:K9"/>
    <mergeCell ref="A10:D10"/>
    <mergeCell ref="E10:K10"/>
    <mergeCell ref="A1:D4"/>
    <mergeCell ref="E1:K4"/>
    <mergeCell ref="A5:K5"/>
    <mergeCell ref="A6:D6"/>
    <mergeCell ref="E6:K6"/>
    <mergeCell ref="A7:D7"/>
    <mergeCell ref="E7:K7"/>
    <mergeCell ref="A11:D11"/>
    <mergeCell ref="E11:K11"/>
    <mergeCell ref="A12:K12"/>
    <mergeCell ref="A14:B15"/>
    <mergeCell ref="C14:E15"/>
    <mergeCell ref="F14:F15"/>
    <mergeCell ref="G14:G15"/>
    <mergeCell ref="H14:H15"/>
    <mergeCell ref="I14:K14"/>
    <mergeCell ref="A19:B19"/>
    <mergeCell ref="C19:E19"/>
    <mergeCell ref="A20:B20"/>
    <mergeCell ref="C20:E20"/>
    <mergeCell ref="A21:B21"/>
    <mergeCell ref="C21:E21"/>
    <mergeCell ref="A16:B16"/>
    <mergeCell ref="C16:E16"/>
    <mergeCell ref="A17:B17"/>
    <mergeCell ref="C17:E17"/>
    <mergeCell ref="A18:B18"/>
    <mergeCell ref="C18:E18"/>
    <mergeCell ref="A25:B25"/>
    <mergeCell ref="C25:E25"/>
    <mergeCell ref="A26:B26"/>
    <mergeCell ref="C26:E26"/>
    <mergeCell ref="A27:B27"/>
    <mergeCell ref="C27:E27"/>
    <mergeCell ref="A22:B22"/>
    <mergeCell ref="C22:E22"/>
    <mergeCell ref="A23:B23"/>
    <mergeCell ref="C23:E23"/>
    <mergeCell ref="A24:B24"/>
    <mergeCell ref="C24:E24"/>
    <mergeCell ref="A31:B31"/>
    <mergeCell ref="C31:E31"/>
    <mergeCell ref="A32:B32"/>
    <mergeCell ref="C32:E32"/>
    <mergeCell ref="A33:B33"/>
    <mergeCell ref="C33:E33"/>
    <mergeCell ref="A28:B28"/>
    <mergeCell ref="C28:E28"/>
    <mergeCell ref="A29:B29"/>
    <mergeCell ref="C29:E29"/>
    <mergeCell ref="A30:B30"/>
    <mergeCell ref="C30:E30"/>
    <mergeCell ref="A37:B37"/>
    <mergeCell ref="C37:E37"/>
    <mergeCell ref="A38:B38"/>
    <mergeCell ref="C38:E38"/>
    <mergeCell ref="A39:I39"/>
    <mergeCell ref="A40:B40"/>
    <mergeCell ref="C40:E40"/>
    <mergeCell ref="A34:B34"/>
    <mergeCell ref="C34:E34"/>
    <mergeCell ref="A35:B35"/>
    <mergeCell ref="C35:E35"/>
    <mergeCell ref="A36:B36"/>
    <mergeCell ref="C36:E36"/>
    <mergeCell ref="A44:B44"/>
    <mergeCell ref="C44:E44"/>
    <mergeCell ref="A45:B45"/>
    <mergeCell ref="C45:E45"/>
    <mergeCell ref="A46:B46"/>
    <mergeCell ref="C46:E46"/>
    <mergeCell ref="A41:B41"/>
    <mergeCell ref="C41:E41"/>
    <mergeCell ref="A42:B42"/>
    <mergeCell ref="C42:E42"/>
    <mergeCell ref="A43:B43"/>
    <mergeCell ref="C43:E43"/>
    <mergeCell ref="A50:B50"/>
    <mergeCell ref="C50:E50"/>
    <mergeCell ref="A51:B51"/>
    <mergeCell ref="C51:E51"/>
    <mergeCell ref="A52:B52"/>
    <mergeCell ref="C52:E52"/>
    <mergeCell ref="A47:B47"/>
    <mergeCell ref="C47:E47"/>
    <mergeCell ref="A48:B48"/>
    <mergeCell ref="C48:E48"/>
    <mergeCell ref="A49:B49"/>
    <mergeCell ref="C49:E49"/>
    <mergeCell ref="A56:B56"/>
    <mergeCell ref="C56:E56"/>
    <mergeCell ref="A57:B57"/>
    <mergeCell ref="C57:E57"/>
    <mergeCell ref="A58:B58"/>
    <mergeCell ref="C58:E58"/>
    <mergeCell ref="A53:B53"/>
    <mergeCell ref="C53:E53"/>
    <mergeCell ref="A54:B54"/>
    <mergeCell ref="C54:E54"/>
    <mergeCell ref="A55:B55"/>
    <mergeCell ref="C55:E55"/>
    <mergeCell ref="A62:B62"/>
    <mergeCell ref="C62:E62"/>
    <mergeCell ref="A63:B63"/>
    <mergeCell ref="C63:E63"/>
    <mergeCell ref="A64:B64"/>
    <mergeCell ref="C64:E64"/>
    <mergeCell ref="A59:B59"/>
    <mergeCell ref="C59:E59"/>
    <mergeCell ref="A60:B60"/>
    <mergeCell ref="C60:E60"/>
    <mergeCell ref="A61:B61"/>
    <mergeCell ref="C61:E61"/>
    <mergeCell ref="A68:B68"/>
    <mergeCell ref="C68:E68"/>
    <mergeCell ref="A69:B69"/>
    <mergeCell ref="C69:E69"/>
    <mergeCell ref="A70:B70"/>
    <mergeCell ref="C70:E70"/>
    <mergeCell ref="A65:B65"/>
    <mergeCell ref="C65:E65"/>
    <mergeCell ref="A66:B66"/>
    <mergeCell ref="C66:E66"/>
    <mergeCell ref="A67:B67"/>
    <mergeCell ref="C67:E67"/>
    <mergeCell ref="A75:B75"/>
    <mergeCell ref="C75:E75"/>
    <mergeCell ref="A76:B76"/>
    <mergeCell ref="C76:E76"/>
    <mergeCell ref="A77:B77"/>
    <mergeCell ref="C77:E77"/>
    <mergeCell ref="A71:B71"/>
    <mergeCell ref="C71:E71"/>
    <mergeCell ref="A72:B72"/>
    <mergeCell ref="C72:E72"/>
    <mergeCell ref="A73:I73"/>
    <mergeCell ref="A74:B74"/>
    <mergeCell ref="C74:E74"/>
    <mergeCell ref="A82:B82"/>
    <mergeCell ref="C82:E82"/>
    <mergeCell ref="A83:B83"/>
    <mergeCell ref="C83:E83"/>
    <mergeCell ref="A84:B84"/>
    <mergeCell ref="C84:E84"/>
    <mergeCell ref="A78:I78"/>
    <mergeCell ref="A79:B79"/>
    <mergeCell ref="C79:E79"/>
    <mergeCell ref="A80:B80"/>
    <mergeCell ref="C80:E80"/>
    <mergeCell ref="A81:B81"/>
    <mergeCell ref="C81:E81"/>
    <mergeCell ref="A88:B88"/>
    <mergeCell ref="C88:E88"/>
    <mergeCell ref="A89:B89"/>
    <mergeCell ref="C89:E89"/>
    <mergeCell ref="A90:B90"/>
    <mergeCell ref="C90:E90"/>
    <mergeCell ref="A85:B85"/>
    <mergeCell ref="C85:E85"/>
    <mergeCell ref="A86:B86"/>
    <mergeCell ref="C86:E86"/>
    <mergeCell ref="A87:B87"/>
    <mergeCell ref="C87:E87"/>
    <mergeCell ref="A94:B94"/>
    <mergeCell ref="C94:E94"/>
    <mergeCell ref="A95:B95"/>
    <mergeCell ref="C95:E95"/>
    <mergeCell ref="A96:B96"/>
    <mergeCell ref="C96:E96"/>
    <mergeCell ref="A91:B91"/>
    <mergeCell ref="C91:E91"/>
    <mergeCell ref="A92:B92"/>
    <mergeCell ref="C92:E92"/>
    <mergeCell ref="A93:B93"/>
    <mergeCell ref="C93:E93"/>
    <mergeCell ref="A100:B100"/>
    <mergeCell ref="C100:E100"/>
    <mergeCell ref="A101:B101"/>
    <mergeCell ref="C101:E101"/>
    <mergeCell ref="A102:B102"/>
    <mergeCell ref="C102:E102"/>
    <mergeCell ref="A97:B97"/>
    <mergeCell ref="C97:E97"/>
    <mergeCell ref="A98:B98"/>
    <mergeCell ref="C98:E98"/>
    <mergeCell ref="A99:B99"/>
    <mergeCell ref="C99:E99"/>
    <mergeCell ref="A106:B106"/>
    <mergeCell ref="C106:E106"/>
    <mergeCell ref="A107:B107"/>
    <mergeCell ref="C107:E107"/>
    <mergeCell ref="A108:B108"/>
    <mergeCell ref="C108:E108"/>
    <mergeCell ref="A103:B103"/>
    <mergeCell ref="C103:E103"/>
    <mergeCell ref="A104:B104"/>
    <mergeCell ref="C104:E104"/>
    <mergeCell ref="A105:B105"/>
    <mergeCell ref="C105:E105"/>
    <mergeCell ref="A112:B112"/>
    <mergeCell ref="C112:E112"/>
    <mergeCell ref="A113:B113"/>
    <mergeCell ref="C113:E113"/>
    <mergeCell ref="A114:B114"/>
    <mergeCell ref="C114:E114"/>
    <mergeCell ref="A109:B109"/>
    <mergeCell ref="C109:E109"/>
    <mergeCell ref="A110:B110"/>
    <mergeCell ref="C110:E110"/>
    <mergeCell ref="A111:B111"/>
    <mergeCell ref="C111:E111"/>
    <mergeCell ref="A118:I118"/>
    <mergeCell ref="A119:B119"/>
    <mergeCell ref="C119:E119"/>
    <mergeCell ref="A120:B120"/>
    <mergeCell ref="C120:E120"/>
    <mergeCell ref="A121:B121"/>
    <mergeCell ref="C121:E121"/>
    <mergeCell ref="A115:B115"/>
    <mergeCell ref="C115:E115"/>
    <mergeCell ref="A116:B116"/>
    <mergeCell ref="C116:E116"/>
    <mergeCell ref="A117:B117"/>
    <mergeCell ref="C117:E117"/>
    <mergeCell ref="A125:B125"/>
    <mergeCell ref="C125:E125"/>
    <mergeCell ref="A126:B126"/>
    <mergeCell ref="C126:E126"/>
    <mergeCell ref="A127:B127"/>
    <mergeCell ref="C127:E127"/>
    <mergeCell ref="A122:B122"/>
    <mergeCell ref="C122:E122"/>
    <mergeCell ref="A123:B123"/>
    <mergeCell ref="C123:E123"/>
    <mergeCell ref="A124:B124"/>
    <mergeCell ref="C124:E124"/>
    <mergeCell ref="A131:I131"/>
    <mergeCell ref="A132:H132"/>
    <mergeCell ref="A133:D133"/>
    <mergeCell ref="F133:H133"/>
    <mergeCell ref="A134:D134"/>
    <mergeCell ref="F134:H134"/>
    <mergeCell ref="A128:B128"/>
    <mergeCell ref="C128:E128"/>
    <mergeCell ref="A129:B129"/>
    <mergeCell ref="C129:E129"/>
    <mergeCell ref="A130:B130"/>
    <mergeCell ref="C130:E130"/>
    <mergeCell ref="A140:P140"/>
    <mergeCell ref="B142:D142"/>
    <mergeCell ref="B143:C143"/>
    <mergeCell ref="B144:D144"/>
    <mergeCell ref="A135:D135"/>
    <mergeCell ref="F135:H135"/>
    <mergeCell ref="A136:D136"/>
    <mergeCell ref="E136:H136"/>
    <mergeCell ref="A137:H137"/>
    <mergeCell ref="A138:I138"/>
  </mergeCells>
  <conditionalFormatting sqref="M16:M138">
    <cfRule type="cellIs" dxfId="216" priority="3" operator="greaterThan">
      <formula>0</formula>
    </cfRule>
    <cfRule type="cellIs" dxfId="215" priority="4" operator="lessThan">
      <formula>0</formula>
    </cfRule>
    <cfRule type="cellIs" dxfId="214" priority="5" operator="lessThan">
      <formula>0</formula>
    </cfRule>
  </conditionalFormatting>
  <conditionalFormatting sqref="N16:N138">
    <cfRule type="cellIs" dxfId="213" priority="1" operator="greaterThan">
      <formula>0.8</formula>
    </cfRule>
    <cfRule type="cellIs" dxfId="212" priority="2" operator="lessThan">
      <formula>0.8</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92C9F-0F98-4049-9D6C-7608B96B98AA}">
  <sheetPr>
    <tabColor rgb="FF92D050"/>
    <pageSetUpPr fitToPage="1"/>
  </sheetPr>
  <dimension ref="A1:AZ48"/>
  <sheetViews>
    <sheetView topLeftCell="A29" zoomScale="55" zoomScaleNormal="55" zoomScaleSheetLayoutView="50" workbookViewId="0">
      <selection activeCell="I37" sqref="I37:I38"/>
    </sheetView>
  </sheetViews>
  <sheetFormatPr baseColWidth="10" defaultColWidth="11.42578125" defaultRowHeight="16.5"/>
  <cols>
    <col min="1" max="1" width="16" style="2" customWidth="1"/>
    <col min="2" max="2" width="25.42578125" style="2" customWidth="1"/>
    <col min="3" max="3" width="43.42578125" style="2" customWidth="1"/>
    <col min="4" max="4" width="28.28515625" style="2" customWidth="1"/>
    <col min="5" max="5" width="26.140625" style="2" customWidth="1"/>
    <col min="6" max="6" width="32.42578125" style="2" customWidth="1"/>
    <col min="7" max="7" width="29.5703125" style="2" hidden="1" customWidth="1"/>
    <col min="8" max="8" width="32.42578125" style="2" hidden="1" customWidth="1"/>
    <col min="9" max="9" width="33.85546875" style="2" customWidth="1"/>
    <col min="10" max="10" width="23.28515625" style="2" customWidth="1"/>
    <col min="11" max="11" width="28.42578125" style="2" customWidth="1"/>
    <col min="12" max="12" width="33.28515625" style="2" customWidth="1"/>
    <col min="13" max="13" width="11.42578125" style="3" hidden="1" customWidth="1"/>
    <col min="14" max="14" width="15.7109375" style="14" customWidth="1"/>
    <col min="15" max="15" width="41.7109375" style="14" customWidth="1"/>
    <col min="16" max="16" width="23.28515625" style="14" customWidth="1"/>
    <col min="17" max="17" width="11.42578125" style="14" customWidth="1"/>
    <col min="18" max="18" width="11.42578125" style="2"/>
    <col min="19" max="19" width="53.7109375" style="2" customWidth="1"/>
    <col min="20" max="16384" width="11.42578125" style="2"/>
  </cols>
  <sheetData>
    <row r="1" spans="1:17" ht="85.5" customHeight="1" thickBot="1">
      <c r="A1" s="1">
        <v>5</v>
      </c>
      <c r="C1" s="214" t="s">
        <v>29</v>
      </c>
      <c r="D1" s="215"/>
      <c r="E1" s="215"/>
      <c r="F1" s="215"/>
      <c r="G1" s="215"/>
      <c r="H1" s="215"/>
      <c r="I1" s="215"/>
      <c r="J1" s="215"/>
      <c r="K1" s="216"/>
      <c r="L1" s="39"/>
      <c r="N1" s="3"/>
      <c r="O1" s="3"/>
      <c r="P1" s="3"/>
      <c r="Q1" s="3"/>
    </row>
    <row r="2" spans="1:17" ht="16.5" customHeight="1" thickBot="1">
      <c r="A2" s="4"/>
      <c r="B2" s="5"/>
      <c r="C2" s="5"/>
      <c r="D2" s="5"/>
      <c r="E2" s="5"/>
      <c r="F2" s="5"/>
      <c r="G2" s="5"/>
      <c r="H2" s="5"/>
      <c r="I2" s="5"/>
      <c r="J2" s="5"/>
      <c r="K2" s="5"/>
      <c r="L2" s="5"/>
      <c r="N2" s="3"/>
      <c r="O2" s="3"/>
      <c r="P2" s="3"/>
      <c r="Q2" s="3"/>
    </row>
    <row r="3" spans="1:17" ht="54.75" customHeight="1" thickBot="1">
      <c r="A3" s="4"/>
      <c r="B3" s="4"/>
      <c r="C3" s="80" t="s">
        <v>2</v>
      </c>
      <c r="D3" s="372" t="str">
        <f>+'CONSOLIDADO FINANCIERO'!L5</f>
        <v>REALIZAR LAS REPARACIONES LOCATIVAS DE LA INFRAESTRUCTURA FÍSICA DE LA SEDE PRINCIPAL - CNA DEL FONDO NACIONAL DEL AHORRO S.A.</v>
      </c>
      <c r="E3" s="373"/>
      <c r="F3" s="373"/>
      <c r="G3" s="373"/>
      <c r="H3" s="373"/>
      <c r="I3" s="373"/>
      <c r="J3" s="373"/>
      <c r="K3" s="374"/>
      <c r="L3" s="40"/>
      <c r="N3" s="3"/>
      <c r="O3" s="3"/>
      <c r="P3" s="3"/>
      <c r="Q3" s="3"/>
    </row>
    <row r="4" spans="1:17" ht="36.75" customHeight="1" thickBot="1">
      <c r="A4" s="4"/>
      <c r="B4" s="4"/>
      <c r="C4" s="7" t="s">
        <v>4</v>
      </c>
      <c r="D4" s="372" t="str">
        <f>+'CONSOLIDADO FINANCIERO'!D6</f>
        <v>FNA-VGHA-CP-015-2024</v>
      </c>
      <c r="E4" s="373"/>
      <c r="F4" s="373"/>
      <c r="G4" s="373"/>
      <c r="H4" s="373"/>
      <c r="I4" s="373"/>
      <c r="J4" s="373"/>
      <c r="K4" s="374"/>
      <c r="L4" s="40"/>
      <c r="N4" s="3"/>
      <c r="O4" s="3"/>
      <c r="P4" s="3"/>
      <c r="Q4" s="3"/>
    </row>
    <row r="5" spans="1:17" ht="35.25" customHeight="1" thickBot="1">
      <c r="A5" s="4"/>
      <c r="B5" s="4"/>
      <c r="C5" s="8" t="s">
        <v>30</v>
      </c>
      <c r="D5" s="222" t="s">
        <v>293</v>
      </c>
      <c r="E5" s="222"/>
      <c r="F5" s="222"/>
      <c r="G5" s="222"/>
      <c r="H5" s="222"/>
      <c r="I5" s="222"/>
      <c r="J5" s="222"/>
      <c r="K5" s="223"/>
      <c r="L5" s="40"/>
      <c r="N5" s="3"/>
      <c r="O5" s="3"/>
      <c r="P5" s="3"/>
      <c r="Q5" s="3"/>
    </row>
    <row r="6" spans="1:17" ht="16.5" customHeight="1" thickBot="1">
      <c r="A6" s="4"/>
      <c r="B6" s="4"/>
      <c r="C6" s="9"/>
      <c r="D6" s="10"/>
      <c r="E6" s="10"/>
      <c r="F6" s="10"/>
      <c r="G6" s="10"/>
      <c r="H6" s="10"/>
      <c r="I6" s="10"/>
      <c r="J6" s="10"/>
      <c r="K6" s="10"/>
      <c r="L6" s="40"/>
      <c r="N6" s="3"/>
      <c r="O6" s="3"/>
      <c r="P6" s="3"/>
      <c r="Q6" s="3"/>
    </row>
    <row r="7" spans="1:17" ht="60" customHeight="1" thickBot="1">
      <c r="A7" s="4"/>
      <c r="B7" s="4"/>
      <c r="C7" s="224" t="s">
        <v>31</v>
      </c>
      <c r="D7" s="225"/>
      <c r="E7" s="225"/>
      <c r="F7" s="225"/>
      <c r="G7" s="225"/>
      <c r="H7" s="225"/>
      <c r="I7" s="225"/>
      <c r="J7" s="225"/>
      <c r="K7" s="226"/>
      <c r="L7" s="40"/>
      <c r="N7" s="3"/>
      <c r="O7" s="3"/>
      <c r="P7" s="3"/>
      <c r="Q7" s="3"/>
    </row>
    <row r="8" spans="1:17" ht="42.75" customHeight="1" thickBot="1">
      <c r="A8" s="4"/>
      <c r="B8" s="4"/>
      <c r="C8" s="227" t="s">
        <v>294</v>
      </c>
      <c r="D8" s="228"/>
      <c r="E8" s="228"/>
      <c r="F8" s="228"/>
      <c r="G8" s="228"/>
      <c r="H8" s="228"/>
      <c r="I8" s="228"/>
      <c r="J8" s="228"/>
      <c r="K8" s="229"/>
      <c r="L8" s="40"/>
      <c r="N8" s="3"/>
      <c r="O8" s="3"/>
      <c r="P8" s="3"/>
      <c r="Q8" s="3"/>
    </row>
    <row r="9" spans="1:17" ht="36.75" customHeight="1">
      <c r="A9" s="4"/>
      <c r="B9" s="4"/>
      <c r="C9" s="6" t="s">
        <v>33</v>
      </c>
      <c r="D9" s="234">
        <v>45643</v>
      </c>
      <c r="E9" s="234"/>
      <c r="F9" s="234"/>
      <c r="G9" s="234"/>
      <c r="H9" s="234"/>
      <c r="I9" s="234"/>
      <c r="J9" s="235"/>
      <c r="K9" s="236"/>
      <c r="L9" s="40"/>
      <c r="N9" s="3"/>
      <c r="O9" s="3"/>
      <c r="P9" s="3"/>
      <c r="Q9" s="3"/>
    </row>
    <row r="10" spans="1:17" ht="36.75" customHeight="1" thickBot="1">
      <c r="A10" s="4"/>
      <c r="B10" s="4"/>
      <c r="C10" s="7" t="s">
        <v>34</v>
      </c>
      <c r="D10" s="230">
        <v>45641</v>
      </c>
      <c r="E10" s="230"/>
      <c r="F10" s="230"/>
      <c r="G10" s="230"/>
      <c r="H10" s="230"/>
      <c r="I10" s="230"/>
      <c r="J10" s="237" t="str">
        <f>IF(D10&gt;=O10,"CUMPLE","NO CUMPLE")</f>
        <v>CUMPLE</v>
      </c>
      <c r="K10" s="238"/>
      <c r="L10" s="41" t="s">
        <v>35</v>
      </c>
      <c r="M10" s="42">
        <f>IF(J10="CUMPLE",0,1)</f>
        <v>0</v>
      </c>
      <c r="N10" s="13">
        <f ca="1">+TODAY()-30</f>
        <v>45622</v>
      </c>
      <c r="O10" s="12">
        <f>+D9-30</f>
        <v>45613</v>
      </c>
      <c r="P10" s="3" t="s">
        <v>36</v>
      </c>
      <c r="Q10" s="3"/>
    </row>
    <row r="11" spans="1:17" ht="36.75" customHeight="1" thickBot="1">
      <c r="A11" s="4"/>
      <c r="B11" s="4"/>
      <c r="C11" s="7" t="s">
        <v>37</v>
      </c>
      <c r="D11" s="230">
        <v>45386</v>
      </c>
      <c r="E11" s="230"/>
      <c r="F11" s="230"/>
      <c r="G11" s="230"/>
      <c r="H11" s="230"/>
      <c r="I11" s="230"/>
      <c r="J11" s="237" t="str">
        <f>IF(D10&gt;=O11,"CUMPLE","NO CUMPLE")</f>
        <v>CUMPLE</v>
      </c>
      <c r="K11" s="238"/>
      <c r="L11" s="41" t="s">
        <v>35</v>
      </c>
      <c r="M11" s="11">
        <f>IF(J11="CUMPLE",0,1)</f>
        <v>0</v>
      </c>
      <c r="N11" s="3"/>
      <c r="O11" s="13">
        <f>+D11+15</f>
        <v>45401</v>
      </c>
      <c r="P11" s="3" t="s">
        <v>38</v>
      </c>
      <c r="Q11" s="3"/>
    </row>
    <row r="12" spans="1:17" s="14" customFormat="1" ht="41.25" customHeight="1" thickBot="1">
      <c r="A12" s="4"/>
      <c r="B12" s="4"/>
      <c r="C12" s="8" t="s">
        <v>39</v>
      </c>
      <c r="D12" s="230">
        <v>45291</v>
      </c>
      <c r="E12" s="230"/>
      <c r="F12" s="230"/>
      <c r="G12" s="230"/>
      <c r="H12" s="230"/>
      <c r="I12" s="230"/>
      <c r="J12" s="231" t="str">
        <f>IF(D10&gt;=O12,"CUMPLE","NO CUMPLE")</f>
        <v>CUMPLE</v>
      </c>
      <c r="K12" s="232"/>
      <c r="L12" s="41" t="s">
        <v>35</v>
      </c>
      <c r="M12" s="11">
        <f>IF(J12="CUMPLE",0,1)</f>
        <v>0</v>
      </c>
      <c r="N12" s="3"/>
      <c r="O12" s="13">
        <f>+D12+15</f>
        <v>45306</v>
      </c>
      <c r="P12" s="3"/>
      <c r="Q12" s="3"/>
    </row>
    <row r="13" spans="1:17" ht="31.5" customHeight="1" thickBot="1">
      <c r="A13" s="4"/>
      <c r="B13" s="4"/>
      <c r="C13" s="233"/>
      <c r="D13" s="233"/>
      <c r="E13" s="233"/>
      <c r="F13" s="233"/>
      <c r="G13" s="233"/>
      <c r="H13" s="233"/>
      <c r="I13" s="233"/>
      <c r="J13" s="233"/>
      <c r="K13" s="233"/>
      <c r="L13" s="41"/>
      <c r="N13" s="3"/>
      <c r="O13" s="3"/>
      <c r="P13" s="3"/>
      <c r="Q13" s="3"/>
    </row>
    <row r="14" spans="1:17" ht="37.5" hidden="1" customHeight="1" thickBot="1">
      <c r="A14" s="4"/>
      <c r="B14" s="4"/>
      <c r="C14" s="227"/>
      <c r="D14" s="228"/>
      <c r="E14" s="228"/>
      <c r="F14" s="228"/>
      <c r="G14" s="228"/>
      <c r="H14" s="228"/>
      <c r="I14" s="228"/>
      <c r="J14" s="228"/>
      <c r="K14" s="229"/>
      <c r="L14" s="41"/>
      <c r="N14" s="3"/>
      <c r="O14" s="3"/>
      <c r="P14" s="3"/>
      <c r="Q14" s="3"/>
    </row>
    <row r="15" spans="1:17" ht="36.75" hidden="1" customHeight="1">
      <c r="A15" s="4"/>
      <c r="B15" s="4"/>
      <c r="C15" s="6" t="s">
        <v>33</v>
      </c>
      <c r="D15" s="234">
        <v>45638</v>
      </c>
      <c r="E15" s="234"/>
      <c r="F15" s="234"/>
      <c r="G15" s="234"/>
      <c r="H15" s="234"/>
      <c r="I15" s="234"/>
      <c r="J15" s="235"/>
      <c r="K15" s="236"/>
      <c r="L15" s="41"/>
      <c r="N15" s="3"/>
      <c r="O15" s="3"/>
      <c r="P15" s="3"/>
      <c r="Q15" s="3"/>
    </row>
    <row r="16" spans="1:17" ht="36.75" hidden="1" customHeight="1">
      <c r="A16" s="4"/>
      <c r="B16" s="4"/>
      <c r="C16" s="7" t="s">
        <v>34</v>
      </c>
      <c r="D16" s="239">
        <v>45616</v>
      </c>
      <c r="E16" s="239"/>
      <c r="F16" s="239"/>
      <c r="G16" s="239"/>
      <c r="H16" s="239"/>
      <c r="I16" s="239"/>
      <c r="J16" s="237" t="str">
        <f>IF(D16&gt;=O16,"CUMPLE","NO CUMPLE")</f>
        <v>CUMPLE</v>
      </c>
      <c r="K16" s="238"/>
      <c r="L16" s="41" t="s">
        <v>35</v>
      </c>
      <c r="M16" s="11">
        <f>IF(J16="CUMPLE",0,1)</f>
        <v>0</v>
      </c>
      <c r="N16" s="3"/>
      <c r="O16" s="12">
        <f>+D15-30</f>
        <v>45608</v>
      </c>
      <c r="P16" s="3" t="s">
        <v>36</v>
      </c>
      <c r="Q16" s="3"/>
    </row>
    <row r="17" spans="1:19" ht="36.75" hidden="1" customHeight="1">
      <c r="A17" s="4"/>
      <c r="B17" s="4"/>
      <c r="C17" s="7" t="s">
        <v>37</v>
      </c>
      <c r="D17" s="239">
        <v>45416</v>
      </c>
      <c r="E17" s="239"/>
      <c r="F17" s="239"/>
      <c r="G17" s="239"/>
      <c r="H17" s="239"/>
      <c r="I17" s="239"/>
      <c r="J17" s="237" t="str">
        <f>IF(D16&gt;=O17,"CUMPLE","NO CUMPLE")</f>
        <v>CUMPLE</v>
      </c>
      <c r="K17" s="238"/>
      <c r="L17" s="41" t="s">
        <v>35</v>
      </c>
      <c r="M17" s="11">
        <f>IF(J17="CUMPLE",0,1)</f>
        <v>0</v>
      </c>
      <c r="N17" s="3"/>
      <c r="O17" s="13">
        <f>+D17+15</f>
        <v>45431</v>
      </c>
      <c r="P17" s="3" t="s">
        <v>38</v>
      </c>
      <c r="Q17" s="3"/>
    </row>
    <row r="18" spans="1:19" s="14" customFormat="1" ht="36" hidden="1" customHeight="1" thickBot="1">
      <c r="A18" s="4"/>
      <c r="B18" s="4"/>
      <c r="C18" s="8" t="s">
        <v>39</v>
      </c>
      <c r="D18" s="230">
        <v>45291</v>
      </c>
      <c r="E18" s="230"/>
      <c r="F18" s="230"/>
      <c r="G18" s="230"/>
      <c r="H18" s="230"/>
      <c r="I18" s="230"/>
      <c r="J18" s="231" t="str">
        <f>IF(D16&gt;=O18,"CUMPLE","NO CUMPLE")</f>
        <v>CUMPLE</v>
      </c>
      <c r="K18" s="232"/>
      <c r="L18" s="41" t="s">
        <v>35</v>
      </c>
      <c r="M18" s="11">
        <f>IF(J18="CUMPLE",0,1)</f>
        <v>0</v>
      </c>
      <c r="N18" s="3"/>
      <c r="O18" s="13">
        <f>+D18+15</f>
        <v>45306</v>
      </c>
      <c r="P18" s="3"/>
      <c r="Q18" s="3"/>
    </row>
    <row r="19" spans="1:19" ht="13.5" hidden="1" customHeight="1">
      <c r="B19" s="4"/>
      <c r="C19" s="15"/>
      <c r="D19" s="16"/>
      <c r="E19" s="16"/>
      <c r="F19" s="17"/>
      <c r="G19" s="16"/>
      <c r="H19" s="16"/>
      <c r="I19" s="16"/>
      <c r="J19" s="18"/>
      <c r="K19" s="19"/>
      <c r="L19" s="40"/>
      <c r="M19" s="11"/>
      <c r="N19" s="3"/>
      <c r="O19" s="3"/>
      <c r="P19" s="3"/>
      <c r="Q19" s="3"/>
    </row>
    <row r="20" spans="1:19" ht="31.5" hidden="1" customHeight="1" thickBot="1">
      <c r="A20" s="4"/>
      <c r="B20" s="4"/>
      <c r="C20" s="224"/>
      <c r="D20" s="225"/>
      <c r="E20" s="225"/>
      <c r="F20" s="225"/>
      <c r="G20" s="225"/>
      <c r="H20" s="225"/>
      <c r="I20" s="225"/>
      <c r="J20" s="225"/>
      <c r="K20" s="226"/>
      <c r="L20" s="41"/>
      <c r="N20" s="3"/>
      <c r="O20" s="3"/>
      <c r="P20" s="3"/>
      <c r="Q20" s="3"/>
    </row>
    <row r="21" spans="1:19" ht="5.0999999999999996" hidden="1" customHeight="1" thickBot="1">
      <c r="A21" s="4"/>
      <c r="B21" s="4"/>
      <c r="C21" s="9"/>
      <c r="D21" s="10"/>
      <c r="E21" s="10"/>
      <c r="F21" s="10"/>
      <c r="G21" s="10"/>
      <c r="H21" s="10"/>
      <c r="I21" s="10"/>
      <c r="J21" s="10"/>
      <c r="K21" s="10"/>
      <c r="L21" s="41"/>
      <c r="N21" s="3"/>
      <c r="O21" s="3"/>
      <c r="P21" s="3"/>
      <c r="Q21" s="3"/>
    </row>
    <row r="22" spans="1:19" ht="36.75" hidden="1" customHeight="1">
      <c r="A22" s="4"/>
      <c r="B22" s="4"/>
      <c r="C22" s="6" t="s">
        <v>33</v>
      </c>
      <c r="D22" s="234"/>
      <c r="E22" s="234"/>
      <c r="F22" s="234"/>
      <c r="G22" s="234"/>
      <c r="H22" s="234"/>
      <c r="I22" s="234"/>
      <c r="J22" s="235"/>
      <c r="K22" s="236"/>
      <c r="L22" s="41"/>
      <c r="N22" s="3"/>
      <c r="O22" s="3"/>
      <c r="P22" s="3"/>
      <c r="Q22" s="3"/>
    </row>
    <row r="23" spans="1:19" ht="36.75" hidden="1" customHeight="1">
      <c r="A23" s="4"/>
      <c r="B23" s="4"/>
      <c r="C23" s="7" t="s">
        <v>34</v>
      </c>
      <c r="D23" s="239"/>
      <c r="E23" s="239"/>
      <c r="F23" s="239"/>
      <c r="G23" s="239"/>
      <c r="H23" s="239"/>
      <c r="I23" s="239"/>
      <c r="J23" s="237"/>
      <c r="K23" s="237"/>
      <c r="L23" s="41" t="s">
        <v>35</v>
      </c>
      <c r="M23" s="11">
        <f>IF(J23="CUMPLE",0,1)</f>
        <v>1</v>
      </c>
      <c r="N23" s="3"/>
      <c r="O23" s="12">
        <f>+D22-30</f>
        <v>-30</v>
      </c>
      <c r="P23" s="3" t="s">
        <v>36</v>
      </c>
      <c r="Q23" s="3"/>
    </row>
    <row r="24" spans="1:19" ht="36.75" hidden="1" customHeight="1">
      <c r="A24" s="4"/>
      <c r="B24" s="4"/>
      <c r="C24" s="7" t="s">
        <v>37</v>
      </c>
      <c r="D24" s="239"/>
      <c r="E24" s="239"/>
      <c r="F24" s="240"/>
      <c r="G24" s="240"/>
      <c r="H24" s="240"/>
      <c r="I24" s="239"/>
      <c r="J24" s="237"/>
      <c r="K24" s="237"/>
      <c r="L24" s="41" t="s">
        <v>35</v>
      </c>
      <c r="M24" s="11">
        <f>IF(J24="CUMPLE",0,1)</f>
        <v>1</v>
      </c>
      <c r="N24" s="3"/>
      <c r="O24" s="13">
        <f>+D24+15</f>
        <v>15</v>
      </c>
      <c r="P24" s="3" t="s">
        <v>38</v>
      </c>
      <c r="Q24" s="3"/>
    </row>
    <row r="25" spans="1:19" s="14" customFormat="1" ht="36" hidden="1" customHeight="1" thickBot="1">
      <c r="A25" s="4"/>
      <c r="B25" s="4"/>
      <c r="C25" s="8" t="s">
        <v>39</v>
      </c>
      <c r="D25" s="230"/>
      <c r="E25" s="230"/>
      <c r="F25" s="230"/>
      <c r="G25" s="230"/>
      <c r="H25" s="230"/>
      <c r="I25" s="230"/>
      <c r="J25" s="237"/>
      <c r="K25" s="237"/>
      <c r="L25" s="41" t="s">
        <v>35</v>
      </c>
      <c r="M25" s="11">
        <f>IF(J25="CUMPLE",0,1)</f>
        <v>1</v>
      </c>
      <c r="N25" s="3"/>
      <c r="O25" s="13">
        <f>+D25+15</f>
        <v>15</v>
      </c>
      <c r="P25" s="3"/>
      <c r="Q25" s="3"/>
    </row>
    <row r="26" spans="1:19" ht="13.5" hidden="1" customHeight="1" thickBot="1">
      <c r="B26" s="4"/>
      <c r="C26" s="15"/>
      <c r="D26" s="16"/>
      <c r="E26" s="16"/>
      <c r="F26" s="17"/>
      <c r="G26" s="16"/>
      <c r="H26" s="16"/>
      <c r="I26" s="16"/>
      <c r="J26" s="18"/>
      <c r="K26" s="19"/>
      <c r="L26" s="40"/>
      <c r="M26" s="11"/>
      <c r="N26" s="3"/>
      <c r="O26" s="3"/>
      <c r="P26" s="3"/>
      <c r="Q26" s="3"/>
    </row>
    <row r="27" spans="1:19" ht="39" customHeight="1" thickBot="1">
      <c r="A27" s="4"/>
      <c r="B27" s="5"/>
      <c r="C27" s="241" t="s">
        <v>40</v>
      </c>
      <c r="D27" s="242"/>
      <c r="E27" s="242"/>
      <c r="F27" s="243"/>
      <c r="G27" s="242"/>
      <c r="H27" s="242"/>
      <c r="I27" s="242"/>
      <c r="J27" s="242"/>
      <c r="K27" s="244"/>
      <c r="L27" s="5"/>
      <c r="N27" s="3"/>
      <c r="O27" s="3"/>
      <c r="P27" s="3"/>
      <c r="Q27" s="3"/>
    </row>
    <row r="28" spans="1:19" ht="7.5" customHeight="1">
      <c r="A28" s="4"/>
      <c r="B28" s="5"/>
      <c r="C28" s="5"/>
      <c r="D28" s="5"/>
      <c r="E28" s="5"/>
      <c r="F28" s="20"/>
      <c r="G28" s="5"/>
      <c r="H28" s="5"/>
      <c r="I28" s="5"/>
      <c r="J28" s="5"/>
      <c r="K28" s="21"/>
      <c r="L28" s="5"/>
      <c r="N28" s="3"/>
      <c r="O28" s="3"/>
      <c r="P28" s="3"/>
      <c r="Q28" s="3"/>
    </row>
    <row r="29" spans="1:19" s="24" customFormat="1" ht="92.25" customHeight="1">
      <c r="A29" s="245" t="s">
        <v>41</v>
      </c>
      <c r="B29" s="245" t="s">
        <v>42</v>
      </c>
      <c r="C29" s="245" t="s">
        <v>43</v>
      </c>
      <c r="D29" s="245" t="s">
        <v>44</v>
      </c>
      <c r="E29" s="245" t="s">
        <v>45</v>
      </c>
      <c r="F29" s="23" t="str">
        <f>+C8</f>
        <v>CONSTRUCCION Y MANTENIMIENTO CASTILLA Y LEON G&amp;G S.L    NIT:830.108.787 - 4</v>
      </c>
      <c r="G29" s="22">
        <f>+C14</f>
        <v>0</v>
      </c>
      <c r="H29" s="22"/>
      <c r="I29" s="245" t="s">
        <v>46</v>
      </c>
      <c r="J29" s="245" t="s">
        <v>47</v>
      </c>
      <c r="K29" s="245" t="s">
        <v>48</v>
      </c>
      <c r="L29" s="246" t="s">
        <v>49</v>
      </c>
      <c r="M29" s="3"/>
      <c r="N29" s="3"/>
      <c r="O29" s="3"/>
      <c r="P29" s="3"/>
      <c r="Q29" s="3"/>
    </row>
    <row r="30" spans="1:19" s="24" customFormat="1" ht="27" customHeight="1">
      <c r="A30" s="245"/>
      <c r="B30" s="245"/>
      <c r="C30" s="245"/>
      <c r="D30" s="245"/>
      <c r="E30" s="245"/>
      <c r="F30" s="25">
        <v>1</v>
      </c>
      <c r="G30" s="26"/>
      <c r="H30" s="26"/>
      <c r="I30" s="245"/>
      <c r="J30" s="245"/>
      <c r="K30" s="245"/>
      <c r="L30" s="246"/>
      <c r="M30" s="3"/>
      <c r="N30" s="3"/>
      <c r="O30" s="3"/>
      <c r="P30" s="3"/>
      <c r="Q30" s="3"/>
    </row>
    <row r="31" spans="1:19" ht="33" customHeight="1">
      <c r="A31" s="247">
        <v>4.3</v>
      </c>
      <c r="B31" s="248" t="s">
        <v>51</v>
      </c>
      <c r="C31" s="249" t="s">
        <v>52</v>
      </c>
      <c r="D31" s="250">
        <f>'[3]CONSOLIDADO FINANCIERO'!L7*25%</f>
        <v>1320732991.5</v>
      </c>
      <c r="E31" s="27" t="s">
        <v>53</v>
      </c>
      <c r="F31" s="74">
        <v>8533308679</v>
      </c>
      <c r="G31" s="74"/>
      <c r="H31" s="28"/>
      <c r="I31" s="251">
        <f>(F31-F32)+(G31-G32)</f>
        <v>6961551077</v>
      </c>
      <c r="J31" s="252" t="str">
        <f>IF(I31&gt;=D31,"CUMPLE","NO CUMPLE")</f>
        <v>CUMPLE</v>
      </c>
      <c r="K31" s="253" t="s">
        <v>54</v>
      </c>
      <c r="L31" s="254" t="s">
        <v>295</v>
      </c>
      <c r="M31" s="261">
        <f>IF(J31="CUMPLE",0,1)</f>
        <v>0</v>
      </c>
      <c r="N31" s="29"/>
      <c r="O31" s="3"/>
      <c r="P31" s="3"/>
      <c r="Q31" s="3"/>
      <c r="S31" s="46"/>
    </row>
    <row r="32" spans="1:19" ht="33" customHeight="1">
      <c r="A32" s="247"/>
      <c r="B32" s="248"/>
      <c r="C32" s="249"/>
      <c r="D32" s="250"/>
      <c r="E32" s="27" t="s">
        <v>56</v>
      </c>
      <c r="F32" s="74">
        <v>1571757602</v>
      </c>
      <c r="G32" s="74"/>
      <c r="H32" s="28"/>
      <c r="I32" s="251"/>
      <c r="J32" s="252"/>
      <c r="K32" s="253"/>
      <c r="L32" s="255"/>
      <c r="M32" s="261"/>
      <c r="N32" s="3"/>
      <c r="O32" s="3"/>
      <c r="P32" s="3"/>
      <c r="Q32" s="3"/>
      <c r="S32" s="46"/>
    </row>
    <row r="33" spans="1:52" ht="33" customHeight="1">
      <c r="A33" s="247">
        <v>4.3</v>
      </c>
      <c r="B33" s="248" t="str">
        <f>B31</f>
        <v>4.3.1 CAPACIDAD FINANCIERA</v>
      </c>
      <c r="C33" s="249" t="s">
        <v>10</v>
      </c>
      <c r="D33" s="262">
        <v>1.9</v>
      </c>
      <c r="E33" s="27" t="s">
        <v>53</v>
      </c>
      <c r="F33" s="75">
        <f>+F31</f>
        <v>8533308679</v>
      </c>
      <c r="G33" s="75"/>
      <c r="H33" s="43"/>
      <c r="I33" s="263">
        <f>+((F33*F30)+(G33*G30)+(H33*H30))/((F34*F30)+(G34*G30)+(H34*H30))</f>
        <v>5.4291505688547002</v>
      </c>
      <c r="J33" s="264" t="str">
        <f>IF(I33&gt;=D33,"CUMPLE","NO CUMPLE")</f>
        <v>CUMPLE</v>
      </c>
      <c r="K33" s="253" t="s">
        <v>54</v>
      </c>
      <c r="L33" s="255"/>
      <c r="M33" s="261">
        <f>IF(J33="CUMPLE",0,1)</f>
        <v>0</v>
      </c>
      <c r="N33" s="3"/>
      <c r="O33" s="3"/>
      <c r="P33" s="3"/>
      <c r="Q33" s="3"/>
      <c r="S33" s="46"/>
    </row>
    <row r="34" spans="1:52" ht="33" customHeight="1">
      <c r="A34" s="247"/>
      <c r="B34" s="248"/>
      <c r="C34" s="249"/>
      <c r="D34" s="262"/>
      <c r="E34" s="27" t="s">
        <v>56</v>
      </c>
      <c r="F34" s="75">
        <f>+F32</f>
        <v>1571757602</v>
      </c>
      <c r="G34" s="75"/>
      <c r="H34" s="35"/>
      <c r="I34" s="263"/>
      <c r="J34" s="264"/>
      <c r="K34" s="257"/>
      <c r="L34" s="255"/>
      <c r="M34" s="261"/>
      <c r="N34" s="3"/>
      <c r="O34" s="3"/>
      <c r="P34" s="3"/>
      <c r="Q34" s="3"/>
    </row>
    <row r="35" spans="1:52" ht="33" customHeight="1">
      <c r="A35" s="247">
        <v>4.3</v>
      </c>
      <c r="B35" s="248" t="str">
        <f>B33</f>
        <v>4.3.1 CAPACIDAD FINANCIERA</v>
      </c>
      <c r="C35" s="249" t="s">
        <v>11</v>
      </c>
      <c r="D35" s="267">
        <v>0.6</v>
      </c>
      <c r="E35" s="30" t="s">
        <v>57</v>
      </c>
      <c r="F35" s="74">
        <v>1702163601</v>
      </c>
      <c r="G35" s="74"/>
      <c r="H35" s="35"/>
      <c r="I35" s="371">
        <f>((F35*F30)+(G35*G30)+(H35*H30))/((F36*F30)+(G36*G30)+(H36*H30))</f>
        <v>0.16828886330125908</v>
      </c>
      <c r="J35" s="264" t="str">
        <f>IF(I35&lt;=D35,"CUMPLE","NO CUMPLE")</f>
        <v>CUMPLE</v>
      </c>
      <c r="K35" s="253" t="s">
        <v>54</v>
      </c>
      <c r="L35" s="255"/>
      <c r="M35" s="261">
        <f>IF(J35="CUMPLE",0,1)</f>
        <v>0</v>
      </c>
      <c r="N35" s="3"/>
      <c r="O35" s="3"/>
      <c r="P35" s="3"/>
      <c r="Q35" s="3"/>
    </row>
    <row r="36" spans="1:52" ht="33" customHeight="1">
      <c r="A36" s="247"/>
      <c r="B36" s="248"/>
      <c r="C36" s="249"/>
      <c r="D36" s="267"/>
      <c r="E36" s="30" t="s">
        <v>58</v>
      </c>
      <c r="F36" s="74">
        <v>10114535018</v>
      </c>
      <c r="G36" s="74"/>
      <c r="H36" s="35"/>
      <c r="I36" s="371"/>
      <c r="J36" s="264"/>
      <c r="K36" s="257"/>
      <c r="L36" s="255"/>
      <c r="M36" s="261"/>
      <c r="N36" s="3"/>
      <c r="O36" s="3"/>
      <c r="P36" s="3"/>
      <c r="Q36" s="3"/>
    </row>
    <row r="37" spans="1:52" s="32" customFormat="1" ht="27.75" customHeight="1">
      <c r="A37" s="247">
        <v>4.3</v>
      </c>
      <c r="B37" s="248" t="str">
        <f>B35</f>
        <v>4.3.1 CAPACIDAD FINANCIERA</v>
      </c>
      <c r="C37" s="249" t="s">
        <v>12</v>
      </c>
      <c r="D37" s="265">
        <v>1.49</v>
      </c>
      <c r="E37" s="30" t="s">
        <v>59</v>
      </c>
      <c r="F37" s="74">
        <v>7949765417</v>
      </c>
      <c r="G37" s="74"/>
      <c r="H37" s="35"/>
      <c r="I37" s="370">
        <f>F37/F38</f>
        <v>17.305152807658647</v>
      </c>
      <c r="J37" s="264" t="str">
        <f>IF(I37&gt;=D37,"CUMPLE","NO CUMPLE")</f>
        <v>CUMPLE</v>
      </c>
      <c r="K37" s="258" t="s">
        <v>54</v>
      </c>
      <c r="L37" s="255"/>
      <c r="M37" s="261">
        <f>IF(J37="CUMPLE",0,1)</f>
        <v>0</v>
      </c>
      <c r="N37" s="31"/>
      <c r="O37" s="31"/>
      <c r="P37" s="31"/>
      <c r="Q37" s="31"/>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row>
    <row r="38" spans="1:52" s="32" customFormat="1" ht="27.75" customHeight="1">
      <c r="A38" s="247"/>
      <c r="B38" s="248"/>
      <c r="C38" s="249"/>
      <c r="D38" s="265"/>
      <c r="E38" s="30" t="s">
        <v>60</v>
      </c>
      <c r="F38" s="74">
        <v>459387184</v>
      </c>
      <c r="G38" s="74"/>
      <c r="H38" s="35"/>
      <c r="I38" s="370"/>
      <c r="J38" s="264"/>
      <c r="K38" s="258"/>
      <c r="L38" s="255"/>
      <c r="M38" s="261"/>
      <c r="N38" s="31"/>
      <c r="O38" s="31"/>
      <c r="P38" s="31"/>
      <c r="Q38" s="31"/>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row>
    <row r="39" spans="1:52" s="34" customFormat="1" ht="33" customHeight="1">
      <c r="A39" s="247">
        <v>4.3</v>
      </c>
      <c r="B39" s="248" t="s">
        <v>62</v>
      </c>
      <c r="C39" s="269" t="s">
        <v>13</v>
      </c>
      <c r="D39" s="270">
        <v>0.11</v>
      </c>
      <c r="E39" s="30" t="s">
        <v>63</v>
      </c>
      <c r="F39" s="75">
        <f>+F37</f>
        <v>7949765417</v>
      </c>
      <c r="G39" s="75"/>
      <c r="H39" s="33"/>
      <c r="I39" s="271">
        <f>((F39*F30)+(G39*G30)+(H39*H30))/((F40*F30)+(G40*G30)+(H40*H30))</f>
        <v>0.94500884743805413</v>
      </c>
      <c r="J39" s="264" t="str">
        <f>IF(I39&gt;=D39,"CUMPLE","NO CUMPLE")</f>
        <v>CUMPLE</v>
      </c>
      <c r="K39" s="258" t="s">
        <v>54</v>
      </c>
      <c r="L39" s="255"/>
      <c r="M39" s="261">
        <f>IF(J39="CUMPLE",0,1)</f>
        <v>0</v>
      </c>
      <c r="N39" s="3"/>
      <c r="O39" s="3"/>
      <c r="P39" s="3"/>
      <c r="Q39" s="3"/>
      <c r="R39" s="2"/>
    </row>
    <row r="40" spans="1:52" s="34" customFormat="1" ht="33" customHeight="1">
      <c r="A40" s="247"/>
      <c r="B40" s="248"/>
      <c r="C40" s="269"/>
      <c r="D40" s="270"/>
      <c r="E40" s="30" t="s">
        <v>64</v>
      </c>
      <c r="F40" s="74">
        <v>8412371417</v>
      </c>
      <c r="G40" s="74"/>
      <c r="H40" s="35"/>
      <c r="I40" s="271"/>
      <c r="J40" s="264"/>
      <c r="K40" s="258"/>
      <c r="L40" s="255"/>
      <c r="M40" s="261"/>
      <c r="N40" s="3"/>
      <c r="O40" s="3"/>
      <c r="P40" s="3"/>
      <c r="Q40" s="3"/>
      <c r="R40" s="2"/>
    </row>
    <row r="41" spans="1:52" s="34" customFormat="1" ht="33" customHeight="1">
      <c r="A41" s="247">
        <v>4.3</v>
      </c>
      <c r="B41" s="248" t="str">
        <f>+B39</f>
        <v>4.3.2 capacidad Organizacional</v>
      </c>
      <c r="C41" s="269" t="s">
        <v>65</v>
      </c>
      <c r="D41" s="270">
        <v>0.05</v>
      </c>
      <c r="E41" s="30" t="s">
        <v>63</v>
      </c>
      <c r="F41" s="75">
        <f>+F37</f>
        <v>7949765417</v>
      </c>
      <c r="G41" s="75"/>
      <c r="H41" s="35"/>
      <c r="I41" s="271">
        <f>((F41*F30)+(G41*G30)+(H41*H30))/((F42*F30)+(G42*G30)+(H42*H30))</f>
        <v>0.78597438269307107</v>
      </c>
      <c r="J41" s="264" t="str">
        <f>IF(I41&gt;=D41,"CUMPLE","NO CUMPLE")</f>
        <v>CUMPLE</v>
      </c>
      <c r="K41" s="258" t="s">
        <v>54</v>
      </c>
      <c r="L41" s="255"/>
      <c r="M41" s="261">
        <f>IF(J41="CUMPLE",0,1)</f>
        <v>0</v>
      </c>
      <c r="N41" s="3"/>
      <c r="O41" s="3"/>
      <c r="P41" s="3"/>
      <c r="Q41" s="3"/>
      <c r="R41" s="2"/>
    </row>
    <row r="42" spans="1:52" s="34" customFormat="1" ht="33" customHeight="1">
      <c r="A42" s="247"/>
      <c r="B42" s="248"/>
      <c r="C42" s="269"/>
      <c r="D42" s="270"/>
      <c r="E42" s="30" t="s">
        <v>66</v>
      </c>
      <c r="F42" s="75">
        <f>+F36</f>
        <v>10114535018</v>
      </c>
      <c r="G42" s="75"/>
      <c r="H42" s="35"/>
      <c r="I42" s="271"/>
      <c r="J42" s="264"/>
      <c r="K42" s="258"/>
      <c r="L42" s="255"/>
      <c r="M42" s="261"/>
      <c r="N42" s="3"/>
      <c r="O42" s="3"/>
      <c r="P42" s="3"/>
      <c r="Q42" s="3"/>
      <c r="R42" s="2"/>
    </row>
    <row r="43" spans="1:52" s="37" customFormat="1" ht="27.75" customHeight="1">
      <c r="A43" s="247">
        <v>4.3</v>
      </c>
      <c r="B43" s="248" t="str">
        <f>B31</f>
        <v>4.3.1 CAPACIDAD FINANCIERA</v>
      </c>
      <c r="C43" s="249" t="s">
        <v>67</v>
      </c>
      <c r="D43" s="278">
        <f>'[3]CONSOLIDADO FINANCIERO'!L7*30%</f>
        <v>1584879589.8</v>
      </c>
      <c r="E43" s="30" t="s">
        <v>66</v>
      </c>
      <c r="F43" s="75">
        <f>+F36</f>
        <v>10114535018</v>
      </c>
      <c r="G43" s="75"/>
      <c r="H43" s="33"/>
      <c r="I43" s="279">
        <f>(F43-F44)+(G43-G44)</f>
        <v>8412371417</v>
      </c>
      <c r="J43" s="252" t="str">
        <f>IF(I43&gt;=D43,"CUMPLE","NO CUMPLE")</f>
        <v>CUMPLE</v>
      </c>
      <c r="K43" s="259" t="s">
        <v>54</v>
      </c>
      <c r="L43" s="255"/>
      <c r="M43" s="261">
        <f>IF(J43="CUMPLE",0,1)</f>
        <v>0</v>
      </c>
      <c r="N43" s="36"/>
      <c r="O43" s="31"/>
      <c r="P43" s="31"/>
      <c r="Q43" s="31"/>
    </row>
    <row r="44" spans="1:52" s="37" customFormat="1" ht="27.75" customHeight="1" thickBot="1">
      <c r="A44" s="247"/>
      <c r="B44" s="248"/>
      <c r="C44" s="249"/>
      <c r="D44" s="278"/>
      <c r="E44" s="44" t="s">
        <v>68</v>
      </c>
      <c r="F44" s="76">
        <f>+F35</f>
        <v>1702163601</v>
      </c>
      <c r="G44" s="76"/>
      <c r="H44" s="33"/>
      <c r="I44" s="280"/>
      <c r="J44" s="281"/>
      <c r="K44" s="260"/>
      <c r="L44" s="256"/>
      <c r="M44" s="261"/>
      <c r="N44" s="31"/>
      <c r="O44" s="31"/>
      <c r="P44" s="31"/>
      <c r="Q44" s="31"/>
    </row>
    <row r="45" spans="1:52" ht="34.5" customHeight="1" thickBot="1">
      <c r="A45" s="4"/>
      <c r="B45" s="4"/>
      <c r="C45" s="4"/>
      <c r="D45" s="4"/>
      <c r="E45" s="272" t="s">
        <v>69</v>
      </c>
      <c r="F45" s="273"/>
      <c r="G45" s="274"/>
      <c r="H45" s="38"/>
      <c r="I45" s="275" t="str">
        <f>IF(M45&gt;0,"NO CUMPLE","CUMPLE")</f>
        <v>CUMPLE</v>
      </c>
      <c r="J45" s="276"/>
      <c r="K45" s="277"/>
      <c r="L45" s="4"/>
      <c r="M45" s="81">
        <f>SUM(M31:M44)</f>
        <v>0</v>
      </c>
      <c r="N45" s="3"/>
      <c r="O45" s="3"/>
      <c r="P45" s="3"/>
      <c r="Q45" s="3"/>
    </row>
    <row r="46" spans="1:52">
      <c r="A46" s="4"/>
      <c r="B46" s="4"/>
      <c r="C46" s="4"/>
      <c r="D46" s="4"/>
      <c r="E46" s="38"/>
      <c r="F46" s="38"/>
      <c r="G46" s="38"/>
      <c r="H46" s="38"/>
      <c r="I46" s="38"/>
      <c r="J46" s="38"/>
      <c r="K46" s="38"/>
      <c r="L46" s="4"/>
      <c r="N46" s="3"/>
      <c r="O46" s="3"/>
      <c r="P46" s="3"/>
      <c r="Q46" s="3"/>
    </row>
    <row r="47" spans="1:52">
      <c r="A47" s="4"/>
      <c r="B47" s="4"/>
      <c r="C47" s="4"/>
      <c r="D47" s="4"/>
      <c r="E47" s="4"/>
      <c r="F47" s="4"/>
      <c r="G47" s="4"/>
      <c r="H47" s="4"/>
      <c r="I47" s="4"/>
      <c r="J47" s="4"/>
      <c r="K47" s="4"/>
      <c r="L47" s="4"/>
      <c r="N47" s="3"/>
      <c r="O47" s="3"/>
      <c r="P47" s="3"/>
      <c r="Q47" s="3"/>
    </row>
    <row r="48" spans="1:52">
      <c r="A48" s="4"/>
      <c r="B48" s="4"/>
      <c r="C48" s="4"/>
      <c r="D48" s="4"/>
      <c r="E48" s="4"/>
      <c r="F48" s="4"/>
      <c r="G48" s="4"/>
      <c r="H48" s="4"/>
      <c r="I48" s="4"/>
      <c r="J48" s="4"/>
      <c r="K48" s="4"/>
      <c r="L48" s="4"/>
      <c r="N48" s="3"/>
      <c r="O48" s="3"/>
      <c r="P48" s="3"/>
      <c r="Q48" s="3"/>
    </row>
  </sheetData>
  <sheetProtection algorithmName="SHA-512" hashValue="z5FI4102XbhxcTSPumTr1BFNFym3UcRplEwK25n3gmKKT3slQeEbQTb3ChlzVmJJyndJnltC51e+HXqjuDNEwQ==" saltValue="27u19wrvcIPVFznZjGANCw==" spinCount="100000" sheet="1" objects="1" scenarios="1"/>
  <mergeCells count="102">
    <mergeCell ref="C1:K1"/>
    <mergeCell ref="D3:K3"/>
    <mergeCell ref="D4:K4"/>
    <mergeCell ref="D5:K5"/>
    <mergeCell ref="C7:K7"/>
    <mergeCell ref="C8:K8"/>
    <mergeCell ref="D12:I12"/>
    <mergeCell ref="J12:K12"/>
    <mergeCell ref="C13:K13"/>
    <mergeCell ref="C14:K14"/>
    <mergeCell ref="D15:I15"/>
    <mergeCell ref="J15:K15"/>
    <mergeCell ref="D9:I9"/>
    <mergeCell ref="J9:K9"/>
    <mergeCell ref="D10:I10"/>
    <mergeCell ref="J10:K10"/>
    <mergeCell ref="D11:I11"/>
    <mergeCell ref="J11:K11"/>
    <mergeCell ref="C20:K20"/>
    <mergeCell ref="D22:I22"/>
    <mergeCell ref="J22:K22"/>
    <mergeCell ref="D23:I23"/>
    <mergeCell ref="J23:K23"/>
    <mergeCell ref="D24:I24"/>
    <mergeCell ref="J24:K24"/>
    <mergeCell ref="D16:I16"/>
    <mergeCell ref="J16:K16"/>
    <mergeCell ref="D17:I17"/>
    <mergeCell ref="J17:K17"/>
    <mergeCell ref="D18:I18"/>
    <mergeCell ref="J18:K18"/>
    <mergeCell ref="D25:I25"/>
    <mergeCell ref="J25:K25"/>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4"/>
    <mergeCell ref="K35:K36"/>
    <mergeCell ref="K39:K40"/>
    <mergeCell ref="K43:K44"/>
    <mergeCell ref="M31:M32"/>
    <mergeCell ref="A33:A34"/>
    <mergeCell ref="B33:B34"/>
    <mergeCell ref="C33:C34"/>
    <mergeCell ref="D33:D34"/>
    <mergeCell ref="I33:I34"/>
    <mergeCell ref="J33:J34"/>
    <mergeCell ref="K33:K34"/>
    <mergeCell ref="M33:M34"/>
    <mergeCell ref="M35:M36"/>
    <mergeCell ref="A37:A38"/>
    <mergeCell ref="B37:B38"/>
    <mergeCell ref="C37:C38"/>
    <mergeCell ref="D37:D38"/>
    <mergeCell ref="I37:I38"/>
    <mergeCell ref="J37:J38"/>
    <mergeCell ref="K37:K38"/>
    <mergeCell ref="M37:M38"/>
    <mergeCell ref="A35:A36"/>
    <mergeCell ref="B35:B36"/>
    <mergeCell ref="C35:C36"/>
    <mergeCell ref="D35:D36"/>
    <mergeCell ref="I35:I36"/>
    <mergeCell ref="J35:J36"/>
    <mergeCell ref="M39:M40"/>
    <mergeCell ref="A41:A42"/>
    <mergeCell ref="B41:B42"/>
    <mergeCell ref="C41:C42"/>
    <mergeCell ref="D41:D42"/>
    <mergeCell ref="I41:I42"/>
    <mergeCell ref="J41:J42"/>
    <mergeCell ref="K41:K42"/>
    <mergeCell ref="M41:M42"/>
    <mergeCell ref="A39:A40"/>
    <mergeCell ref="B39:B40"/>
    <mergeCell ref="C39:C40"/>
    <mergeCell ref="D39:D40"/>
    <mergeCell ref="I39:I40"/>
    <mergeCell ref="J39:J40"/>
    <mergeCell ref="M43:M44"/>
    <mergeCell ref="E45:G45"/>
    <mergeCell ref="I45:K45"/>
    <mergeCell ref="A43:A44"/>
    <mergeCell ref="B43:B44"/>
    <mergeCell ref="C43:C44"/>
    <mergeCell ref="D43:D44"/>
    <mergeCell ref="I43:I44"/>
    <mergeCell ref="J43:J44"/>
  </mergeCells>
  <conditionalFormatting sqref="J10:J12">
    <cfRule type="cellIs" dxfId="211" priority="11" operator="equal">
      <formula>"CUMPLE"</formula>
    </cfRule>
  </conditionalFormatting>
  <conditionalFormatting sqref="J16:J18">
    <cfRule type="cellIs" dxfId="210" priority="1" operator="equal">
      <formula>"CUMPLE"</formula>
    </cfRule>
  </conditionalFormatting>
  <conditionalFormatting sqref="J23:J25">
    <cfRule type="cellIs" dxfId="209" priority="3" operator="equal">
      <formula>"CUMPLE"</formula>
    </cfRule>
  </conditionalFormatting>
  <conditionalFormatting sqref="J31:J44">
    <cfRule type="cellIs" dxfId="208" priority="6" operator="equal">
      <formula>"CUMPLE"</formula>
    </cfRule>
    <cfRule type="cellIs" dxfId="207" priority="7" operator="equal">
      <formula>"NO CUMPLE"</formula>
    </cfRule>
  </conditionalFormatting>
  <conditionalFormatting sqref="J19:K19">
    <cfRule type="cellIs" dxfId="206" priority="10" operator="equal">
      <formula>"CUMPLE"</formula>
    </cfRule>
  </conditionalFormatting>
  <conditionalFormatting sqref="J26:K26">
    <cfRule type="cellIs" dxfId="205" priority="2" operator="equal">
      <formula>"CUMPLE"</formula>
    </cfRule>
  </conditionalFormatting>
  <conditionalFormatting sqref="K31">
    <cfRule type="cellIs" dxfId="204" priority="20" operator="equal">
      <formula>"CUMPLE"</formula>
    </cfRule>
    <cfRule type="cellIs" dxfId="203" priority="21" operator="equal">
      <formula>"NO CUMPLE"</formula>
    </cfRule>
  </conditionalFormatting>
  <conditionalFormatting sqref="K33 K35 K39 K41">
    <cfRule type="cellIs" dxfId="202" priority="16" operator="equal">
      <formula>"CUMPLE"</formula>
    </cfRule>
    <cfRule type="cellIs" dxfId="201" priority="17" operator="equal">
      <formula>"NO CUMPLE"</formula>
    </cfRule>
  </conditionalFormatting>
  <conditionalFormatting sqref="K37">
    <cfRule type="cellIs" dxfId="200" priority="4" operator="equal">
      <formula>"CUMPLE"</formula>
    </cfRule>
    <cfRule type="cellIs" dxfId="199" priority="5" operator="equal">
      <formula>"NO CUMPLE"</formula>
    </cfRule>
  </conditionalFormatting>
  <conditionalFormatting sqref="K43">
    <cfRule type="cellIs" dxfId="198" priority="8" operator="equal">
      <formula>"CUMPLE"</formula>
    </cfRule>
    <cfRule type="cellIs" dxfId="197" priority="9" operator="equal">
      <formula>"NO CUMPLE"</formula>
    </cfRule>
  </conditionalFormatting>
  <conditionalFormatting sqref="M10:M12">
    <cfRule type="cellIs" dxfId="196" priority="14" operator="equal">
      <formula>"CUMPLE"</formula>
    </cfRule>
    <cfRule type="cellIs" dxfId="195" priority="15" operator="equal">
      <formula>"NO CUMPLE"</formula>
    </cfRule>
  </conditionalFormatting>
  <conditionalFormatting sqref="M16:M19 M23:M26">
    <cfRule type="cellIs" dxfId="194" priority="12" operator="equal">
      <formula>"CUMPLE"</formula>
    </cfRule>
    <cfRule type="cellIs" dxfId="193" priority="13" operator="equal">
      <formula>"NO CUMPLE"</formula>
    </cfRule>
  </conditionalFormatting>
  <conditionalFormatting sqref="M31 M33 M35 M37 M39 M41 M43">
    <cfRule type="cellIs" dxfId="192" priority="18" operator="equal">
      <formula>"CUMPLE"</formula>
    </cfRule>
    <cfRule type="cellIs" dxfId="191" priority="19" operator="equal">
      <formula>"NO CUMPLE"</formula>
    </cfRule>
  </conditionalFormatting>
  <pageMargins left="0.70866141732283472" right="0.70866141732283472" top="0.74803149606299213" bottom="0.74803149606299213" header="0.31496062992125984" footer="0.31496062992125984"/>
  <pageSetup scale="33"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8D112-3178-4C3E-AFA5-C2F45657E566}">
  <sheetPr>
    <tabColor rgb="FFFF0000"/>
  </sheetPr>
  <dimension ref="A1:BO148"/>
  <sheetViews>
    <sheetView showGridLines="0" topLeftCell="A129" zoomScale="70" zoomScaleNormal="70" workbookViewId="0">
      <selection activeCell="N136" sqref="N136"/>
    </sheetView>
  </sheetViews>
  <sheetFormatPr baseColWidth="10" defaultColWidth="11.42578125" defaultRowHeight="15"/>
  <cols>
    <col min="2" max="2" width="8.5703125" customWidth="1"/>
    <col min="3" max="3" width="8" customWidth="1"/>
    <col min="4" max="4" width="23.85546875" bestFit="1" customWidth="1"/>
    <col min="5" max="5" width="64.140625" customWidth="1"/>
    <col min="6" max="6" width="19.140625" bestFit="1" customWidth="1"/>
    <col min="7" max="7" width="18.28515625" customWidth="1"/>
    <col min="8" max="8" width="27" customWidth="1"/>
    <col min="9" max="10" width="32.140625" customWidth="1"/>
    <col min="11" max="11" width="20" customWidth="1"/>
    <col min="12" max="12" width="20.7109375" customWidth="1"/>
    <col min="13" max="13" width="3.85546875" customWidth="1"/>
    <col min="14" max="14" width="19.42578125" customWidth="1"/>
    <col min="15" max="15" width="20.7109375" customWidth="1"/>
    <col min="16" max="16" width="10.5703125" customWidth="1"/>
    <col min="17" max="17" width="20.7109375" customWidth="1"/>
    <col min="18" max="18" width="19.28515625" customWidth="1"/>
    <col min="19" max="19" width="20.28515625" customWidth="1"/>
    <col min="20" max="20" width="20.85546875" customWidth="1"/>
    <col min="21" max="21" width="22" customWidth="1"/>
    <col min="22" max="22" width="20.140625" bestFit="1" customWidth="1"/>
    <col min="23" max="23" width="18.5703125" bestFit="1" customWidth="1"/>
  </cols>
  <sheetData>
    <row r="1" spans="1:67" ht="15" customHeight="1">
      <c r="A1" s="330"/>
      <c r="B1" s="331"/>
      <c r="C1" s="331"/>
      <c r="D1" s="332"/>
      <c r="E1" s="339" t="s">
        <v>70</v>
      </c>
      <c r="F1" s="340"/>
      <c r="G1" s="340"/>
      <c r="H1" s="340"/>
      <c r="I1" s="340"/>
      <c r="J1" s="341"/>
    </row>
    <row r="2" spans="1:67">
      <c r="A2" s="333"/>
      <c r="B2" s="334"/>
      <c r="C2" s="334"/>
      <c r="D2" s="335"/>
      <c r="E2" s="342"/>
      <c r="F2" s="343"/>
      <c r="G2" s="343"/>
      <c r="H2" s="343"/>
      <c r="I2" s="343"/>
      <c r="J2" s="344"/>
    </row>
    <row r="3" spans="1:67">
      <c r="A3" s="333"/>
      <c r="B3" s="334"/>
      <c r="C3" s="334"/>
      <c r="D3" s="335"/>
      <c r="E3" s="342"/>
      <c r="F3" s="343"/>
      <c r="G3" s="343"/>
      <c r="H3" s="343"/>
      <c r="I3" s="343"/>
      <c r="J3" s="344"/>
    </row>
    <row r="4" spans="1:67" ht="38.25" customHeight="1" thickBot="1">
      <c r="A4" s="336"/>
      <c r="B4" s="337"/>
      <c r="C4" s="337"/>
      <c r="D4" s="338"/>
      <c r="E4" s="345"/>
      <c r="F4" s="346"/>
      <c r="G4" s="346"/>
      <c r="H4" s="346"/>
      <c r="I4" s="346"/>
      <c r="J4" s="347"/>
    </row>
    <row r="5" spans="1:67" ht="42" customHeight="1" thickBot="1">
      <c r="A5" s="348" t="s">
        <v>71</v>
      </c>
      <c r="B5" s="349"/>
      <c r="C5" s="349"/>
      <c r="D5" s="349"/>
      <c r="E5" s="349"/>
      <c r="F5" s="349"/>
      <c r="G5" s="349"/>
      <c r="H5" s="349"/>
      <c r="I5" s="349"/>
      <c r="J5" s="349"/>
      <c r="M5" s="172">
        <v>0.97484999999999999</v>
      </c>
    </row>
    <row r="6" spans="1:67" ht="34.5" customHeight="1" thickBot="1">
      <c r="A6" s="317" t="s">
        <v>72</v>
      </c>
      <c r="B6" s="318"/>
      <c r="C6" s="318"/>
      <c r="D6" s="319"/>
      <c r="E6" s="329"/>
      <c r="F6" s="321"/>
      <c r="G6" s="321"/>
      <c r="H6" s="321"/>
      <c r="I6" s="321"/>
      <c r="J6" s="322"/>
    </row>
    <row r="7" spans="1:67" ht="53.25" customHeight="1" thickBot="1">
      <c r="A7" s="317" t="s">
        <v>73</v>
      </c>
      <c r="B7" s="318"/>
      <c r="C7" s="318"/>
      <c r="D7" s="319"/>
      <c r="E7" s="350" t="s">
        <v>74</v>
      </c>
      <c r="F7" s="351"/>
      <c r="G7" s="351"/>
      <c r="H7" s="351"/>
      <c r="I7" s="351"/>
      <c r="J7" s="352"/>
    </row>
    <row r="8" spans="1:67" ht="27" customHeight="1" thickBot="1">
      <c r="A8" s="317" t="s">
        <v>75</v>
      </c>
      <c r="B8" s="318"/>
      <c r="C8" s="318"/>
      <c r="D8" s="319"/>
      <c r="E8" s="329"/>
      <c r="F8" s="321"/>
      <c r="G8" s="321"/>
      <c r="H8" s="321"/>
      <c r="I8" s="321"/>
      <c r="J8" s="322"/>
    </row>
    <row r="9" spans="1:67" ht="27" customHeight="1" thickBot="1">
      <c r="A9" s="317" t="s">
        <v>77</v>
      </c>
      <c r="B9" s="318"/>
      <c r="C9" s="318"/>
      <c r="D9" s="319"/>
      <c r="E9" s="329"/>
      <c r="F9" s="321"/>
      <c r="G9" s="321"/>
      <c r="H9" s="321"/>
      <c r="I9" s="321"/>
      <c r="J9" s="322"/>
    </row>
    <row r="10" spans="1:67" ht="27" customHeight="1" thickBot="1">
      <c r="A10" s="317" t="s">
        <v>79</v>
      </c>
      <c r="B10" s="318"/>
      <c r="C10" s="318"/>
      <c r="D10" s="319"/>
      <c r="E10" s="329"/>
      <c r="F10" s="321"/>
      <c r="G10" s="321"/>
      <c r="H10" s="321"/>
      <c r="I10" s="321"/>
      <c r="J10" s="322"/>
    </row>
    <row r="11" spans="1:67" ht="27" customHeight="1" thickBot="1">
      <c r="A11" s="317" t="s">
        <v>81</v>
      </c>
      <c r="B11" s="318"/>
      <c r="C11" s="318"/>
      <c r="D11" s="319"/>
      <c r="E11" s="329"/>
      <c r="F11" s="321"/>
      <c r="G11" s="321"/>
      <c r="H11" s="321"/>
      <c r="I11" s="321"/>
      <c r="J11" s="322"/>
    </row>
    <row r="12" spans="1:67" ht="225.75" customHeight="1" thickBot="1">
      <c r="A12" s="323" t="s">
        <v>82</v>
      </c>
      <c r="B12" s="324"/>
      <c r="C12" s="324"/>
      <c r="D12" s="324"/>
      <c r="E12" s="324"/>
      <c r="F12" s="324"/>
      <c r="G12" s="324"/>
      <c r="H12" s="324"/>
      <c r="I12" s="324"/>
      <c r="J12" s="325"/>
    </row>
    <row r="13" spans="1:67" ht="12.75" customHeight="1"/>
    <row r="14" spans="1:67" ht="48" customHeight="1">
      <c r="A14" s="326" t="s">
        <v>83</v>
      </c>
      <c r="B14" s="326"/>
      <c r="C14" s="326" t="s">
        <v>84</v>
      </c>
      <c r="D14" s="326"/>
      <c r="E14" s="326"/>
      <c r="F14" s="327" t="s">
        <v>85</v>
      </c>
      <c r="G14" s="327" t="s">
        <v>86</v>
      </c>
      <c r="H14" s="327" t="s">
        <v>87</v>
      </c>
      <c r="I14" s="328" t="s">
        <v>88</v>
      </c>
      <c r="J14" s="328"/>
      <c r="BO14" s="84"/>
    </row>
    <row r="15" spans="1:67" ht="63" customHeight="1">
      <c r="A15" s="326"/>
      <c r="B15" s="326"/>
      <c r="C15" s="326"/>
      <c r="D15" s="326"/>
      <c r="E15" s="326"/>
      <c r="F15" s="327"/>
      <c r="G15" s="327"/>
      <c r="H15" s="327"/>
      <c r="I15" s="85" t="s">
        <v>89</v>
      </c>
      <c r="J15" s="85" t="s">
        <v>90</v>
      </c>
      <c r="K15" s="132" t="s">
        <v>91</v>
      </c>
      <c r="L15" s="173" t="s">
        <v>296</v>
      </c>
      <c r="BO15" s="84"/>
    </row>
    <row r="16" spans="1:67" ht="58.5" customHeight="1">
      <c r="A16" s="310" t="s">
        <v>93</v>
      </c>
      <c r="B16" s="310"/>
      <c r="C16" s="303" t="s">
        <v>94</v>
      </c>
      <c r="D16" s="303"/>
      <c r="E16" s="303"/>
      <c r="F16" s="86" t="s">
        <v>95</v>
      </c>
      <c r="G16" s="87">
        <v>2000</v>
      </c>
      <c r="H16" s="88">
        <v>16341</v>
      </c>
      <c r="I16" s="88">
        <f>ROUND($M$5*H16,0)</f>
        <v>15930</v>
      </c>
      <c r="J16" s="88">
        <f>+ROUND(I16*G16,0)</f>
        <v>31860000</v>
      </c>
      <c r="K16" s="133">
        <f>I16-H16</f>
        <v>-411</v>
      </c>
      <c r="L16" s="134">
        <f>I16/H16</f>
        <v>0.97484854048099867</v>
      </c>
      <c r="O16" t="str">
        <f>+IF(I16&lt;H16,"OK",IF(I16=0," "))</f>
        <v>OK</v>
      </c>
      <c r="BO16" s="89"/>
    </row>
    <row r="17" spans="1:67" ht="60.75" customHeight="1">
      <c r="A17" s="310" t="s">
        <v>96</v>
      </c>
      <c r="B17" s="310"/>
      <c r="C17" s="303" t="s">
        <v>97</v>
      </c>
      <c r="D17" s="303"/>
      <c r="E17" s="303"/>
      <c r="F17" s="86" t="s">
        <v>98</v>
      </c>
      <c r="G17" s="87">
        <v>300</v>
      </c>
      <c r="H17" s="88">
        <v>43227</v>
      </c>
      <c r="I17" s="88">
        <f t="shared" ref="I17:I80" si="0">ROUND($M$5*H17,0)</f>
        <v>42140</v>
      </c>
      <c r="J17" s="88">
        <f t="shared" ref="J17:J72" si="1">+ROUND(I17*G17,0)</f>
        <v>12642000</v>
      </c>
      <c r="K17" s="133">
        <f t="shared" ref="K17:K80" si="2">I17-H17</f>
        <v>-1087</v>
      </c>
      <c r="L17" s="134">
        <f t="shared" ref="L17:L80" si="3">I17/H17</f>
        <v>0.97485367941332968</v>
      </c>
      <c r="O17" t="str">
        <f t="shared" ref="O17:O80" si="4">+IF(I17&lt;H17,"OK",IF(I17=0," "))</f>
        <v>OK</v>
      </c>
      <c r="BO17" s="90"/>
    </row>
    <row r="18" spans="1:67" ht="60.75" customHeight="1">
      <c r="A18" s="310" t="s">
        <v>99</v>
      </c>
      <c r="B18" s="310"/>
      <c r="C18" s="303" t="s">
        <v>100</v>
      </c>
      <c r="D18" s="303"/>
      <c r="E18" s="303"/>
      <c r="F18" s="86" t="s">
        <v>98</v>
      </c>
      <c r="G18" s="87">
        <v>2332.42</v>
      </c>
      <c r="H18" s="88">
        <v>30375</v>
      </c>
      <c r="I18" s="88">
        <f t="shared" si="0"/>
        <v>29611</v>
      </c>
      <c r="J18" s="88">
        <f t="shared" si="1"/>
        <v>69065289</v>
      </c>
      <c r="K18" s="133">
        <f t="shared" si="2"/>
        <v>-764</v>
      </c>
      <c r="L18" s="134">
        <f t="shared" si="3"/>
        <v>0.97484773662551438</v>
      </c>
      <c r="O18" t="str">
        <f t="shared" si="4"/>
        <v>OK</v>
      </c>
      <c r="BO18" s="89"/>
    </row>
    <row r="19" spans="1:67" ht="60.75" customHeight="1">
      <c r="A19" s="310" t="s">
        <v>101</v>
      </c>
      <c r="B19" s="310"/>
      <c r="C19" s="303" t="s">
        <v>102</v>
      </c>
      <c r="D19" s="303"/>
      <c r="E19" s="303"/>
      <c r="F19" s="86" t="s">
        <v>98</v>
      </c>
      <c r="G19" s="87">
        <v>2332.42</v>
      </c>
      <c r="H19" s="88">
        <v>64685</v>
      </c>
      <c r="I19" s="88">
        <f t="shared" si="0"/>
        <v>63058</v>
      </c>
      <c r="J19" s="88">
        <f t="shared" si="1"/>
        <v>147077740</v>
      </c>
      <c r="K19" s="133">
        <f t="shared" si="2"/>
        <v>-1627</v>
      </c>
      <c r="L19" s="134">
        <f t="shared" si="3"/>
        <v>0.97484733709515348</v>
      </c>
      <c r="O19" t="str">
        <f t="shared" si="4"/>
        <v>OK</v>
      </c>
      <c r="BO19" s="90"/>
    </row>
    <row r="20" spans="1:67" ht="60.75" customHeight="1">
      <c r="A20" s="310" t="s">
        <v>103</v>
      </c>
      <c r="B20" s="310"/>
      <c r="C20" s="303" t="s">
        <v>104</v>
      </c>
      <c r="D20" s="303"/>
      <c r="E20" s="303"/>
      <c r="F20" s="86" t="s">
        <v>98</v>
      </c>
      <c r="G20" s="87">
        <v>2332.42</v>
      </c>
      <c r="H20" s="88">
        <v>129968</v>
      </c>
      <c r="I20" s="88">
        <f t="shared" si="0"/>
        <v>126699</v>
      </c>
      <c r="J20" s="88">
        <f t="shared" si="1"/>
        <v>295515282</v>
      </c>
      <c r="K20" s="133">
        <f t="shared" si="2"/>
        <v>-3269</v>
      </c>
      <c r="L20" s="134">
        <f t="shared" si="3"/>
        <v>0.97484765480733715</v>
      </c>
      <c r="O20" t="str">
        <f t="shared" si="4"/>
        <v>OK</v>
      </c>
      <c r="BO20" s="90"/>
    </row>
    <row r="21" spans="1:67" ht="60.75" customHeight="1">
      <c r="A21" s="310" t="s">
        <v>105</v>
      </c>
      <c r="B21" s="310"/>
      <c r="C21" s="303" t="s">
        <v>106</v>
      </c>
      <c r="D21" s="303"/>
      <c r="E21" s="303"/>
      <c r="F21" s="86" t="s">
        <v>98</v>
      </c>
      <c r="G21" s="87">
        <v>150</v>
      </c>
      <c r="H21" s="88">
        <v>53922</v>
      </c>
      <c r="I21" s="88">
        <f t="shared" si="0"/>
        <v>52566</v>
      </c>
      <c r="J21" s="88">
        <f t="shared" si="1"/>
        <v>7884900</v>
      </c>
      <c r="K21" s="133">
        <f t="shared" si="2"/>
        <v>-1356</v>
      </c>
      <c r="L21" s="134">
        <f t="shared" si="3"/>
        <v>0.97485256481584515</v>
      </c>
      <c r="O21" t="str">
        <f t="shared" si="4"/>
        <v>OK</v>
      </c>
      <c r="BC21" s="91"/>
      <c r="BD21" s="92"/>
      <c r="BE21" s="91"/>
      <c r="BF21" s="91"/>
      <c r="BG21" s="93"/>
      <c r="BI21" s="91"/>
      <c r="BJ21" s="92"/>
      <c r="BK21" s="91"/>
      <c r="BL21" s="91"/>
      <c r="BM21" s="93"/>
      <c r="BO21" s="90"/>
    </row>
    <row r="22" spans="1:67" ht="60.75" customHeight="1">
      <c r="A22" s="310" t="s">
        <v>107</v>
      </c>
      <c r="B22" s="310"/>
      <c r="C22" s="303" t="s">
        <v>108</v>
      </c>
      <c r="D22" s="303"/>
      <c r="E22" s="303"/>
      <c r="F22" s="86" t="s">
        <v>98</v>
      </c>
      <c r="G22" s="87">
        <v>150</v>
      </c>
      <c r="H22" s="88">
        <v>305942</v>
      </c>
      <c r="I22" s="88">
        <f t="shared" si="0"/>
        <v>298248</v>
      </c>
      <c r="J22" s="88">
        <f t="shared" si="1"/>
        <v>44737200</v>
      </c>
      <c r="K22" s="133">
        <f t="shared" si="2"/>
        <v>-7694</v>
      </c>
      <c r="L22" s="134">
        <f t="shared" si="3"/>
        <v>0.97485144243026456</v>
      </c>
      <c r="O22" t="str">
        <f t="shared" si="4"/>
        <v>OK</v>
      </c>
      <c r="BC22" s="91"/>
      <c r="BD22" s="92"/>
      <c r="BE22" s="91"/>
      <c r="BF22" s="91"/>
      <c r="BG22" s="93"/>
      <c r="BI22" s="91"/>
      <c r="BJ22" s="92"/>
      <c r="BK22" s="91"/>
      <c r="BL22" s="91"/>
      <c r="BM22" s="93"/>
      <c r="BO22" s="90"/>
    </row>
    <row r="23" spans="1:67" ht="92.25" customHeight="1">
      <c r="A23" s="310" t="s">
        <v>109</v>
      </c>
      <c r="B23" s="310"/>
      <c r="C23" s="303" t="s">
        <v>110</v>
      </c>
      <c r="D23" s="303"/>
      <c r="E23" s="303"/>
      <c r="F23" s="86" t="s">
        <v>95</v>
      </c>
      <c r="G23" s="87">
        <v>231</v>
      </c>
      <c r="H23" s="88">
        <v>125271</v>
      </c>
      <c r="I23" s="88">
        <f t="shared" si="0"/>
        <v>122120</v>
      </c>
      <c r="J23" s="88">
        <f t="shared" si="1"/>
        <v>28209720</v>
      </c>
      <c r="K23" s="133">
        <f t="shared" si="2"/>
        <v>-3151</v>
      </c>
      <c r="L23" s="134">
        <f t="shared" si="3"/>
        <v>0.97484653271706945</v>
      </c>
      <c r="O23" t="str">
        <f t="shared" si="4"/>
        <v>OK</v>
      </c>
      <c r="BC23" s="91"/>
      <c r="BD23" s="92"/>
      <c r="BE23" s="91"/>
      <c r="BF23" s="91"/>
      <c r="BG23" s="93"/>
      <c r="BI23" s="91"/>
      <c r="BJ23" s="92"/>
      <c r="BK23" s="91"/>
      <c r="BL23" s="91"/>
      <c r="BM23" s="93"/>
      <c r="BO23" s="90"/>
    </row>
    <row r="24" spans="1:67" ht="60.75" customHeight="1">
      <c r="A24" s="310" t="s">
        <v>111</v>
      </c>
      <c r="B24" s="310"/>
      <c r="C24" s="303" t="s">
        <v>112</v>
      </c>
      <c r="D24" s="303"/>
      <c r="E24" s="303"/>
      <c r="F24" s="86" t="s">
        <v>113</v>
      </c>
      <c r="G24" s="87">
        <v>50</v>
      </c>
      <c r="H24" s="88">
        <v>88909</v>
      </c>
      <c r="I24" s="88">
        <f t="shared" si="0"/>
        <v>86673</v>
      </c>
      <c r="J24" s="88">
        <f t="shared" si="1"/>
        <v>4333650</v>
      </c>
      <c r="K24" s="133">
        <f t="shared" si="2"/>
        <v>-2236</v>
      </c>
      <c r="L24" s="134">
        <f t="shared" si="3"/>
        <v>0.97485069003138036</v>
      </c>
      <c r="O24" t="str">
        <f t="shared" si="4"/>
        <v>OK</v>
      </c>
      <c r="BC24" s="91"/>
      <c r="BD24" s="92"/>
      <c r="BE24" s="91"/>
      <c r="BF24" s="91"/>
      <c r="BG24" s="93"/>
      <c r="BI24" s="91"/>
      <c r="BJ24" s="92"/>
      <c r="BK24" s="91"/>
      <c r="BL24" s="91"/>
      <c r="BM24" s="93"/>
      <c r="BO24" s="90"/>
    </row>
    <row r="25" spans="1:67" ht="60.75" customHeight="1">
      <c r="A25" s="310" t="s">
        <v>114</v>
      </c>
      <c r="B25" s="310"/>
      <c r="C25" s="303" t="s">
        <v>115</v>
      </c>
      <c r="D25" s="303"/>
      <c r="E25" s="303"/>
      <c r="F25" s="86" t="s">
        <v>113</v>
      </c>
      <c r="G25" s="87">
        <v>50</v>
      </c>
      <c r="H25" s="88">
        <v>97000</v>
      </c>
      <c r="I25" s="88">
        <f t="shared" si="0"/>
        <v>94560</v>
      </c>
      <c r="J25" s="88">
        <f t="shared" si="1"/>
        <v>4728000</v>
      </c>
      <c r="K25" s="133">
        <f t="shared" si="2"/>
        <v>-2440</v>
      </c>
      <c r="L25" s="134">
        <f t="shared" si="3"/>
        <v>0.97484536082474227</v>
      </c>
      <c r="O25" t="str">
        <f t="shared" si="4"/>
        <v>OK</v>
      </c>
      <c r="BC25" s="91"/>
      <c r="BD25" s="92"/>
      <c r="BE25" s="91"/>
      <c r="BF25" s="91"/>
      <c r="BG25" s="93"/>
      <c r="BI25" s="91"/>
      <c r="BJ25" s="92"/>
      <c r="BK25" s="91"/>
      <c r="BL25" s="91"/>
      <c r="BM25" s="93"/>
      <c r="BO25" s="90"/>
    </row>
    <row r="26" spans="1:67" ht="60.75" customHeight="1">
      <c r="A26" s="302" t="s">
        <v>116</v>
      </c>
      <c r="B26" s="302"/>
      <c r="C26" s="303" t="s">
        <v>117</v>
      </c>
      <c r="D26" s="303"/>
      <c r="E26" s="303"/>
      <c r="F26" s="94" t="s">
        <v>98</v>
      </c>
      <c r="G26" s="95">
        <v>80</v>
      </c>
      <c r="H26" s="88">
        <v>38338</v>
      </c>
      <c r="I26" s="88">
        <f t="shared" si="0"/>
        <v>37374</v>
      </c>
      <c r="J26" s="88">
        <f t="shared" si="1"/>
        <v>2989920</v>
      </c>
      <c r="K26" s="133">
        <f t="shared" si="2"/>
        <v>-964</v>
      </c>
      <c r="L26" s="134">
        <f t="shared" si="3"/>
        <v>0.9748552350148677</v>
      </c>
      <c r="O26" t="str">
        <f t="shared" si="4"/>
        <v>OK</v>
      </c>
    </row>
    <row r="27" spans="1:67" ht="60.75" customHeight="1">
      <c r="A27" s="302" t="s">
        <v>118</v>
      </c>
      <c r="B27" s="302"/>
      <c r="C27" s="303" t="s">
        <v>119</v>
      </c>
      <c r="D27" s="303"/>
      <c r="E27" s="303"/>
      <c r="F27" s="94" t="s">
        <v>98</v>
      </c>
      <c r="G27" s="95">
        <v>1800</v>
      </c>
      <c r="H27" s="88">
        <v>35000</v>
      </c>
      <c r="I27" s="88">
        <f t="shared" si="0"/>
        <v>34120</v>
      </c>
      <c r="J27" s="88">
        <f t="shared" si="1"/>
        <v>61416000</v>
      </c>
      <c r="K27" s="133">
        <f t="shared" si="2"/>
        <v>-880</v>
      </c>
      <c r="L27" s="134">
        <f t="shared" si="3"/>
        <v>0.97485714285714287</v>
      </c>
      <c r="O27" t="str">
        <f t="shared" si="4"/>
        <v>OK</v>
      </c>
    </row>
    <row r="28" spans="1:67" ht="60.75" customHeight="1">
      <c r="A28" s="302" t="s">
        <v>120</v>
      </c>
      <c r="B28" s="302"/>
      <c r="C28" s="303" t="s">
        <v>121</v>
      </c>
      <c r="D28" s="303"/>
      <c r="E28" s="303"/>
      <c r="F28" s="94" t="s">
        <v>98</v>
      </c>
      <c r="G28" s="95">
        <v>80</v>
      </c>
      <c r="H28" s="88">
        <v>96707</v>
      </c>
      <c r="I28" s="88">
        <f t="shared" si="0"/>
        <v>94275</v>
      </c>
      <c r="J28" s="88">
        <f t="shared" si="1"/>
        <v>7542000</v>
      </c>
      <c r="K28" s="133">
        <f t="shared" si="2"/>
        <v>-2432</v>
      </c>
      <c r="L28" s="134">
        <f t="shared" si="3"/>
        <v>0.9748518721498961</v>
      </c>
      <c r="O28" t="str">
        <f t="shared" si="4"/>
        <v>OK</v>
      </c>
    </row>
    <row r="29" spans="1:67" ht="60.75" customHeight="1">
      <c r="A29" s="302" t="s">
        <v>122</v>
      </c>
      <c r="B29" s="302"/>
      <c r="C29" s="303" t="s">
        <v>123</v>
      </c>
      <c r="D29" s="303"/>
      <c r="E29" s="303"/>
      <c r="F29" s="94" t="s">
        <v>98</v>
      </c>
      <c r="G29" s="95">
        <v>80</v>
      </c>
      <c r="H29" s="88">
        <v>130500</v>
      </c>
      <c r="I29" s="88">
        <f t="shared" si="0"/>
        <v>127218</v>
      </c>
      <c r="J29" s="88">
        <f t="shared" si="1"/>
        <v>10177440</v>
      </c>
      <c r="K29" s="133">
        <f t="shared" si="2"/>
        <v>-3282</v>
      </c>
      <c r="L29" s="134">
        <f t="shared" si="3"/>
        <v>0.97485057471264369</v>
      </c>
      <c r="O29" t="str">
        <f t="shared" si="4"/>
        <v>OK</v>
      </c>
    </row>
    <row r="30" spans="1:67" ht="60.75" customHeight="1">
      <c r="A30" s="310" t="s">
        <v>124</v>
      </c>
      <c r="B30" s="310"/>
      <c r="C30" s="303" t="s">
        <v>125</v>
      </c>
      <c r="D30" s="303"/>
      <c r="E30" s="303"/>
      <c r="F30" s="94" t="s">
        <v>113</v>
      </c>
      <c r="G30" s="95">
        <v>100</v>
      </c>
      <c r="H30" s="88">
        <v>1233196</v>
      </c>
      <c r="I30" s="88">
        <f t="shared" si="0"/>
        <v>1202181</v>
      </c>
      <c r="J30" s="88">
        <f t="shared" si="1"/>
        <v>120218100</v>
      </c>
      <c r="K30" s="133">
        <f t="shared" si="2"/>
        <v>-31015</v>
      </c>
      <c r="L30" s="134">
        <f t="shared" si="3"/>
        <v>0.97484990220532663</v>
      </c>
      <c r="O30" t="str">
        <f t="shared" si="4"/>
        <v>OK</v>
      </c>
    </row>
    <row r="31" spans="1:67" ht="60.75" customHeight="1">
      <c r="A31" s="310" t="s">
        <v>126</v>
      </c>
      <c r="B31" s="310"/>
      <c r="C31" s="303" t="s">
        <v>127</v>
      </c>
      <c r="D31" s="303"/>
      <c r="E31" s="303"/>
      <c r="F31" s="94" t="s">
        <v>113</v>
      </c>
      <c r="G31" s="95">
        <v>85</v>
      </c>
      <c r="H31" s="88">
        <v>749188</v>
      </c>
      <c r="I31" s="88">
        <f t="shared" si="0"/>
        <v>730346</v>
      </c>
      <c r="J31" s="88">
        <f t="shared" si="1"/>
        <v>62079410</v>
      </c>
      <c r="K31" s="133">
        <f t="shared" si="2"/>
        <v>-18842</v>
      </c>
      <c r="L31" s="134">
        <f t="shared" si="3"/>
        <v>0.97485010437967501</v>
      </c>
      <c r="O31" t="str">
        <f t="shared" si="4"/>
        <v>OK</v>
      </c>
    </row>
    <row r="32" spans="1:67" ht="60.75" customHeight="1">
      <c r="A32" s="310" t="s">
        <v>128</v>
      </c>
      <c r="B32" s="310"/>
      <c r="C32" s="303" t="s">
        <v>129</v>
      </c>
      <c r="D32" s="303"/>
      <c r="E32" s="303"/>
      <c r="F32" s="94" t="s">
        <v>113</v>
      </c>
      <c r="G32" s="95">
        <v>20</v>
      </c>
      <c r="H32" s="88">
        <v>1242026</v>
      </c>
      <c r="I32" s="88">
        <f t="shared" si="0"/>
        <v>1210789</v>
      </c>
      <c r="J32" s="88">
        <f t="shared" si="1"/>
        <v>24215780</v>
      </c>
      <c r="K32" s="133">
        <f t="shared" si="2"/>
        <v>-31237</v>
      </c>
      <c r="L32" s="134">
        <f t="shared" si="3"/>
        <v>0.97484996288322467</v>
      </c>
      <c r="O32" t="str">
        <f t="shared" si="4"/>
        <v>OK</v>
      </c>
    </row>
    <row r="33" spans="1:15" ht="60.75" customHeight="1">
      <c r="A33" s="310" t="s">
        <v>130</v>
      </c>
      <c r="B33" s="310"/>
      <c r="C33" s="303" t="s">
        <v>131</v>
      </c>
      <c r="D33" s="303"/>
      <c r="E33" s="303"/>
      <c r="F33" s="94" t="s">
        <v>98</v>
      </c>
      <c r="G33" s="95">
        <v>45</v>
      </c>
      <c r="H33" s="88">
        <v>40656</v>
      </c>
      <c r="I33" s="88">
        <f t="shared" si="0"/>
        <v>39634</v>
      </c>
      <c r="J33" s="88">
        <f t="shared" si="1"/>
        <v>1783530</v>
      </c>
      <c r="K33" s="133">
        <f t="shared" si="2"/>
        <v>-1022</v>
      </c>
      <c r="L33" s="134">
        <f t="shared" si="3"/>
        <v>0.97486225895316803</v>
      </c>
      <c r="O33" t="str">
        <f t="shared" si="4"/>
        <v>OK</v>
      </c>
    </row>
    <row r="34" spans="1:15" ht="60.75" customHeight="1">
      <c r="A34" s="310" t="s">
        <v>132</v>
      </c>
      <c r="B34" s="310"/>
      <c r="C34" s="303" t="s">
        <v>133</v>
      </c>
      <c r="D34" s="303"/>
      <c r="E34" s="303"/>
      <c r="F34" s="94" t="s">
        <v>98</v>
      </c>
      <c r="G34" s="95">
        <v>45</v>
      </c>
      <c r="H34" s="88">
        <v>1032471</v>
      </c>
      <c r="I34" s="88">
        <f t="shared" si="0"/>
        <v>1006504</v>
      </c>
      <c r="J34" s="88">
        <f t="shared" si="1"/>
        <v>45292680</v>
      </c>
      <c r="K34" s="133">
        <f t="shared" si="2"/>
        <v>-25967</v>
      </c>
      <c r="L34" s="134">
        <f t="shared" si="3"/>
        <v>0.97484965679423441</v>
      </c>
      <c r="O34" t="str">
        <f t="shared" si="4"/>
        <v>OK</v>
      </c>
    </row>
    <row r="35" spans="1:15" ht="60.75" customHeight="1">
      <c r="A35" s="310" t="s">
        <v>134</v>
      </c>
      <c r="B35" s="310"/>
      <c r="C35" s="303" t="s">
        <v>135</v>
      </c>
      <c r="D35" s="303"/>
      <c r="E35" s="303"/>
      <c r="F35" s="94" t="s">
        <v>113</v>
      </c>
      <c r="G35" s="95">
        <v>275</v>
      </c>
      <c r="H35" s="88">
        <v>112609</v>
      </c>
      <c r="I35" s="88">
        <f t="shared" si="0"/>
        <v>109777</v>
      </c>
      <c r="J35" s="88">
        <f t="shared" si="1"/>
        <v>30188675</v>
      </c>
      <c r="K35" s="133">
        <f t="shared" si="2"/>
        <v>-2832</v>
      </c>
      <c r="L35" s="134">
        <f t="shared" si="3"/>
        <v>0.97485103322114575</v>
      </c>
      <c r="O35" t="str">
        <f t="shared" si="4"/>
        <v>OK</v>
      </c>
    </row>
    <row r="36" spans="1:15" ht="60.75" customHeight="1">
      <c r="A36" s="310" t="s">
        <v>136</v>
      </c>
      <c r="B36" s="310"/>
      <c r="C36" s="303" t="s">
        <v>137</v>
      </c>
      <c r="D36" s="303"/>
      <c r="E36" s="303"/>
      <c r="F36" s="94" t="s">
        <v>113</v>
      </c>
      <c r="G36" s="95">
        <v>1</v>
      </c>
      <c r="H36" s="88">
        <v>131148</v>
      </c>
      <c r="I36" s="88">
        <f t="shared" si="0"/>
        <v>127850</v>
      </c>
      <c r="J36" s="88">
        <f t="shared" si="1"/>
        <v>127850</v>
      </c>
      <c r="K36" s="133">
        <f t="shared" si="2"/>
        <v>-3298</v>
      </c>
      <c r="L36" s="134">
        <f t="shared" si="3"/>
        <v>0.97485283801506695</v>
      </c>
      <c r="O36" t="str">
        <f t="shared" si="4"/>
        <v>OK</v>
      </c>
    </row>
    <row r="37" spans="1:15" ht="60.75" customHeight="1">
      <c r="A37" s="310" t="s">
        <v>138</v>
      </c>
      <c r="B37" s="310"/>
      <c r="C37" s="303" t="s">
        <v>139</v>
      </c>
      <c r="D37" s="303"/>
      <c r="E37" s="303"/>
      <c r="F37" s="94" t="s">
        <v>113</v>
      </c>
      <c r="G37" s="95">
        <v>1</v>
      </c>
      <c r="H37" s="88">
        <v>1224745</v>
      </c>
      <c r="I37" s="88">
        <f t="shared" si="0"/>
        <v>1193943</v>
      </c>
      <c r="J37" s="88">
        <f t="shared" si="1"/>
        <v>1193943</v>
      </c>
      <c r="K37" s="133">
        <f t="shared" si="2"/>
        <v>-30802</v>
      </c>
      <c r="L37" s="134">
        <f t="shared" si="3"/>
        <v>0.97485027495519472</v>
      </c>
      <c r="O37" t="str">
        <f t="shared" si="4"/>
        <v>OK</v>
      </c>
    </row>
    <row r="38" spans="1:15" ht="60.75" customHeight="1">
      <c r="A38" s="310" t="s">
        <v>140</v>
      </c>
      <c r="B38" s="310"/>
      <c r="C38" s="303" t="s">
        <v>141</v>
      </c>
      <c r="D38" s="303"/>
      <c r="E38" s="303"/>
      <c r="F38" s="94" t="s">
        <v>98</v>
      </c>
      <c r="G38" s="95">
        <v>4500</v>
      </c>
      <c r="H38" s="88">
        <v>34663</v>
      </c>
      <c r="I38" s="88">
        <f t="shared" si="0"/>
        <v>33791</v>
      </c>
      <c r="J38" s="88">
        <f t="shared" si="1"/>
        <v>152059500</v>
      </c>
      <c r="K38" s="133">
        <f t="shared" si="2"/>
        <v>-872</v>
      </c>
      <c r="L38" s="134">
        <f t="shared" si="3"/>
        <v>0.9748434930617661</v>
      </c>
      <c r="O38" t="str">
        <f t="shared" si="4"/>
        <v>OK</v>
      </c>
    </row>
    <row r="39" spans="1:15" ht="60.75" customHeight="1">
      <c r="A39" s="314" t="s">
        <v>142</v>
      </c>
      <c r="B39" s="315"/>
      <c r="C39" s="315"/>
      <c r="D39" s="315"/>
      <c r="E39" s="315"/>
      <c r="F39" s="315"/>
      <c r="G39" s="315"/>
      <c r="H39" s="315"/>
      <c r="I39" s="316"/>
      <c r="J39" s="96">
        <f>SUM(J16:J38)</f>
        <v>1165338609</v>
      </c>
      <c r="K39" s="133">
        <f t="shared" si="2"/>
        <v>0</v>
      </c>
      <c r="L39" s="134" t="e">
        <f t="shared" si="3"/>
        <v>#DIV/0!</v>
      </c>
      <c r="O39" t="str">
        <f t="shared" si="4"/>
        <v xml:space="preserve"> </v>
      </c>
    </row>
    <row r="40" spans="1:15" ht="60.75" customHeight="1">
      <c r="A40" s="310" t="s">
        <v>93</v>
      </c>
      <c r="B40" s="310"/>
      <c r="C40" s="303" t="s">
        <v>143</v>
      </c>
      <c r="D40" s="303"/>
      <c r="E40" s="303"/>
      <c r="F40" s="94" t="s">
        <v>98</v>
      </c>
      <c r="G40" s="95">
        <v>250</v>
      </c>
      <c r="H40" s="88">
        <v>49033</v>
      </c>
      <c r="I40" s="88">
        <f t="shared" si="0"/>
        <v>47800</v>
      </c>
      <c r="J40" s="88">
        <f t="shared" si="1"/>
        <v>11950000</v>
      </c>
      <c r="K40" s="133">
        <f t="shared" si="2"/>
        <v>-1233</v>
      </c>
      <c r="L40" s="134">
        <f t="shared" si="3"/>
        <v>0.97485366997736222</v>
      </c>
      <c r="O40" t="str">
        <f t="shared" si="4"/>
        <v>OK</v>
      </c>
    </row>
    <row r="41" spans="1:15" ht="60.75" customHeight="1">
      <c r="A41" s="310" t="s">
        <v>96</v>
      </c>
      <c r="B41" s="310"/>
      <c r="C41" s="303" t="s">
        <v>144</v>
      </c>
      <c r="D41" s="303"/>
      <c r="E41" s="303"/>
      <c r="F41" s="94" t="s">
        <v>98</v>
      </c>
      <c r="G41" s="95">
        <v>61</v>
      </c>
      <c r="H41" s="88">
        <v>50667</v>
      </c>
      <c r="I41" s="88">
        <f t="shared" si="0"/>
        <v>49393</v>
      </c>
      <c r="J41" s="88">
        <f t="shared" si="1"/>
        <v>3012973</v>
      </c>
      <c r="K41" s="133">
        <f t="shared" si="2"/>
        <v>-1274</v>
      </c>
      <c r="L41" s="134">
        <f t="shared" si="3"/>
        <v>0.97485542858270668</v>
      </c>
      <c r="O41" t="str">
        <f t="shared" si="4"/>
        <v>OK</v>
      </c>
    </row>
    <row r="42" spans="1:15" ht="60.75" customHeight="1">
      <c r="A42" s="310" t="s">
        <v>145</v>
      </c>
      <c r="B42" s="310"/>
      <c r="C42" s="303" t="s">
        <v>117</v>
      </c>
      <c r="D42" s="303"/>
      <c r="E42" s="303"/>
      <c r="F42" s="94" t="s">
        <v>98</v>
      </c>
      <c r="G42" s="95">
        <v>1070</v>
      </c>
      <c r="H42" s="88">
        <v>36183</v>
      </c>
      <c r="I42" s="88">
        <f t="shared" si="0"/>
        <v>35273</v>
      </c>
      <c r="J42" s="88">
        <f t="shared" si="1"/>
        <v>37742110</v>
      </c>
      <c r="K42" s="133">
        <f t="shared" si="2"/>
        <v>-910</v>
      </c>
      <c r="L42" s="134">
        <f t="shared" si="3"/>
        <v>0.97485006771135618</v>
      </c>
      <c r="O42" t="str">
        <f t="shared" si="4"/>
        <v>OK</v>
      </c>
    </row>
    <row r="43" spans="1:15" ht="60.75" customHeight="1">
      <c r="A43" s="310" t="s">
        <v>146</v>
      </c>
      <c r="B43" s="310"/>
      <c r="C43" s="303" t="s">
        <v>147</v>
      </c>
      <c r="D43" s="303"/>
      <c r="E43" s="303"/>
      <c r="F43" s="94" t="s">
        <v>148</v>
      </c>
      <c r="G43" s="95">
        <v>1</v>
      </c>
      <c r="H43" s="88">
        <v>13063210</v>
      </c>
      <c r="I43" s="88">
        <f t="shared" si="0"/>
        <v>12734670</v>
      </c>
      <c r="J43" s="88">
        <f t="shared" si="1"/>
        <v>12734670</v>
      </c>
      <c r="K43" s="133">
        <f t="shared" si="2"/>
        <v>-328540</v>
      </c>
      <c r="L43" s="134">
        <f t="shared" si="3"/>
        <v>0.97484997944609331</v>
      </c>
      <c r="O43" t="str">
        <f t="shared" si="4"/>
        <v>OK</v>
      </c>
    </row>
    <row r="44" spans="1:15" ht="60.75" customHeight="1">
      <c r="A44" s="310" t="s">
        <v>149</v>
      </c>
      <c r="B44" s="310"/>
      <c r="C44" s="303" t="s">
        <v>150</v>
      </c>
      <c r="D44" s="303"/>
      <c r="E44" s="303"/>
      <c r="F44" s="94" t="s">
        <v>113</v>
      </c>
      <c r="G44" s="95">
        <v>135</v>
      </c>
      <c r="H44" s="88">
        <v>96339</v>
      </c>
      <c r="I44" s="88">
        <f t="shared" si="0"/>
        <v>93916</v>
      </c>
      <c r="J44" s="88">
        <f t="shared" si="1"/>
        <v>12678660</v>
      </c>
      <c r="K44" s="133">
        <f t="shared" si="2"/>
        <v>-2423</v>
      </c>
      <c r="L44" s="134">
        <f t="shared" si="3"/>
        <v>0.97484923032209181</v>
      </c>
      <c r="O44" t="str">
        <f t="shared" si="4"/>
        <v>OK</v>
      </c>
    </row>
    <row r="45" spans="1:15" ht="60.75" customHeight="1">
      <c r="A45" s="310" t="s">
        <v>151</v>
      </c>
      <c r="B45" s="310"/>
      <c r="C45" s="303" t="s">
        <v>152</v>
      </c>
      <c r="D45" s="303"/>
      <c r="E45" s="303"/>
      <c r="F45" s="94" t="s">
        <v>98</v>
      </c>
      <c r="G45" s="95">
        <v>78</v>
      </c>
      <c r="H45" s="88">
        <v>95199</v>
      </c>
      <c r="I45" s="88">
        <f t="shared" si="0"/>
        <v>92805</v>
      </c>
      <c r="J45" s="88">
        <f t="shared" si="1"/>
        <v>7238790</v>
      </c>
      <c r="K45" s="133">
        <f t="shared" si="2"/>
        <v>-2394</v>
      </c>
      <c r="L45" s="134">
        <f t="shared" si="3"/>
        <v>0.97485267702391831</v>
      </c>
      <c r="O45" t="str">
        <f t="shared" si="4"/>
        <v>OK</v>
      </c>
    </row>
    <row r="46" spans="1:15" ht="60.75" customHeight="1">
      <c r="A46" s="310" t="s">
        <v>99</v>
      </c>
      <c r="B46" s="310"/>
      <c r="C46" s="303" t="s">
        <v>153</v>
      </c>
      <c r="D46" s="303"/>
      <c r="E46" s="303"/>
      <c r="F46" s="94" t="s">
        <v>95</v>
      </c>
      <c r="G46" s="95">
        <v>100</v>
      </c>
      <c r="H46" s="88">
        <v>203925</v>
      </c>
      <c r="I46" s="88">
        <f t="shared" si="0"/>
        <v>198796</v>
      </c>
      <c r="J46" s="88">
        <f t="shared" si="1"/>
        <v>19879600</v>
      </c>
      <c r="K46" s="133">
        <f t="shared" si="2"/>
        <v>-5129</v>
      </c>
      <c r="L46" s="134">
        <f t="shared" si="3"/>
        <v>0.97484859629765841</v>
      </c>
      <c r="O46" t="str">
        <f t="shared" si="4"/>
        <v>OK</v>
      </c>
    </row>
    <row r="47" spans="1:15" ht="60.75" customHeight="1">
      <c r="A47" s="310" t="s">
        <v>101</v>
      </c>
      <c r="B47" s="310"/>
      <c r="C47" s="303" t="s">
        <v>154</v>
      </c>
      <c r="D47" s="303"/>
      <c r="E47" s="303"/>
      <c r="F47" s="94" t="s">
        <v>95</v>
      </c>
      <c r="G47" s="95">
        <v>130</v>
      </c>
      <c r="H47" s="88">
        <v>186288</v>
      </c>
      <c r="I47" s="88">
        <f t="shared" si="0"/>
        <v>181603</v>
      </c>
      <c r="J47" s="88">
        <f t="shared" si="1"/>
        <v>23608390</v>
      </c>
      <c r="K47" s="133">
        <f t="shared" si="2"/>
        <v>-4685</v>
      </c>
      <c r="L47" s="134">
        <f t="shared" si="3"/>
        <v>0.97485076870222453</v>
      </c>
      <c r="O47" t="str">
        <f t="shared" si="4"/>
        <v>OK</v>
      </c>
    </row>
    <row r="48" spans="1:15" ht="60.75" customHeight="1">
      <c r="A48" s="310" t="s">
        <v>116</v>
      </c>
      <c r="B48" s="310"/>
      <c r="C48" s="303" t="s">
        <v>155</v>
      </c>
      <c r="D48" s="303"/>
      <c r="E48" s="303"/>
      <c r="F48" s="94" t="s">
        <v>98</v>
      </c>
      <c r="G48" s="95">
        <v>30</v>
      </c>
      <c r="H48" s="88">
        <v>205133</v>
      </c>
      <c r="I48" s="88">
        <f t="shared" si="0"/>
        <v>199974</v>
      </c>
      <c r="J48" s="88">
        <f t="shared" si="1"/>
        <v>5999220</v>
      </c>
      <c r="K48" s="133">
        <f t="shared" si="2"/>
        <v>-5159</v>
      </c>
      <c r="L48" s="134">
        <f t="shared" si="3"/>
        <v>0.97485046287043042</v>
      </c>
      <c r="O48" t="str">
        <f t="shared" si="4"/>
        <v>OK</v>
      </c>
    </row>
    <row r="49" spans="1:15" ht="60.75" customHeight="1">
      <c r="A49" s="310" t="s">
        <v>124</v>
      </c>
      <c r="B49" s="310"/>
      <c r="C49" s="303" t="s">
        <v>156</v>
      </c>
      <c r="D49" s="303"/>
      <c r="E49" s="303"/>
      <c r="F49" s="94" t="s">
        <v>98</v>
      </c>
      <c r="G49" s="95">
        <v>1301</v>
      </c>
      <c r="H49" s="88">
        <v>131613</v>
      </c>
      <c r="I49" s="88">
        <f t="shared" si="0"/>
        <v>128303</v>
      </c>
      <c r="J49" s="88">
        <f t="shared" si="1"/>
        <v>166922203</v>
      </c>
      <c r="K49" s="133">
        <f t="shared" si="2"/>
        <v>-3310</v>
      </c>
      <c r="L49" s="134">
        <f t="shared" si="3"/>
        <v>0.97485050868835144</v>
      </c>
      <c r="O49" t="str">
        <f t="shared" si="4"/>
        <v>OK</v>
      </c>
    </row>
    <row r="50" spans="1:15" ht="60.75" customHeight="1">
      <c r="A50" s="310" t="s">
        <v>126</v>
      </c>
      <c r="B50" s="310"/>
      <c r="C50" s="303" t="s">
        <v>157</v>
      </c>
      <c r="D50" s="303"/>
      <c r="E50" s="303"/>
      <c r="F50" s="94" t="s">
        <v>98</v>
      </c>
      <c r="G50" s="95">
        <v>1301</v>
      </c>
      <c r="H50" s="88">
        <v>33384</v>
      </c>
      <c r="I50" s="88">
        <f t="shared" si="0"/>
        <v>32544</v>
      </c>
      <c r="J50" s="88">
        <f t="shared" si="1"/>
        <v>42339744</v>
      </c>
      <c r="K50" s="133">
        <f t="shared" si="2"/>
        <v>-840</v>
      </c>
      <c r="L50" s="134">
        <f t="shared" si="3"/>
        <v>0.9748382458662832</v>
      </c>
      <c r="O50" t="str">
        <f t="shared" si="4"/>
        <v>OK</v>
      </c>
    </row>
    <row r="51" spans="1:15" ht="60.75" customHeight="1">
      <c r="A51" s="302" t="s">
        <v>136</v>
      </c>
      <c r="B51" s="302"/>
      <c r="C51" s="303" t="s">
        <v>158</v>
      </c>
      <c r="D51" s="303"/>
      <c r="E51" s="303"/>
      <c r="F51" s="97" t="s">
        <v>98</v>
      </c>
      <c r="G51" s="98">
        <v>1070</v>
      </c>
      <c r="H51" s="88">
        <v>194913</v>
      </c>
      <c r="I51" s="88">
        <f t="shared" si="0"/>
        <v>190011</v>
      </c>
      <c r="J51" s="88">
        <f t="shared" si="1"/>
        <v>203311770</v>
      </c>
      <c r="K51" s="133">
        <f t="shared" si="2"/>
        <v>-4902</v>
      </c>
      <c r="L51" s="134">
        <f t="shared" si="3"/>
        <v>0.97485031783411058</v>
      </c>
      <c r="O51" t="str">
        <f t="shared" si="4"/>
        <v>OK</v>
      </c>
    </row>
    <row r="52" spans="1:15" ht="60.75" customHeight="1">
      <c r="A52" s="310" t="s">
        <v>140</v>
      </c>
      <c r="B52" s="310"/>
      <c r="C52" s="303" t="s">
        <v>159</v>
      </c>
      <c r="D52" s="303"/>
      <c r="E52" s="303"/>
      <c r="F52" s="97" t="s">
        <v>95</v>
      </c>
      <c r="G52" s="98">
        <v>2400</v>
      </c>
      <c r="H52" s="88">
        <v>20487</v>
      </c>
      <c r="I52" s="88">
        <f t="shared" si="0"/>
        <v>19972</v>
      </c>
      <c r="J52" s="88">
        <f t="shared" si="1"/>
        <v>47932800</v>
      </c>
      <c r="K52" s="133">
        <f t="shared" si="2"/>
        <v>-515</v>
      </c>
      <c r="L52" s="134">
        <f t="shared" si="3"/>
        <v>0.97486210767803971</v>
      </c>
      <c r="O52" t="str">
        <f t="shared" si="4"/>
        <v>OK</v>
      </c>
    </row>
    <row r="53" spans="1:15" ht="60.75" customHeight="1">
      <c r="A53" s="310" t="s">
        <v>160</v>
      </c>
      <c r="B53" s="310"/>
      <c r="C53" s="303" t="s">
        <v>161</v>
      </c>
      <c r="D53" s="303"/>
      <c r="E53" s="303"/>
      <c r="F53" s="97" t="s">
        <v>95</v>
      </c>
      <c r="G53" s="98">
        <v>200</v>
      </c>
      <c r="H53" s="88">
        <v>373466</v>
      </c>
      <c r="I53" s="88">
        <f t="shared" si="0"/>
        <v>364073</v>
      </c>
      <c r="J53" s="88">
        <f t="shared" si="1"/>
        <v>72814600</v>
      </c>
      <c r="K53" s="133">
        <f t="shared" si="2"/>
        <v>-9393</v>
      </c>
      <c r="L53" s="134">
        <f t="shared" si="3"/>
        <v>0.97484911611766534</v>
      </c>
      <c r="O53" t="str">
        <f t="shared" si="4"/>
        <v>OK</v>
      </c>
    </row>
    <row r="54" spans="1:15" ht="60.75" customHeight="1">
      <c r="A54" s="310" t="s">
        <v>162</v>
      </c>
      <c r="B54" s="310"/>
      <c r="C54" s="303" t="s">
        <v>163</v>
      </c>
      <c r="D54" s="303"/>
      <c r="E54" s="303"/>
      <c r="F54" s="97" t="s">
        <v>113</v>
      </c>
      <c r="G54" s="98">
        <v>240</v>
      </c>
      <c r="H54" s="88">
        <v>157875</v>
      </c>
      <c r="I54" s="88">
        <f t="shared" si="0"/>
        <v>153904</v>
      </c>
      <c r="J54" s="88">
        <f t="shared" si="1"/>
        <v>36936960</v>
      </c>
      <c r="K54" s="133">
        <f t="shared" si="2"/>
        <v>-3971</v>
      </c>
      <c r="L54" s="134">
        <f t="shared" si="3"/>
        <v>0.97484718923198732</v>
      </c>
      <c r="O54" t="str">
        <f t="shared" si="4"/>
        <v>OK</v>
      </c>
    </row>
    <row r="55" spans="1:15" ht="60.75" customHeight="1">
      <c r="A55" s="310" t="s">
        <v>164</v>
      </c>
      <c r="B55" s="310"/>
      <c r="C55" s="303" t="s">
        <v>165</v>
      </c>
      <c r="D55" s="303"/>
      <c r="E55" s="303"/>
      <c r="F55" s="97" t="s">
        <v>113</v>
      </c>
      <c r="G55" s="98">
        <v>60</v>
      </c>
      <c r="H55" s="88">
        <v>177999</v>
      </c>
      <c r="I55" s="88">
        <f t="shared" si="0"/>
        <v>173522</v>
      </c>
      <c r="J55" s="88">
        <f t="shared" si="1"/>
        <v>10411320</v>
      </c>
      <c r="K55" s="133">
        <f t="shared" si="2"/>
        <v>-4477</v>
      </c>
      <c r="L55" s="134">
        <f t="shared" si="3"/>
        <v>0.97484817330434437</v>
      </c>
      <c r="O55" t="str">
        <f t="shared" si="4"/>
        <v>OK</v>
      </c>
    </row>
    <row r="56" spans="1:15" ht="60.75" customHeight="1">
      <c r="A56" s="310" t="s">
        <v>166</v>
      </c>
      <c r="B56" s="310"/>
      <c r="C56" s="303" t="s">
        <v>167</v>
      </c>
      <c r="D56" s="303"/>
      <c r="E56" s="303"/>
      <c r="F56" s="97" t="s">
        <v>113</v>
      </c>
      <c r="G56" s="98">
        <v>82</v>
      </c>
      <c r="H56" s="88">
        <v>327191</v>
      </c>
      <c r="I56" s="88">
        <f t="shared" si="0"/>
        <v>318962</v>
      </c>
      <c r="J56" s="88">
        <f t="shared" si="1"/>
        <v>26154884</v>
      </c>
      <c r="K56" s="133">
        <f t="shared" si="2"/>
        <v>-8229</v>
      </c>
      <c r="L56" s="134">
        <f t="shared" si="3"/>
        <v>0.97484955270774565</v>
      </c>
      <c r="O56" t="str">
        <f t="shared" si="4"/>
        <v>OK</v>
      </c>
    </row>
    <row r="57" spans="1:15" ht="60.75" customHeight="1">
      <c r="A57" s="310" t="s">
        <v>168</v>
      </c>
      <c r="B57" s="310"/>
      <c r="C57" s="303" t="s">
        <v>169</v>
      </c>
      <c r="D57" s="303"/>
      <c r="E57" s="303"/>
      <c r="F57" s="97" t="s">
        <v>113</v>
      </c>
      <c r="G57" s="98">
        <v>90</v>
      </c>
      <c r="H57" s="88">
        <v>230677</v>
      </c>
      <c r="I57" s="88">
        <f t="shared" si="0"/>
        <v>224875</v>
      </c>
      <c r="J57" s="88">
        <f t="shared" si="1"/>
        <v>20238750</v>
      </c>
      <c r="K57" s="133">
        <f t="shared" si="2"/>
        <v>-5802</v>
      </c>
      <c r="L57" s="134">
        <f t="shared" si="3"/>
        <v>0.97484794756304272</v>
      </c>
      <c r="O57" t="str">
        <f t="shared" si="4"/>
        <v>OK</v>
      </c>
    </row>
    <row r="58" spans="1:15" ht="60.75" customHeight="1">
      <c r="A58" s="310" t="s">
        <v>170</v>
      </c>
      <c r="B58" s="310"/>
      <c r="C58" s="303" t="s">
        <v>171</v>
      </c>
      <c r="D58" s="303"/>
      <c r="E58" s="303"/>
      <c r="F58" s="97" t="s">
        <v>113</v>
      </c>
      <c r="G58" s="98">
        <v>7</v>
      </c>
      <c r="H58" s="88">
        <v>196020</v>
      </c>
      <c r="I58" s="88">
        <f t="shared" si="0"/>
        <v>191090</v>
      </c>
      <c r="J58" s="88">
        <f t="shared" si="1"/>
        <v>1337630</v>
      </c>
      <c r="K58" s="133">
        <f t="shared" si="2"/>
        <v>-4930</v>
      </c>
      <c r="L58" s="134">
        <f t="shared" si="3"/>
        <v>0.97484950515253543</v>
      </c>
      <c r="O58" t="str">
        <f t="shared" si="4"/>
        <v>OK</v>
      </c>
    </row>
    <row r="59" spans="1:15" ht="60.75" customHeight="1">
      <c r="A59" s="310" t="s">
        <v>172</v>
      </c>
      <c r="B59" s="310"/>
      <c r="C59" s="303" t="s">
        <v>173</v>
      </c>
      <c r="D59" s="303"/>
      <c r="E59" s="303"/>
      <c r="F59" s="97" t="s">
        <v>113</v>
      </c>
      <c r="G59" s="98">
        <v>22</v>
      </c>
      <c r="H59" s="88">
        <v>181406</v>
      </c>
      <c r="I59" s="88">
        <f t="shared" si="0"/>
        <v>176844</v>
      </c>
      <c r="J59" s="88">
        <f t="shared" si="1"/>
        <v>3890568</v>
      </c>
      <c r="K59" s="133">
        <f t="shared" si="2"/>
        <v>-4562</v>
      </c>
      <c r="L59" s="134">
        <f t="shared" si="3"/>
        <v>0.97485198946010609</v>
      </c>
      <c r="O59" t="str">
        <f t="shared" si="4"/>
        <v>OK</v>
      </c>
    </row>
    <row r="60" spans="1:15" ht="60.75" customHeight="1">
      <c r="A60" s="310" t="s">
        <v>174</v>
      </c>
      <c r="B60" s="310"/>
      <c r="C60" s="303" t="s">
        <v>175</v>
      </c>
      <c r="D60" s="303"/>
      <c r="E60" s="303"/>
      <c r="F60" s="97" t="s">
        <v>113</v>
      </c>
      <c r="G60" s="98">
        <v>10</v>
      </c>
      <c r="H60" s="88">
        <v>200830</v>
      </c>
      <c r="I60" s="88">
        <f t="shared" si="0"/>
        <v>195779</v>
      </c>
      <c r="J60" s="88">
        <f t="shared" si="1"/>
        <v>1957790</v>
      </c>
      <c r="K60" s="133">
        <f t="shared" si="2"/>
        <v>-5051</v>
      </c>
      <c r="L60" s="134">
        <f t="shared" si="3"/>
        <v>0.97484937509336256</v>
      </c>
      <c r="O60" t="str">
        <f t="shared" si="4"/>
        <v>OK</v>
      </c>
    </row>
    <row r="61" spans="1:15" ht="60.75" customHeight="1">
      <c r="A61" s="310" t="s">
        <v>176</v>
      </c>
      <c r="B61" s="310"/>
      <c r="C61" s="303" t="s">
        <v>177</v>
      </c>
      <c r="D61" s="303"/>
      <c r="E61" s="303"/>
      <c r="F61" s="97" t="s">
        <v>113</v>
      </c>
      <c r="G61" s="98">
        <v>43</v>
      </c>
      <c r="H61" s="88">
        <v>178332</v>
      </c>
      <c r="I61" s="88">
        <f t="shared" si="0"/>
        <v>173847</v>
      </c>
      <c r="J61" s="88">
        <f t="shared" si="1"/>
        <v>7475421</v>
      </c>
      <c r="K61" s="133">
        <f t="shared" si="2"/>
        <v>-4485</v>
      </c>
      <c r="L61" s="134">
        <f t="shared" si="3"/>
        <v>0.97485027925442436</v>
      </c>
      <c r="O61" t="str">
        <f t="shared" si="4"/>
        <v>OK</v>
      </c>
    </row>
    <row r="62" spans="1:15" ht="60.75" customHeight="1">
      <c r="A62" s="310" t="s">
        <v>178</v>
      </c>
      <c r="B62" s="310"/>
      <c r="C62" s="303" t="s">
        <v>179</v>
      </c>
      <c r="D62" s="303"/>
      <c r="E62" s="303"/>
      <c r="F62" s="97" t="s">
        <v>180</v>
      </c>
      <c r="G62" s="98">
        <v>300</v>
      </c>
      <c r="H62" s="88">
        <v>16471</v>
      </c>
      <c r="I62" s="88">
        <f t="shared" si="0"/>
        <v>16057</v>
      </c>
      <c r="J62" s="88">
        <f t="shared" si="1"/>
        <v>4817100</v>
      </c>
      <c r="K62" s="133">
        <f t="shared" si="2"/>
        <v>-414</v>
      </c>
      <c r="L62" s="134">
        <f t="shared" si="3"/>
        <v>0.97486491409143339</v>
      </c>
      <c r="O62" t="str">
        <f t="shared" si="4"/>
        <v>OK</v>
      </c>
    </row>
    <row r="63" spans="1:15" ht="60.75" customHeight="1">
      <c r="A63" s="310" t="s">
        <v>181</v>
      </c>
      <c r="B63" s="310"/>
      <c r="C63" s="303" t="s">
        <v>182</v>
      </c>
      <c r="D63" s="303"/>
      <c r="E63" s="303"/>
      <c r="F63" s="97" t="s">
        <v>95</v>
      </c>
      <c r="G63" s="98">
        <v>180</v>
      </c>
      <c r="H63" s="88">
        <v>159622</v>
      </c>
      <c r="I63" s="88">
        <f t="shared" si="0"/>
        <v>155608</v>
      </c>
      <c r="J63" s="88">
        <f t="shared" si="1"/>
        <v>28009440</v>
      </c>
      <c r="K63" s="133">
        <f t="shared" si="2"/>
        <v>-4014</v>
      </c>
      <c r="L63" s="134">
        <f t="shared" si="3"/>
        <v>0.97485309042613177</v>
      </c>
      <c r="O63" t="str">
        <f t="shared" si="4"/>
        <v>OK</v>
      </c>
    </row>
    <row r="64" spans="1:15" ht="60.75" customHeight="1">
      <c r="A64" s="310" t="s">
        <v>183</v>
      </c>
      <c r="B64" s="310"/>
      <c r="C64" s="303" t="s">
        <v>184</v>
      </c>
      <c r="D64" s="303"/>
      <c r="E64" s="303"/>
      <c r="F64" s="97" t="s">
        <v>95</v>
      </c>
      <c r="G64" s="98">
        <v>220</v>
      </c>
      <c r="H64" s="88">
        <v>301400</v>
      </c>
      <c r="I64" s="88">
        <f t="shared" si="0"/>
        <v>293820</v>
      </c>
      <c r="J64" s="88">
        <f t="shared" si="1"/>
        <v>64640400</v>
      </c>
      <c r="K64" s="133">
        <f t="shared" si="2"/>
        <v>-7580</v>
      </c>
      <c r="L64" s="134">
        <f t="shared" si="3"/>
        <v>0.974850696748507</v>
      </c>
      <c r="O64" t="str">
        <f t="shared" si="4"/>
        <v>OK</v>
      </c>
    </row>
    <row r="65" spans="1:15" ht="60.75" customHeight="1">
      <c r="A65" s="310" t="s">
        <v>185</v>
      </c>
      <c r="B65" s="310"/>
      <c r="C65" s="303" t="s">
        <v>186</v>
      </c>
      <c r="D65" s="303"/>
      <c r="E65" s="303"/>
      <c r="F65" s="97" t="s">
        <v>113</v>
      </c>
      <c r="G65" s="98">
        <v>2</v>
      </c>
      <c r="H65" s="88">
        <v>3554535</v>
      </c>
      <c r="I65" s="88">
        <f t="shared" si="0"/>
        <v>3465138</v>
      </c>
      <c r="J65" s="88">
        <f t="shared" si="1"/>
        <v>6930276</v>
      </c>
      <c r="K65" s="133">
        <f t="shared" si="2"/>
        <v>-89397</v>
      </c>
      <c r="L65" s="134">
        <f t="shared" si="3"/>
        <v>0.97484987487814867</v>
      </c>
      <c r="O65" t="str">
        <f t="shared" si="4"/>
        <v>OK</v>
      </c>
    </row>
    <row r="66" spans="1:15" ht="60.75" customHeight="1">
      <c r="A66" s="310" t="s">
        <v>187</v>
      </c>
      <c r="B66" s="310"/>
      <c r="C66" s="303" t="s">
        <v>188</v>
      </c>
      <c r="D66" s="303"/>
      <c r="E66" s="303"/>
      <c r="F66" s="97" t="s">
        <v>98</v>
      </c>
      <c r="G66" s="98">
        <v>300</v>
      </c>
      <c r="H66" s="88">
        <v>853000</v>
      </c>
      <c r="I66" s="88">
        <f t="shared" si="0"/>
        <v>831547</v>
      </c>
      <c r="J66" s="88">
        <f t="shared" si="1"/>
        <v>249464100</v>
      </c>
      <c r="K66" s="133">
        <f t="shared" si="2"/>
        <v>-21453</v>
      </c>
      <c r="L66" s="134">
        <f t="shared" si="3"/>
        <v>0.9748499413833529</v>
      </c>
      <c r="O66" t="str">
        <f t="shared" si="4"/>
        <v>OK</v>
      </c>
    </row>
    <row r="67" spans="1:15" ht="60.75" customHeight="1">
      <c r="A67" s="310" t="s">
        <v>189</v>
      </c>
      <c r="B67" s="310"/>
      <c r="C67" s="303" t="s">
        <v>190</v>
      </c>
      <c r="D67" s="303"/>
      <c r="E67" s="303"/>
      <c r="F67" s="97" t="s">
        <v>98</v>
      </c>
      <c r="G67" s="98">
        <v>30</v>
      </c>
      <c r="H67" s="88">
        <v>879613</v>
      </c>
      <c r="I67" s="88">
        <f t="shared" si="0"/>
        <v>857491</v>
      </c>
      <c r="J67" s="88">
        <f t="shared" si="1"/>
        <v>25724730</v>
      </c>
      <c r="K67" s="133">
        <f t="shared" si="2"/>
        <v>-22122</v>
      </c>
      <c r="L67" s="134">
        <f t="shared" si="3"/>
        <v>0.97485030348573742</v>
      </c>
      <c r="O67" t="str">
        <f t="shared" si="4"/>
        <v>OK</v>
      </c>
    </row>
    <row r="68" spans="1:15" ht="60.75" customHeight="1">
      <c r="A68" s="310" t="s">
        <v>191</v>
      </c>
      <c r="B68" s="310"/>
      <c r="C68" s="303" t="s">
        <v>192</v>
      </c>
      <c r="D68" s="303"/>
      <c r="E68" s="303"/>
      <c r="F68" s="97" t="s">
        <v>95</v>
      </c>
      <c r="G68" s="98">
        <v>60</v>
      </c>
      <c r="H68" s="88">
        <v>87418</v>
      </c>
      <c r="I68" s="88">
        <f t="shared" si="0"/>
        <v>85219</v>
      </c>
      <c r="J68" s="88">
        <f t="shared" si="1"/>
        <v>5113140</v>
      </c>
      <c r="K68" s="133">
        <f t="shared" si="2"/>
        <v>-2199</v>
      </c>
      <c r="L68" s="134">
        <f t="shared" si="3"/>
        <v>0.97484499759774879</v>
      </c>
      <c r="O68" t="str">
        <f t="shared" si="4"/>
        <v>OK</v>
      </c>
    </row>
    <row r="69" spans="1:15" ht="60.75" customHeight="1">
      <c r="A69" s="310" t="s">
        <v>193</v>
      </c>
      <c r="B69" s="310"/>
      <c r="C69" s="303" t="s">
        <v>194</v>
      </c>
      <c r="D69" s="303"/>
      <c r="E69" s="303"/>
      <c r="F69" s="97" t="s">
        <v>113</v>
      </c>
      <c r="G69" s="98">
        <v>41</v>
      </c>
      <c r="H69" s="88">
        <v>142900</v>
      </c>
      <c r="I69" s="88">
        <f t="shared" si="0"/>
        <v>139306</v>
      </c>
      <c r="J69" s="88">
        <f t="shared" si="1"/>
        <v>5711546</v>
      </c>
      <c r="K69" s="133">
        <f t="shared" si="2"/>
        <v>-3594</v>
      </c>
      <c r="L69" s="134">
        <f t="shared" si="3"/>
        <v>0.97484954513645905</v>
      </c>
      <c r="O69" t="str">
        <f t="shared" si="4"/>
        <v>OK</v>
      </c>
    </row>
    <row r="70" spans="1:15" ht="60.75" customHeight="1">
      <c r="A70" s="310" t="s">
        <v>195</v>
      </c>
      <c r="B70" s="310"/>
      <c r="C70" s="303" t="s">
        <v>196</v>
      </c>
      <c r="D70" s="303"/>
      <c r="E70" s="303"/>
      <c r="F70" s="97" t="s">
        <v>113</v>
      </c>
      <c r="G70" s="98">
        <v>1</v>
      </c>
      <c r="H70" s="88">
        <v>1176585</v>
      </c>
      <c r="I70" s="88">
        <f t="shared" si="0"/>
        <v>1146994</v>
      </c>
      <c r="J70" s="88">
        <f t="shared" si="1"/>
        <v>1146994</v>
      </c>
      <c r="K70" s="133">
        <f t="shared" si="2"/>
        <v>-29591</v>
      </c>
      <c r="L70" s="134">
        <f t="shared" si="3"/>
        <v>0.97485009582818072</v>
      </c>
      <c r="O70" t="str">
        <f t="shared" si="4"/>
        <v>OK</v>
      </c>
    </row>
    <row r="71" spans="1:15" ht="60.75" customHeight="1">
      <c r="A71" s="310" t="s">
        <v>197</v>
      </c>
      <c r="B71" s="310"/>
      <c r="C71" s="303" t="s">
        <v>198</v>
      </c>
      <c r="D71" s="303"/>
      <c r="E71" s="303"/>
      <c r="F71" s="97" t="s">
        <v>98</v>
      </c>
      <c r="G71" s="98">
        <v>1000</v>
      </c>
      <c r="H71" s="88">
        <v>38208</v>
      </c>
      <c r="I71" s="88">
        <f t="shared" si="0"/>
        <v>37247</v>
      </c>
      <c r="J71" s="88">
        <f t="shared" si="1"/>
        <v>37247000</v>
      </c>
      <c r="K71" s="133">
        <f t="shared" si="2"/>
        <v>-961</v>
      </c>
      <c r="L71" s="134">
        <f t="shared" si="3"/>
        <v>0.97484819932998323</v>
      </c>
      <c r="O71" t="str">
        <f t="shared" si="4"/>
        <v>OK</v>
      </c>
    </row>
    <row r="72" spans="1:15" ht="60.75" customHeight="1">
      <c r="A72" s="310" t="s">
        <v>199</v>
      </c>
      <c r="B72" s="310"/>
      <c r="C72" s="303" t="s">
        <v>200</v>
      </c>
      <c r="D72" s="303"/>
      <c r="E72" s="303"/>
      <c r="F72" s="97" t="s">
        <v>98</v>
      </c>
      <c r="G72" s="98">
        <v>230.61</v>
      </c>
      <c r="H72" s="88">
        <v>41123</v>
      </c>
      <c r="I72" s="88">
        <f t="shared" si="0"/>
        <v>40089</v>
      </c>
      <c r="J72" s="88">
        <f t="shared" si="1"/>
        <v>9244924</v>
      </c>
      <c r="K72" s="133">
        <f t="shared" si="2"/>
        <v>-1034</v>
      </c>
      <c r="L72" s="134">
        <f t="shared" si="3"/>
        <v>0.97485592004474386</v>
      </c>
      <c r="O72" t="str">
        <f t="shared" si="4"/>
        <v>OK</v>
      </c>
    </row>
    <row r="73" spans="1:15" ht="60.75" customHeight="1">
      <c r="A73" s="311" t="s">
        <v>201</v>
      </c>
      <c r="B73" s="312"/>
      <c r="C73" s="312"/>
      <c r="D73" s="312"/>
      <c r="E73" s="312"/>
      <c r="F73" s="312"/>
      <c r="G73" s="312"/>
      <c r="H73" s="312"/>
      <c r="I73" s="313"/>
      <c r="J73" s="99">
        <f>SUM(J40:J72)</f>
        <v>1214618503</v>
      </c>
      <c r="K73" s="133">
        <f t="shared" si="2"/>
        <v>0</v>
      </c>
      <c r="L73" s="134" t="e">
        <f t="shared" si="3"/>
        <v>#DIV/0!</v>
      </c>
      <c r="O73" t="str">
        <f t="shared" si="4"/>
        <v xml:space="preserve"> </v>
      </c>
    </row>
    <row r="74" spans="1:15" ht="60.75" customHeight="1">
      <c r="A74" s="302" t="s">
        <v>202</v>
      </c>
      <c r="B74" s="302"/>
      <c r="C74" s="303" t="s">
        <v>203</v>
      </c>
      <c r="D74" s="303"/>
      <c r="E74" s="303"/>
      <c r="F74" s="97" t="s">
        <v>98</v>
      </c>
      <c r="G74" s="98">
        <v>450</v>
      </c>
      <c r="H74" s="88">
        <v>194913</v>
      </c>
      <c r="I74" s="88">
        <f t="shared" si="0"/>
        <v>190011</v>
      </c>
      <c r="J74" s="88">
        <f t="shared" ref="J74:J130" si="5">+ROUND(I74*G74,0)</f>
        <v>85504950</v>
      </c>
      <c r="K74" s="133">
        <f t="shared" si="2"/>
        <v>-4902</v>
      </c>
      <c r="L74" s="134">
        <f t="shared" si="3"/>
        <v>0.97485031783411058</v>
      </c>
      <c r="O74" t="str">
        <f t="shared" si="4"/>
        <v>OK</v>
      </c>
    </row>
    <row r="75" spans="1:15" ht="60.75" customHeight="1">
      <c r="A75" s="302" t="s">
        <v>197</v>
      </c>
      <c r="B75" s="302"/>
      <c r="C75" s="303" t="s">
        <v>204</v>
      </c>
      <c r="D75" s="303"/>
      <c r="E75" s="303"/>
      <c r="F75" s="97" t="s">
        <v>113</v>
      </c>
      <c r="G75" s="98">
        <v>2</v>
      </c>
      <c r="H75" s="88">
        <v>3334200</v>
      </c>
      <c r="I75" s="88">
        <f t="shared" si="0"/>
        <v>3250345</v>
      </c>
      <c r="J75" s="88">
        <f t="shared" si="5"/>
        <v>6500690</v>
      </c>
      <c r="K75" s="133">
        <f t="shared" si="2"/>
        <v>-83855</v>
      </c>
      <c r="L75" s="134">
        <f t="shared" si="3"/>
        <v>0.97485003898986267</v>
      </c>
      <c r="O75" t="str">
        <f t="shared" si="4"/>
        <v>OK</v>
      </c>
    </row>
    <row r="76" spans="1:15" ht="60.75" customHeight="1">
      <c r="A76" s="302" t="s">
        <v>199</v>
      </c>
      <c r="B76" s="302"/>
      <c r="C76" s="303" t="s">
        <v>205</v>
      </c>
      <c r="D76" s="303"/>
      <c r="E76" s="303"/>
      <c r="F76" s="97" t="s">
        <v>113</v>
      </c>
      <c r="G76" s="98">
        <v>12</v>
      </c>
      <c r="H76" s="88">
        <v>858374</v>
      </c>
      <c r="I76" s="88">
        <f t="shared" si="0"/>
        <v>836786</v>
      </c>
      <c r="J76" s="88">
        <f t="shared" si="5"/>
        <v>10041432</v>
      </c>
      <c r="K76" s="133">
        <f t="shared" si="2"/>
        <v>-21588</v>
      </c>
      <c r="L76" s="134">
        <f t="shared" si="3"/>
        <v>0.97485012360579426</v>
      </c>
      <c r="O76" t="str">
        <f t="shared" si="4"/>
        <v>OK</v>
      </c>
    </row>
    <row r="77" spans="1:15" ht="60.75" customHeight="1">
      <c r="A77" s="302" t="s">
        <v>206</v>
      </c>
      <c r="B77" s="302"/>
      <c r="C77" s="303" t="s">
        <v>207</v>
      </c>
      <c r="D77" s="303"/>
      <c r="E77" s="303"/>
      <c r="F77" s="97" t="s">
        <v>98</v>
      </c>
      <c r="G77" s="98">
        <v>222.23000000000002</v>
      </c>
      <c r="H77" s="88">
        <v>34663</v>
      </c>
      <c r="I77" s="88">
        <f t="shared" si="0"/>
        <v>33791</v>
      </c>
      <c r="J77" s="88">
        <f t="shared" si="5"/>
        <v>7509374</v>
      </c>
      <c r="K77" s="133">
        <f t="shared" si="2"/>
        <v>-872</v>
      </c>
      <c r="L77" s="134">
        <f t="shared" si="3"/>
        <v>0.9748434930617661</v>
      </c>
      <c r="O77" t="str">
        <f t="shared" si="4"/>
        <v>OK</v>
      </c>
    </row>
    <row r="78" spans="1:15" ht="60.75" customHeight="1">
      <c r="A78" s="307" t="s">
        <v>208</v>
      </c>
      <c r="B78" s="308"/>
      <c r="C78" s="308"/>
      <c r="D78" s="308"/>
      <c r="E78" s="308"/>
      <c r="F78" s="308"/>
      <c r="G78" s="308"/>
      <c r="H78" s="308"/>
      <c r="I78" s="309"/>
      <c r="J78" s="100">
        <f>SUM(J74:J77)</f>
        <v>109556446</v>
      </c>
      <c r="K78" s="133">
        <f t="shared" si="2"/>
        <v>0</v>
      </c>
      <c r="L78" s="134" t="e">
        <f t="shared" si="3"/>
        <v>#DIV/0!</v>
      </c>
      <c r="O78" t="str">
        <f t="shared" si="4"/>
        <v xml:space="preserve"> </v>
      </c>
    </row>
    <row r="79" spans="1:15" ht="60.75" customHeight="1">
      <c r="A79" s="302" t="s">
        <v>93</v>
      </c>
      <c r="B79" s="302"/>
      <c r="C79" s="303" t="s">
        <v>143</v>
      </c>
      <c r="D79" s="303"/>
      <c r="E79" s="303"/>
      <c r="F79" s="97" t="s">
        <v>98</v>
      </c>
      <c r="G79" s="98">
        <v>161.58000000000001</v>
      </c>
      <c r="H79" s="88">
        <v>49033</v>
      </c>
      <c r="I79" s="88">
        <f t="shared" si="0"/>
        <v>47800</v>
      </c>
      <c r="J79" s="88">
        <f t="shared" si="5"/>
        <v>7723524</v>
      </c>
      <c r="K79" s="133">
        <f t="shared" si="2"/>
        <v>-1233</v>
      </c>
      <c r="L79" s="134">
        <f t="shared" si="3"/>
        <v>0.97485366997736222</v>
      </c>
      <c r="O79" t="str">
        <f t="shared" si="4"/>
        <v>OK</v>
      </c>
    </row>
    <row r="80" spans="1:15" ht="60.75" customHeight="1">
      <c r="A80" s="302" t="s">
        <v>96</v>
      </c>
      <c r="B80" s="302"/>
      <c r="C80" s="303" t="s">
        <v>144</v>
      </c>
      <c r="D80" s="303"/>
      <c r="E80" s="303"/>
      <c r="F80" s="97" t="s">
        <v>98</v>
      </c>
      <c r="G80" s="98">
        <v>246.96</v>
      </c>
      <c r="H80" s="88">
        <v>97950</v>
      </c>
      <c r="I80" s="88">
        <f t="shared" si="0"/>
        <v>95487</v>
      </c>
      <c r="J80" s="88">
        <f t="shared" si="5"/>
        <v>23581470</v>
      </c>
      <c r="K80" s="133">
        <f t="shared" si="2"/>
        <v>-2463</v>
      </c>
      <c r="L80" s="134">
        <f t="shared" si="3"/>
        <v>0.97485451761102604</v>
      </c>
      <c r="O80" t="str">
        <f t="shared" si="4"/>
        <v>OK</v>
      </c>
    </row>
    <row r="81" spans="1:15" ht="60.75" customHeight="1">
      <c r="A81" s="302" t="s">
        <v>145</v>
      </c>
      <c r="B81" s="302"/>
      <c r="C81" s="303" t="s">
        <v>209</v>
      </c>
      <c r="D81" s="303"/>
      <c r="E81" s="303"/>
      <c r="F81" s="97" t="s">
        <v>98</v>
      </c>
      <c r="G81" s="98">
        <v>888.84</v>
      </c>
      <c r="H81" s="88">
        <v>36183</v>
      </c>
      <c r="I81" s="88">
        <f t="shared" ref="I81:I117" si="6">ROUND($M$5*H81,0)</f>
        <v>35273</v>
      </c>
      <c r="J81" s="88">
        <f t="shared" si="5"/>
        <v>31352053</v>
      </c>
      <c r="K81" s="133">
        <f t="shared" ref="K81:K130" si="7">I81-H81</f>
        <v>-910</v>
      </c>
      <c r="L81" s="134">
        <f t="shared" ref="L81:L130" si="8">I81/H81</f>
        <v>0.97485006771135618</v>
      </c>
      <c r="O81" t="str">
        <f t="shared" ref="O81:O130" si="9">+IF(I81&lt;H81,"OK",IF(I81=0," "))</f>
        <v>OK</v>
      </c>
    </row>
    <row r="82" spans="1:15" ht="60.75" customHeight="1">
      <c r="A82" s="302" t="s">
        <v>146</v>
      </c>
      <c r="B82" s="302"/>
      <c r="C82" s="303" t="s">
        <v>147</v>
      </c>
      <c r="D82" s="303"/>
      <c r="E82" s="303"/>
      <c r="F82" s="97" t="s">
        <v>148</v>
      </c>
      <c r="G82" s="98">
        <v>1</v>
      </c>
      <c r="H82" s="88">
        <v>6960160</v>
      </c>
      <c r="I82" s="88">
        <f t="shared" si="6"/>
        <v>6785112</v>
      </c>
      <c r="J82" s="88">
        <f t="shared" si="5"/>
        <v>6785112</v>
      </c>
      <c r="K82" s="133">
        <f t="shared" si="7"/>
        <v>-175048</v>
      </c>
      <c r="L82" s="134">
        <f t="shared" si="8"/>
        <v>0.97485000344819661</v>
      </c>
      <c r="O82" t="str">
        <f t="shared" si="9"/>
        <v>OK</v>
      </c>
    </row>
    <row r="83" spans="1:15" ht="60.75" customHeight="1">
      <c r="A83" s="302" t="s">
        <v>149</v>
      </c>
      <c r="B83" s="302"/>
      <c r="C83" s="303" t="s">
        <v>210</v>
      </c>
      <c r="D83" s="303"/>
      <c r="E83" s="303"/>
      <c r="F83" s="97" t="s">
        <v>113</v>
      </c>
      <c r="G83" s="98">
        <v>150</v>
      </c>
      <c r="H83" s="88">
        <v>96339</v>
      </c>
      <c r="I83" s="88">
        <f t="shared" si="6"/>
        <v>93916</v>
      </c>
      <c r="J83" s="88">
        <f t="shared" si="5"/>
        <v>14087400</v>
      </c>
      <c r="K83" s="133">
        <f t="shared" si="7"/>
        <v>-2423</v>
      </c>
      <c r="L83" s="134">
        <f t="shared" si="8"/>
        <v>0.97484923032209181</v>
      </c>
      <c r="O83" t="str">
        <f t="shared" si="9"/>
        <v>OK</v>
      </c>
    </row>
    <row r="84" spans="1:15" ht="60.75" customHeight="1">
      <c r="A84" s="302" t="s">
        <v>151</v>
      </c>
      <c r="B84" s="302"/>
      <c r="C84" s="303" t="s">
        <v>211</v>
      </c>
      <c r="D84" s="303"/>
      <c r="E84" s="303"/>
      <c r="F84" s="97" t="s">
        <v>98</v>
      </c>
      <c r="G84" s="98">
        <v>37.5</v>
      </c>
      <c r="H84" s="88">
        <v>95199</v>
      </c>
      <c r="I84" s="88">
        <f t="shared" si="6"/>
        <v>92805</v>
      </c>
      <c r="J84" s="88">
        <f t="shared" si="5"/>
        <v>3480188</v>
      </c>
      <c r="K84" s="133">
        <f t="shared" si="7"/>
        <v>-2394</v>
      </c>
      <c r="L84" s="134">
        <f t="shared" si="8"/>
        <v>0.97485267702391831</v>
      </c>
      <c r="O84" t="str">
        <f t="shared" si="9"/>
        <v>OK</v>
      </c>
    </row>
    <row r="85" spans="1:15" ht="60.75" customHeight="1">
      <c r="A85" s="302" t="s">
        <v>99</v>
      </c>
      <c r="B85" s="302"/>
      <c r="C85" s="303" t="s">
        <v>153</v>
      </c>
      <c r="D85" s="303"/>
      <c r="E85" s="303"/>
      <c r="F85" s="97" t="s">
        <v>95</v>
      </c>
      <c r="G85" s="98">
        <v>121</v>
      </c>
      <c r="H85" s="88">
        <v>203925</v>
      </c>
      <c r="I85" s="88">
        <f t="shared" si="6"/>
        <v>198796</v>
      </c>
      <c r="J85" s="88">
        <f t="shared" si="5"/>
        <v>24054316</v>
      </c>
      <c r="K85" s="133">
        <f t="shared" si="7"/>
        <v>-5129</v>
      </c>
      <c r="L85" s="134">
        <f t="shared" si="8"/>
        <v>0.97484859629765841</v>
      </c>
      <c r="O85" t="str">
        <f t="shared" si="9"/>
        <v>OK</v>
      </c>
    </row>
    <row r="86" spans="1:15" ht="60.75" customHeight="1">
      <c r="A86" s="302" t="s">
        <v>101</v>
      </c>
      <c r="B86" s="302"/>
      <c r="C86" s="303" t="s">
        <v>154</v>
      </c>
      <c r="D86" s="303"/>
      <c r="E86" s="303"/>
      <c r="F86" s="97" t="s">
        <v>95</v>
      </c>
      <c r="G86" s="98">
        <v>145</v>
      </c>
      <c r="H86" s="88">
        <v>186288</v>
      </c>
      <c r="I86" s="88">
        <f t="shared" si="6"/>
        <v>181603</v>
      </c>
      <c r="J86" s="88">
        <f t="shared" si="5"/>
        <v>26332435</v>
      </c>
      <c r="K86" s="133">
        <f t="shared" si="7"/>
        <v>-4685</v>
      </c>
      <c r="L86" s="134">
        <f t="shared" si="8"/>
        <v>0.97485076870222453</v>
      </c>
      <c r="O86" t="str">
        <f t="shared" si="9"/>
        <v>OK</v>
      </c>
    </row>
    <row r="87" spans="1:15" ht="60.75" customHeight="1">
      <c r="A87" s="302" t="s">
        <v>103</v>
      </c>
      <c r="B87" s="302"/>
      <c r="C87" s="303" t="s">
        <v>212</v>
      </c>
      <c r="D87" s="303"/>
      <c r="E87" s="303"/>
      <c r="F87" s="97" t="s">
        <v>98</v>
      </c>
      <c r="G87" s="98">
        <v>40</v>
      </c>
      <c r="H87" s="88">
        <v>240790</v>
      </c>
      <c r="I87" s="88">
        <f t="shared" si="6"/>
        <v>234734</v>
      </c>
      <c r="J87" s="88">
        <f t="shared" si="5"/>
        <v>9389360</v>
      </c>
      <c r="K87" s="133">
        <f t="shared" si="7"/>
        <v>-6056</v>
      </c>
      <c r="L87" s="134">
        <f t="shared" si="8"/>
        <v>0.9748494538809751</v>
      </c>
      <c r="O87" t="str">
        <f t="shared" si="9"/>
        <v>OK</v>
      </c>
    </row>
    <row r="88" spans="1:15" ht="60.75" customHeight="1">
      <c r="A88" s="302" t="s">
        <v>116</v>
      </c>
      <c r="B88" s="302"/>
      <c r="C88" s="303" t="s">
        <v>213</v>
      </c>
      <c r="D88" s="303"/>
      <c r="E88" s="303"/>
      <c r="F88" s="97" t="s">
        <v>98</v>
      </c>
      <c r="G88" s="98">
        <v>5</v>
      </c>
      <c r="H88" s="88">
        <v>161174</v>
      </c>
      <c r="I88" s="88">
        <f t="shared" si="6"/>
        <v>157120</v>
      </c>
      <c r="J88" s="88">
        <f t="shared" si="5"/>
        <v>785600</v>
      </c>
      <c r="K88" s="133">
        <f t="shared" si="7"/>
        <v>-4054</v>
      </c>
      <c r="L88" s="134">
        <f t="shared" si="8"/>
        <v>0.97484705969945529</v>
      </c>
      <c r="O88" t="str">
        <f t="shared" si="9"/>
        <v>OK</v>
      </c>
    </row>
    <row r="89" spans="1:15" ht="60.75" customHeight="1">
      <c r="A89" s="302" t="s">
        <v>124</v>
      </c>
      <c r="B89" s="302"/>
      <c r="C89" s="303" t="s">
        <v>214</v>
      </c>
      <c r="D89" s="303"/>
      <c r="E89" s="303"/>
      <c r="F89" s="97" t="s">
        <v>98</v>
      </c>
      <c r="G89" s="98">
        <v>888.84</v>
      </c>
      <c r="H89" s="88">
        <v>116086</v>
      </c>
      <c r="I89" s="88">
        <f t="shared" si="6"/>
        <v>113166</v>
      </c>
      <c r="J89" s="88">
        <f t="shared" si="5"/>
        <v>100586467</v>
      </c>
      <c r="K89" s="133">
        <f t="shared" si="7"/>
        <v>-2920</v>
      </c>
      <c r="L89" s="134">
        <f t="shared" si="8"/>
        <v>0.97484623468807607</v>
      </c>
      <c r="O89" t="str">
        <f t="shared" si="9"/>
        <v>OK</v>
      </c>
    </row>
    <row r="90" spans="1:15" ht="60.75" customHeight="1">
      <c r="A90" s="302" t="s">
        <v>136</v>
      </c>
      <c r="B90" s="302"/>
      <c r="C90" s="303" t="s">
        <v>215</v>
      </c>
      <c r="D90" s="303"/>
      <c r="E90" s="303"/>
      <c r="F90" s="97" t="s">
        <v>98</v>
      </c>
      <c r="G90" s="98">
        <v>888.84</v>
      </c>
      <c r="H90" s="88">
        <v>194913</v>
      </c>
      <c r="I90" s="88">
        <f t="shared" si="6"/>
        <v>190011</v>
      </c>
      <c r="J90" s="88">
        <f t="shared" si="5"/>
        <v>168889377</v>
      </c>
      <c r="K90" s="133">
        <f t="shared" si="7"/>
        <v>-4902</v>
      </c>
      <c r="L90" s="134">
        <f t="shared" si="8"/>
        <v>0.97485031783411058</v>
      </c>
      <c r="O90" t="str">
        <f t="shared" si="9"/>
        <v>OK</v>
      </c>
    </row>
    <row r="91" spans="1:15" ht="60.75" customHeight="1">
      <c r="A91" s="302" t="s">
        <v>140</v>
      </c>
      <c r="B91" s="302"/>
      <c r="C91" s="303" t="s">
        <v>159</v>
      </c>
      <c r="D91" s="303"/>
      <c r="E91" s="303"/>
      <c r="F91" s="97" t="s">
        <v>95</v>
      </c>
      <c r="G91" s="98">
        <v>1800</v>
      </c>
      <c r="H91" s="88">
        <v>20382</v>
      </c>
      <c r="I91" s="88">
        <f t="shared" si="6"/>
        <v>19869</v>
      </c>
      <c r="J91" s="88">
        <f t="shared" si="5"/>
        <v>35764200</v>
      </c>
      <c r="K91" s="133">
        <f t="shared" si="7"/>
        <v>-513</v>
      </c>
      <c r="L91" s="134">
        <f t="shared" si="8"/>
        <v>0.97483073299970557</v>
      </c>
      <c r="O91" t="str">
        <f t="shared" si="9"/>
        <v>OK</v>
      </c>
    </row>
    <row r="92" spans="1:15" ht="60.75" customHeight="1">
      <c r="A92" s="302" t="s">
        <v>160</v>
      </c>
      <c r="B92" s="302"/>
      <c r="C92" s="303" t="s">
        <v>161</v>
      </c>
      <c r="D92" s="303"/>
      <c r="E92" s="303"/>
      <c r="F92" s="97" t="s">
        <v>95</v>
      </c>
      <c r="G92" s="98">
        <v>50</v>
      </c>
      <c r="H92" s="88">
        <v>226317</v>
      </c>
      <c r="I92" s="88">
        <f t="shared" si="6"/>
        <v>220625</v>
      </c>
      <c r="J92" s="88">
        <f t="shared" si="5"/>
        <v>11031250</v>
      </c>
      <c r="K92" s="133">
        <f t="shared" si="7"/>
        <v>-5692</v>
      </c>
      <c r="L92" s="134">
        <f t="shared" si="8"/>
        <v>0.97484943685184944</v>
      </c>
      <c r="O92" t="str">
        <f t="shared" si="9"/>
        <v>OK</v>
      </c>
    </row>
    <row r="93" spans="1:15" ht="60.75" customHeight="1">
      <c r="A93" s="302" t="s">
        <v>162</v>
      </c>
      <c r="B93" s="302"/>
      <c r="C93" s="303" t="s">
        <v>216</v>
      </c>
      <c r="D93" s="303"/>
      <c r="E93" s="303"/>
      <c r="F93" s="97" t="s">
        <v>113</v>
      </c>
      <c r="G93" s="98">
        <v>180</v>
      </c>
      <c r="H93" s="88">
        <v>151650</v>
      </c>
      <c r="I93" s="88">
        <f t="shared" si="6"/>
        <v>147836</v>
      </c>
      <c r="J93" s="88">
        <f t="shared" si="5"/>
        <v>26610480</v>
      </c>
      <c r="K93" s="133">
        <f t="shared" si="7"/>
        <v>-3814</v>
      </c>
      <c r="L93" s="134">
        <f t="shared" si="8"/>
        <v>0.97484998351467189</v>
      </c>
      <c r="O93" t="str">
        <f t="shared" si="9"/>
        <v>OK</v>
      </c>
    </row>
    <row r="94" spans="1:15" ht="60.75" customHeight="1">
      <c r="A94" s="302" t="s">
        <v>164</v>
      </c>
      <c r="B94" s="302"/>
      <c r="C94" s="303" t="s">
        <v>217</v>
      </c>
      <c r="D94" s="303"/>
      <c r="E94" s="303"/>
      <c r="F94" s="97" t="s">
        <v>113</v>
      </c>
      <c r="G94" s="98">
        <v>60</v>
      </c>
      <c r="H94" s="88">
        <v>170847</v>
      </c>
      <c r="I94" s="88">
        <f t="shared" si="6"/>
        <v>166550</v>
      </c>
      <c r="J94" s="88">
        <f t="shared" si="5"/>
        <v>9993000</v>
      </c>
      <c r="K94" s="133">
        <f t="shared" si="7"/>
        <v>-4297</v>
      </c>
      <c r="L94" s="134">
        <f t="shared" si="8"/>
        <v>0.97484884136098382</v>
      </c>
      <c r="O94" t="str">
        <f t="shared" si="9"/>
        <v>OK</v>
      </c>
    </row>
    <row r="95" spans="1:15" ht="60.75" customHeight="1">
      <c r="A95" s="302" t="s">
        <v>166</v>
      </c>
      <c r="B95" s="302"/>
      <c r="C95" s="303" t="s">
        <v>218</v>
      </c>
      <c r="D95" s="303"/>
      <c r="E95" s="303"/>
      <c r="F95" s="97" t="s">
        <v>113</v>
      </c>
      <c r="G95" s="98">
        <v>42</v>
      </c>
      <c r="H95" s="88">
        <v>308438</v>
      </c>
      <c r="I95" s="88">
        <f t="shared" si="6"/>
        <v>300681</v>
      </c>
      <c r="J95" s="88">
        <f t="shared" si="5"/>
        <v>12628602</v>
      </c>
      <c r="K95" s="133">
        <f t="shared" si="7"/>
        <v>-7757</v>
      </c>
      <c r="L95" s="134">
        <f t="shared" si="8"/>
        <v>0.97485069933017332</v>
      </c>
      <c r="O95" t="str">
        <f t="shared" si="9"/>
        <v>OK</v>
      </c>
    </row>
    <row r="96" spans="1:15" ht="60.75" customHeight="1">
      <c r="A96" s="302" t="s">
        <v>168</v>
      </c>
      <c r="B96" s="302"/>
      <c r="C96" s="303" t="s">
        <v>219</v>
      </c>
      <c r="D96" s="303"/>
      <c r="E96" s="303"/>
      <c r="F96" s="97" t="s">
        <v>113</v>
      </c>
      <c r="G96" s="98">
        <v>88</v>
      </c>
      <c r="H96" s="88">
        <v>106167</v>
      </c>
      <c r="I96" s="88">
        <f t="shared" si="6"/>
        <v>103497</v>
      </c>
      <c r="J96" s="88">
        <f t="shared" si="5"/>
        <v>9107736</v>
      </c>
      <c r="K96" s="133">
        <f t="shared" si="7"/>
        <v>-2670</v>
      </c>
      <c r="L96" s="134">
        <f t="shared" si="8"/>
        <v>0.97485094238322645</v>
      </c>
      <c r="O96" t="str">
        <f t="shared" si="9"/>
        <v>OK</v>
      </c>
    </row>
    <row r="97" spans="1:15" ht="60.75" customHeight="1">
      <c r="A97" s="302" t="s">
        <v>220</v>
      </c>
      <c r="B97" s="302"/>
      <c r="C97" s="303" t="s">
        <v>169</v>
      </c>
      <c r="D97" s="303"/>
      <c r="E97" s="303"/>
      <c r="F97" s="97" t="s">
        <v>113</v>
      </c>
      <c r="G97" s="98">
        <v>22</v>
      </c>
      <c r="H97" s="88">
        <v>215408</v>
      </c>
      <c r="I97" s="88">
        <f t="shared" si="6"/>
        <v>209990</v>
      </c>
      <c r="J97" s="88">
        <f t="shared" si="5"/>
        <v>4619780</v>
      </c>
      <c r="K97" s="133">
        <f t="shared" si="7"/>
        <v>-5418</v>
      </c>
      <c r="L97" s="134">
        <f t="shared" si="8"/>
        <v>0.97484773081779696</v>
      </c>
      <c r="O97" t="str">
        <f t="shared" si="9"/>
        <v>OK</v>
      </c>
    </row>
    <row r="98" spans="1:15" ht="60.75" customHeight="1">
      <c r="A98" s="302" t="s">
        <v>172</v>
      </c>
      <c r="B98" s="302"/>
      <c r="C98" s="303" t="s">
        <v>173</v>
      </c>
      <c r="D98" s="303"/>
      <c r="E98" s="303"/>
      <c r="F98" s="97" t="s">
        <v>113</v>
      </c>
      <c r="G98" s="98">
        <v>14</v>
      </c>
      <c r="H98" s="88">
        <v>226550</v>
      </c>
      <c r="I98" s="88">
        <f t="shared" si="6"/>
        <v>220852</v>
      </c>
      <c r="J98" s="88">
        <f t="shared" si="5"/>
        <v>3091928</v>
      </c>
      <c r="K98" s="133">
        <f t="shared" si="7"/>
        <v>-5698</v>
      </c>
      <c r="L98" s="134">
        <f t="shared" si="8"/>
        <v>0.97484881924519973</v>
      </c>
      <c r="O98" t="str">
        <f t="shared" si="9"/>
        <v>OK</v>
      </c>
    </row>
    <row r="99" spans="1:15" ht="60.75" customHeight="1">
      <c r="A99" s="302" t="s">
        <v>174</v>
      </c>
      <c r="B99" s="302"/>
      <c r="C99" s="303" t="s">
        <v>221</v>
      </c>
      <c r="D99" s="303"/>
      <c r="E99" s="303"/>
      <c r="F99" s="97" t="s">
        <v>113</v>
      </c>
      <c r="G99" s="98">
        <v>11</v>
      </c>
      <c r="H99" s="88">
        <v>203875</v>
      </c>
      <c r="I99" s="88">
        <f t="shared" si="6"/>
        <v>198748</v>
      </c>
      <c r="J99" s="88">
        <f t="shared" si="5"/>
        <v>2186228</v>
      </c>
      <c r="K99" s="133">
        <f t="shared" si="7"/>
        <v>-5127</v>
      </c>
      <c r="L99" s="134">
        <f t="shared" si="8"/>
        <v>0.9748522378908645</v>
      </c>
      <c r="O99" t="str">
        <f t="shared" si="9"/>
        <v>OK</v>
      </c>
    </row>
    <row r="100" spans="1:15" ht="60.75" customHeight="1">
      <c r="A100" s="302" t="s">
        <v>176</v>
      </c>
      <c r="B100" s="302"/>
      <c r="C100" s="303" t="s">
        <v>222</v>
      </c>
      <c r="D100" s="303"/>
      <c r="E100" s="303"/>
      <c r="F100" s="97" t="s">
        <v>113</v>
      </c>
      <c r="G100" s="98">
        <v>23</v>
      </c>
      <c r="H100" s="88">
        <v>178332</v>
      </c>
      <c r="I100" s="88">
        <f t="shared" si="6"/>
        <v>173847</v>
      </c>
      <c r="J100" s="88">
        <f t="shared" si="5"/>
        <v>3998481</v>
      </c>
      <c r="K100" s="133">
        <f t="shared" si="7"/>
        <v>-4485</v>
      </c>
      <c r="L100" s="134">
        <f t="shared" si="8"/>
        <v>0.97485027925442436</v>
      </c>
      <c r="O100" t="str">
        <f t="shared" si="9"/>
        <v>OK</v>
      </c>
    </row>
    <row r="101" spans="1:15" ht="60.75" customHeight="1">
      <c r="A101" s="302" t="s">
        <v>178</v>
      </c>
      <c r="B101" s="302"/>
      <c r="C101" s="303" t="s">
        <v>223</v>
      </c>
      <c r="D101" s="303"/>
      <c r="E101" s="303"/>
      <c r="F101" s="97" t="s">
        <v>95</v>
      </c>
      <c r="G101" s="98">
        <v>150</v>
      </c>
      <c r="H101" s="88">
        <v>16471</v>
      </c>
      <c r="I101" s="88">
        <f t="shared" si="6"/>
        <v>16057</v>
      </c>
      <c r="J101" s="88">
        <f t="shared" si="5"/>
        <v>2408550</v>
      </c>
      <c r="K101" s="133">
        <f t="shared" si="7"/>
        <v>-414</v>
      </c>
      <c r="L101" s="134">
        <f t="shared" si="8"/>
        <v>0.97486491409143339</v>
      </c>
      <c r="O101" t="str">
        <f t="shared" si="9"/>
        <v>OK</v>
      </c>
    </row>
    <row r="102" spans="1:15" ht="60.75" customHeight="1">
      <c r="A102" s="302" t="s">
        <v>181</v>
      </c>
      <c r="B102" s="302"/>
      <c r="C102" s="303" t="s">
        <v>224</v>
      </c>
      <c r="D102" s="303"/>
      <c r="E102" s="303"/>
      <c r="F102" s="97" t="s">
        <v>95</v>
      </c>
      <c r="G102" s="98">
        <v>50</v>
      </c>
      <c r="H102" s="88">
        <v>159622</v>
      </c>
      <c r="I102" s="88">
        <f t="shared" si="6"/>
        <v>155608</v>
      </c>
      <c r="J102" s="88">
        <f t="shared" si="5"/>
        <v>7780400</v>
      </c>
      <c r="K102" s="133">
        <f t="shared" si="7"/>
        <v>-4014</v>
      </c>
      <c r="L102" s="134">
        <f t="shared" si="8"/>
        <v>0.97485309042613177</v>
      </c>
      <c r="O102" t="str">
        <f t="shared" si="9"/>
        <v>OK</v>
      </c>
    </row>
    <row r="103" spans="1:15" ht="60.75" customHeight="1">
      <c r="A103" s="302" t="s">
        <v>183</v>
      </c>
      <c r="B103" s="302"/>
      <c r="C103" s="303" t="s">
        <v>225</v>
      </c>
      <c r="D103" s="303"/>
      <c r="E103" s="303"/>
      <c r="F103" s="97" t="s">
        <v>95</v>
      </c>
      <c r="G103" s="98">
        <v>120</v>
      </c>
      <c r="H103" s="88">
        <v>326273</v>
      </c>
      <c r="I103" s="88">
        <f t="shared" si="6"/>
        <v>318067</v>
      </c>
      <c r="J103" s="88">
        <f t="shared" si="5"/>
        <v>38168040</v>
      </c>
      <c r="K103" s="133">
        <f t="shared" si="7"/>
        <v>-8206</v>
      </c>
      <c r="L103" s="134">
        <f t="shared" si="8"/>
        <v>0.9748492826559354</v>
      </c>
      <c r="O103" t="str">
        <f t="shared" si="9"/>
        <v>OK</v>
      </c>
    </row>
    <row r="104" spans="1:15" ht="60.75" customHeight="1">
      <c r="A104" s="302" t="s">
        <v>185</v>
      </c>
      <c r="B104" s="302"/>
      <c r="C104" s="303" t="s">
        <v>226</v>
      </c>
      <c r="D104" s="303"/>
      <c r="E104" s="303"/>
      <c r="F104" s="97" t="s">
        <v>113</v>
      </c>
      <c r="G104" s="98">
        <v>1</v>
      </c>
      <c r="H104" s="88">
        <v>3554535</v>
      </c>
      <c r="I104" s="88">
        <f t="shared" si="6"/>
        <v>3465138</v>
      </c>
      <c r="J104" s="88">
        <f t="shared" si="5"/>
        <v>3465138</v>
      </c>
      <c r="K104" s="133">
        <f t="shared" si="7"/>
        <v>-89397</v>
      </c>
      <c r="L104" s="134">
        <f t="shared" si="8"/>
        <v>0.97484987487814867</v>
      </c>
      <c r="O104" t="str">
        <f t="shared" si="9"/>
        <v>OK</v>
      </c>
    </row>
    <row r="105" spans="1:15" ht="60.75" customHeight="1">
      <c r="A105" s="302" t="s">
        <v>187</v>
      </c>
      <c r="B105" s="302"/>
      <c r="C105" s="303" t="s">
        <v>227</v>
      </c>
      <c r="D105" s="303"/>
      <c r="E105" s="303"/>
      <c r="F105" s="97" t="s">
        <v>95</v>
      </c>
      <c r="G105" s="98">
        <v>3.22</v>
      </c>
      <c r="H105" s="88">
        <v>1454712</v>
      </c>
      <c r="I105" s="88">
        <f t="shared" si="6"/>
        <v>1418126</v>
      </c>
      <c r="J105" s="88">
        <f t="shared" si="5"/>
        <v>4566366</v>
      </c>
      <c r="K105" s="133">
        <f t="shared" si="7"/>
        <v>-36586</v>
      </c>
      <c r="L105" s="134">
        <f t="shared" si="8"/>
        <v>0.97485000467446481</v>
      </c>
      <c r="O105" t="str">
        <f t="shared" si="9"/>
        <v>OK</v>
      </c>
    </row>
    <row r="106" spans="1:15" ht="60.75" customHeight="1">
      <c r="A106" s="302" t="s">
        <v>189</v>
      </c>
      <c r="B106" s="302"/>
      <c r="C106" s="303" t="s">
        <v>228</v>
      </c>
      <c r="D106" s="303"/>
      <c r="E106" s="303"/>
      <c r="F106" s="97" t="s">
        <v>113</v>
      </c>
      <c r="G106" s="98">
        <v>1</v>
      </c>
      <c r="H106" s="88">
        <v>2638957</v>
      </c>
      <c r="I106" s="88">
        <f t="shared" si="6"/>
        <v>2572587</v>
      </c>
      <c r="J106" s="88">
        <f t="shared" si="5"/>
        <v>2572587</v>
      </c>
      <c r="K106" s="133">
        <f t="shared" si="7"/>
        <v>-66370</v>
      </c>
      <c r="L106" s="134">
        <f t="shared" si="8"/>
        <v>0.97484991229489526</v>
      </c>
      <c r="O106" t="str">
        <f t="shared" si="9"/>
        <v>OK</v>
      </c>
    </row>
    <row r="107" spans="1:15" ht="60.75" customHeight="1">
      <c r="A107" s="302" t="s">
        <v>195</v>
      </c>
      <c r="B107" s="302"/>
      <c r="C107" s="303" t="s">
        <v>229</v>
      </c>
      <c r="D107" s="303"/>
      <c r="E107" s="303"/>
      <c r="F107" s="97" t="s">
        <v>98</v>
      </c>
      <c r="G107" s="98">
        <v>279.83999999999997</v>
      </c>
      <c r="H107" s="88">
        <v>879575</v>
      </c>
      <c r="I107" s="88">
        <f t="shared" si="6"/>
        <v>857454</v>
      </c>
      <c r="J107" s="88">
        <f t="shared" si="5"/>
        <v>239949927</v>
      </c>
      <c r="K107" s="133">
        <f t="shared" si="7"/>
        <v>-22121</v>
      </c>
      <c r="L107" s="134">
        <f t="shared" si="8"/>
        <v>0.97485035386408203</v>
      </c>
      <c r="O107" t="str">
        <f t="shared" si="9"/>
        <v>OK</v>
      </c>
    </row>
    <row r="108" spans="1:15" ht="60.75" customHeight="1">
      <c r="A108" s="302" t="s">
        <v>230</v>
      </c>
      <c r="B108" s="302"/>
      <c r="C108" s="303" t="s">
        <v>231</v>
      </c>
      <c r="D108" s="303"/>
      <c r="E108" s="303"/>
      <c r="F108" s="97" t="s">
        <v>98</v>
      </c>
      <c r="G108" s="98">
        <v>40</v>
      </c>
      <c r="H108" s="88">
        <v>882113</v>
      </c>
      <c r="I108" s="88">
        <f t="shared" si="6"/>
        <v>859928</v>
      </c>
      <c r="J108" s="88">
        <f t="shared" si="5"/>
        <v>34397120</v>
      </c>
      <c r="K108" s="133">
        <f t="shared" si="7"/>
        <v>-22185</v>
      </c>
      <c r="L108" s="134">
        <f t="shared" si="8"/>
        <v>0.97485016092042631</v>
      </c>
      <c r="O108" t="str">
        <f t="shared" si="9"/>
        <v>OK</v>
      </c>
    </row>
    <row r="109" spans="1:15" ht="60.75" customHeight="1">
      <c r="A109" s="302" t="s">
        <v>232</v>
      </c>
      <c r="B109" s="302"/>
      <c r="C109" s="303" t="s">
        <v>233</v>
      </c>
      <c r="D109" s="303"/>
      <c r="E109" s="303"/>
      <c r="F109" s="97" t="s">
        <v>98</v>
      </c>
      <c r="G109" s="98">
        <v>8</v>
      </c>
      <c r="H109" s="88">
        <v>1651657</v>
      </c>
      <c r="I109" s="88">
        <f t="shared" si="6"/>
        <v>1610118</v>
      </c>
      <c r="J109" s="88">
        <f t="shared" si="5"/>
        <v>12880944</v>
      </c>
      <c r="K109" s="133">
        <f t="shared" si="7"/>
        <v>-41539</v>
      </c>
      <c r="L109" s="134">
        <f t="shared" si="8"/>
        <v>0.9748501050762961</v>
      </c>
      <c r="O109" t="str">
        <f t="shared" si="9"/>
        <v>OK</v>
      </c>
    </row>
    <row r="110" spans="1:15" ht="60.75" customHeight="1">
      <c r="A110" s="302" t="s">
        <v>234</v>
      </c>
      <c r="B110" s="302"/>
      <c r="C110" s="303" t="s">
        <v>235</v>
      </c>
      <c r="D110" s="303"/>
      <c r="E110" s="303"/>
      <c r="F110" s="97" t="s">
        <v>95</v>
      </c>
      <c r="G110" s="98">
        <v>60</v>
      </c>
      <c r="H110" s="88">
        <v>84894</v>
      </c>
      <c r="I110" s="88">
        <f t="shared" si="6"/>
        <v>82759</v>
      </c>
      <c r="J110" s="88">
        <f t="shared" si="5"/>
        <v>4965540</v>
      </c>
      <c r="K110" s="133">
        <f t="shared" si="7"/>
        <v>-2135</v>
      </c>
      <c r="L110" s="134">
        <f t="shared" si="8"/>
        <v>0.97485099064715997</v>
      </c>
      <c r="O110" t="str">
        <f t="shared" si="9"/>
        <v>OK</v>
      </c>
    </row>
    <row r="111" spans="1:15" ht="60.75" customHeight="1">
      <c r="A111" s="302" t="s">
        <v>236</v>
      </c>
      <c r="B111" s="302"/>
      <c r="C111" s="303" t="s">
        <v>237</v>
      </c>
      <c r="D111" s="303"/>
      <c r="E111" s="303"/>
      <c r="F111" s="97" t="s">
        <v>113</v>
      </c>
      <c r="G111" s="98">
        <v>46</v>
      </c>
      <c r="H111" s="88">
        <v>142900</v>
      </c>
      <c r="I111" s="88">
        <f t="shared" si="6"/>
        <v>139306</v>
      </c>
      <c r="J111" s="88">
        <f t="shared" si="5"/>
        <v>6408076</v>
      </c>
      <c r="K111" s="133">
        <f t="shared" si="7"/>
        <v>-3594</v>
      </c>
      <c r="L111" s="134">
        <f t="shared" si="8"/>
        <v>0.97484954513645905</v>
      </c>
      <c r="O111" t="str">
        <f t="shared" si="9"/>
        <v>OK</v>
      </c>
    </row>
    <row r="112" spans="1:15" ht="60.75" customHeight="1">
      <c r="A112" s="302" t="s">
        <v>197</v>
      </c>
      <c r="B112" s="302"/>
      <c r="C112" s="303" t="s">
        <v>238</v>
      </c>
      <c r="D112" s="303"/>
      <c r="E112" s="303"/>
      <c r="F112" s="97" t="s">
        <v>113</v>
      </c>
      <c r="G112" s="98">
        <v>1</v>
      </c>
      <c r="H112" s="88">
        <v>1176585</v>
      </c>
      <c r="I112" s="88">
        <f t="shared" si="6"/>
        <v>1146994</v>
      </c>
      <c r="J112" s="88">
        <f t="shared" si="5"/>
        <v>1146994</v>
      </c>
      <c r="K112" s="133">
        <f t="shared" si="7"/>
        <v>-29591</v>
      </c>
      <c r="L112" s="134">
        <f t="shared" si="8"/>
        <v>0.97485009582818072</v>
      </c>
      <c r="O112" t="str">
        <f t="shared" si="9"/>
        <v>OK</v>
      </c>
    </row>
    <row r="113" spans="1:15" ht="60.75" customHeight="1">
      <c r="A113" s="302" t="s">
        <v>199</v>
      </c>
      <c r="B113" s="302"/>
      <c r="C113" s="303" t="s">
        <v>239</v>
      </c>
      <c r="D113" s="303"/>
      <c r="E113" s="303"/>
      <c r="F113" s="97" t="s">
        <v>95</v>
      </c>
      <c r="G113" s="98">
        <v>30</v>
      </c>
      <c r="H113" s="88">
        <v>363800</v>
      </c>
      <c r="I113" s="88">
        <f t="shared" si="6"/>
        <v>354650</v>
      </c>
      <c r="J113" s="88">
        <f t="shared" si="5"/>
        <v>10639500</v>
      </c>
      <c r="K113" s="133">
        <f t="shared" si="7"/>
        <v>-9150</v>
      </c>
      <c r="L113" s="134">
        <f t="shared" si="8"/>
        <v>0.97484881803188561</v>
      </c>
      <c r="O113" t="str">
        <f t="shared" si="9"/>
        <v>OK</v>
      </c>
    </row>
    <row r="114" spans="1:15" ht="60.75" customHeight="1">
      <c r="A114" s="302" t="s">
        <v>240</v>
      </c>
      <c r="B114" s="302"/>
      <c r="C114" s="303" t="s">
        <v>241</v>
      </c>
      <c r="D114" s="303"/>
      <c r="E114" s="303"/>
      <c r="F114" s="94" t="s">
        <v>98</v>
      </c>
      <c r="G114" s="95">
        <v>509.69</v>
      </c>
      <c r="H114" s="88">
        <v>33664</v>
      </c>
      <c r="I114" s="88">
        <f t="shared" si="6"/>
        <v>32817</v>
      </c>
      <c r="J114" s="88">
        <f t="shared" si="5"/>
        <v>16726497</v>
      </c>
      <c r="K114" s="133">
        <f t="shared" si="7"/>
        <v>-847</v>
      </c>
      <c r="L114" s="134">
        <f t="shared" si="8"/>
        <v>0.97483959125475284</v>
      </c>
      <c r="O114" t="str">
        <f t="shared" si="9"/>
        <v>OK</v>
      </c>
    </row>
    <row r="115" spans="1:15" ht="60.75" customHeight="1">
      <c r="A115" s="302" t="s">
        <v>242</v>
      </c>
      <c r="B115" s="302"/>
      <c r="C115" s="303" t="s">
        <v>243</v>
      </c>
      <c r="D115" s="303"/>
      <c r="E115" s="303"/>
      <c r="F115" s="94" t="s">
        <v>98</v>
      </c>
      <c r="G115" s="95">
        <v>100</v>
      </c>
      <c r="H115" s="88">
        <v>40123</v>
      </c>
      <c r="I115" s="88">
        <f t="shared" si="6"/>
        <v>39114</v>
      </c>
      <c r="J115" s="88">
        <f t="shared" si="5"/>
        <v>3911400</v>
      </c>
      <c r="K115" s="133">
        <f t="shared" si="7"/>
        <v>-1009</v>
      </c>
      <c r="L115" s="134">
        <f t="shared" si="8"/>
        <v>0.97485232908805419</v>
      </c>
      <c r="O115" t="str">
        <f t="shared" si="9"/>
        <v>OK</v>
      </c>
    </row>
    <row r="116" spans="1:15" ht="60.75" customHeight="1">
      <c r="A116" s="302" t="s">
        <v>244</v>
      </c>
      <c r="B116" s="302"/>
      <c r="C116" s="303" t="s">
        <v>245</v>
      </c>
      <c r="D116" s="303"/>
      <c r="E116" s="303"/>
      <c r="F116" s="94" t="s">
        <v>98</v>
      </c>
      <c r="G116" s="95">
        <v>40</v>
      </c>
      <c r="H116" s="88">
        <v>38208</v>
      </c>
      <c r="I116" s="88">
        <f t="shared" si="6"/>
        <v>37247</v>
      </c>
      <c r="J116" s="88">
        <f t="shared" si="5"/>
        <v>1489880</v>
      </c>
      <c r="K116" s="133">
        <f t="shared" si="7"/>
        <v>-961</v>
      </c>
      <c r="L116" s="134">
        <f t="shared" si="8"/>
        <v>0.97484819932998323</v>
      </c>
      <c r="O116" t="str">
        <f t="shared" si="9"/>
        <v>OK</v>
      </c>
    </row>
    <row r="117" spans="1:15" ht="60.75" customHeight="1">
      <c r="A117" s="302" t="s">
        <v>246</v>
      </c>
      <c r="B117" s="302"/>
      <c r="C117" s="303" t="s">
        <v>247</v>
      </c>
      <c r="D117" s="303"/>
      <c r="E117" s="303"/>
      <c r="F117" s="94" t="s">
        <v>98</v>
      </c>
      <c r="G117" s="95">
        <v>25</v>
      </c>
      <c r="H117" s="88">
        <v>38208</v>
      </c>
      <c r="I117" s="88">
        <f t="shared" si="6"/>
        <v>37247</v>
      </c>
      <c r="J117" s="88">
        <f t="shared" si="5"/>
        <v>931175</v>
      </c>
      <c r="K117" s="133">
        <f t="shared" si="7"/>
        <v>-961</v>
      </c>
      <c r="L117" s="134">
        <f t="shared" si="8"/>
        <v>0.97484819932998323</v>
      </c>
      <c r="O117" t="str">
        <f t="shared" si="9"/>
        <v>OK</v>
      </c>
    </row>
    <row r="118" spans="1:15" ht="60.75" customHeight="1">
      <c r="A118" s="304" t="s">
        <v>248</v>
      </c>
      <c r="B118" s="305"/>
      <c r="C118" s="305"/>
      <c r="D118" s="305"/>
      <c r="E118" s="305"/>
      <c r="F118" s="305"/>
      <c r="G118" s="305"/>
      <c r="H118" s="305"/>
      <c r="I118" s="306"/>
      <c r="J118" s="101">
        <f>SUM(J79:J117)</f>
        <v>928487121</v>
      </c>
      <c r="K118" s="133">
        <f t="shared" si="7"/>
        <v>0</v>
      </c>
      <c r="L118" s="134" t="e">
        <f t="shared" si="8"/>
        <v>#DIV/0!</v>
      </c>
      <c r="O118" t="str">
        <f t="shared" si="9"/>
        <v xml:space="preserve"> </v>
      </c>
    </row>
    <row r="119" spans="1:15" ht="60.75" customHeight="1">
      <c r="A119" s="302" t="s">
        <v>93</v>
      </c>
      <c r="B119" s="302"/>
      <c r="C119" s="303" t="s">
        <v>249</v>
      </c>
      <c r="D119" s="303"/>
      <c r="E119" s="303"/>
      <c r="F119" s="94" t="s">
        <v>98</v>
      </c>
      <c r="G119" s="95">
        <v>860</v>
      </c>
      <c r="H119" s="88">
        <v>38338</v>
      </c>
      <c r="I119" s="88">
        <f t="shared" ref="I119:I130" si="10">ROUND($M$5*H119,0)</f>
        <v>37374</v>
      </c>
      <c r="J119" s="88">
        <f t="shared" si="5"/>
        <v>32141640</v>
      </c>
      <c r="K119" s="133">
        <f t="shared" si="7"/>
        <v>-964</v>
      </c>
      <c r="L119" s="134">
        <f t="shared" si="8"/>
        <v>0.9748552350148677</v>
      </c>
      <c r="O119" t="str">
        <f t="shared" si="9"/>
        <v>OK</v>
      </c>
    </row>
    <row r="120" spans="1:15" ht="60.75" customHeight="1">
      <c r="A120" s="302" t="s">
        <v>96</v>
      </c>
      <c r="B120" s="302"/>
      <c r="C120" s="303" t="s">
        <v>150</v>
      </c>
      <c r="D120" s="303"/>
      <c r="E120" s="303"/>
      <c r="F120" s="94" t="s">
        <v>113</v>
      </c>
      <c r="G120" s="95">
        <v>180</v>
      </c>
      <c r="H120" s="88">
        <v>96339</v>
      </c>
      <c r="I120" s="88">
        <f t="shared" si="10"/>
        <v>93916</v>
      </c>
      <c r="J120" s="88">
        <f t="shared" si="5"/>
        <v>16904880</v>
      </c>
      <c r="K120" s="133">
        <f t="shared" si="7"/>
        <v>-2423</v>
      </c>
      <c r="L120" s="134">
        <f t="shared" si="8"/>
        <v>0.97484923032209181</v>
      </c>
      <c r="O120" t="str">
        <f t="shared" si="9"/>
        <v>OK</v>
      </c>
    </row>
    <row r="121" spans="1:15" ht="60.75" customHeight="1">
      <c r="A121" s="302" t="s">
        <v>145</v>
      </c>
      <c r="B121" s="302"/>
      <c r="C121" s="303" t="s">
        <v>152</v>
      </c>
      <c r="D121" s="303"/>
      <c r="E121" s="303"/>
      <c r="F121" s="94" t="s">
        <v>98</v>
      </c>
      <c r="G121" s="102">
        <v>4</v>
      </c>
      <c r="H121" s="88">
        <v>95199</v>
      </c>
      <c r="I121" s="88">
        <f t="shared" si="10"/>
        <v>92805</v>
      </c>
      <c r="J121" s="88">
        <f t="shared" si="5"/>
        <v>371220</v>
      </c>
      <c r="K121" s="133">
        <f t="shared" si="7"/>
        <v>-2394</v>
      </c>
      <c r="L121" s="134">
        <f t="shared" si="8"/>
        <v>0.97485267702391831</v>
      </c>
      <c r="O121" t="str">
        <f t="shared" si="9"/>
        <v>OK</v>
      </c>
    </row>
    <row r="122" spans="1:15" ht="60.75" customHeight="1">
      <c r="A122" s="302" t="s">
        <v>99</v>
      </c>
      <c r="B122" s="302"/>
      <c r="C122" s="303" t="s">
        <v>250</v>
      </c>
      <c r="D122" s="303"/>
      <c r="E122" s="303"/>
      <c r="F122" s="94" t="s">
        <v>98</v>
      </c>
      <c r="G122" s="95">
        <v>860</v>
      </c>
      <c r="H122" s="88">
        <v>130620</v>
      </c>
      <c r="I122" s="88">
        <f t="shared" si="10"/>
        <v>127335</v>
      </c>
      <c r="J122" s="88">
        <f t="shared" si="5"/>
        <v>109508100</v>
      </c>
      <c r="K122" s="133">
        <f t="shared" si="7"/>
        <v>-3285</v>
      </c>
      <c r="L122" s="134">
        <f t="shared" si="8"/>
        <v>0.97485071198897566</v>
      </c>
      <c r="O122" t="str">
        <f t="shared" si="9"/>
        <v>OK</v>
      </c>
    </row>
    <row r="123" spans="1:15" ht="60.75" customHeight="1">
      <c r="A123" s="302" t="s">
        <v>116</v>
      </c>
      <c r="B123" s="302"/>
      <c r="C123" s="303" t="s">
        <v>158</v>
      </c>
      <c r="D123" s="303"/>
      <c r="E123" s="303"/>
      <c r="F123" s="94" t="s">
        <v>98</v>
      </c>
      <c r="G123" s="95">
        <v>860</v>
      </c>
      <c r="H123" s="88">
        <v>194913</v>
      </c>
      <c r="I123" s="88">
        <f t="shared" si="10"/>
        <v>190011</v>
      </c>
      <c r="J123" s="88">
        <f t="shared" si="5"/>
        <v>163409460</v>
      </c>
      <c r="K123" s="133">
        <f t="shared" si="7"/>
        <v>-4902</v>
      </c>
      <c r="L123" s="134">
        <f t="shared" si="8"/>
        <v>0.97485031783411058</v>
      </c>
      <c r="O123" t="str">
        <f t="shared" si="9"/>
        <v>OK</v>
      </c>
    </row>
    <row r="124" spans="1:15" ht="60.75" customHeight="1">
      <c r="A124" s="302" t="s">
        <v>124</v>
      </c>
      <c r="B124" s="302"/>
      <c r="C124" s="303" t="s">
        <v>167</v>
      </c>
      <c r="D124" s="303"/>
      <c r="E124" s="303"/>
      <c r="F124" s="94" t="s">
        <v>113</v>
      </c>
      <c r="G124" s="95">
        <v>20</v>
      </c>
      <c r="H124" s="88">
        <v>319533</v>
      </c>
      <c r="I124" s="88">
        <f t="shared" si="10"/>
        <v>311497</v>
      </c>
      <c r="J124" s="88">
        <f t="shared" si="5"/>
        <v>6229940</v>
      </c>
      <c r="K124" s="133">
        <f t="shared" si="7"/>
        <v>-8036</v>
      </c>
      <c r="L124" s="134">
        <f t="shared" si="8"/>
        <v>0.97485079788316076</v>
      </c>
      <c r="O124" t="str">
        <f t="shared" si="9"/>
        <v>OK</v>
      </c>
    </row>
    <row r="125" spans="1:15" ht="60.75" customHeight="1">
      <c r="A125" s="302" t="s">
        <v>126</v>
      </c>
      <c r="B125" s="302"/>
      <c r="C125" s="303" t="s">
        <v>169</v>
      </c>
      <c r="D125" s="303"/>
      <c r="E125" s="303"/>
      <c r="F125" s="94" t="s">
        <v>113</v>
      </c>
      <c r="G125" s="95">
        <v>20</v>
      </c>
      <c r="H125" s="88">
        <v>233891</v>
      </c>
      <c r="I125" s="88">
        <f t="shared" si="10"/>
        <v>228009</v>
      </c>
      <c r="J125" s="88">
        <f t="shared" si="5"/>
        <v>4560180</v>
      </c>
      <c r="K125" s="133">
        <f t="shared" si="7"/>
        <v>-5882</v>
      </c>
      <c r="L125" s="134">
        <f t="shared" si="8"/>
        <v>0.97485153340658681</v>
      </c>
      <c r="O125" t="str">
        <f t="shared" si="9"/>
        <v>OK</v>
      </c>
    </row>
    <row r="126" spans="1:15" ht="60.75" customHeight="1">
      <c r="A126" s="302" t="s">
        <v>128</v>
      </c>
      <c r="B126" s="302"/>
      <c r="C126" s="303" t="s">
        <v>251</v>
      </c>
      <c r="D126" s="303"/>
      <c r="E126" s="303"/>
      <c r="F126" s="94" t="s">
        <v>113</v>
      </c>
      <c r="G126" s="95">
        <v>113</v>
      </c>
      <c r="H126" s="88">
        <v>98830</v>
      </c>
      <c r="I126" s="88">
        <f t="shared" si="10"/>
        <v>96344</v>
      </c>
      <c r="J126" s="88">
        <f t="shared" si="5"/>
        <v>10886872</v>
      </c>
      <c r="K126" s="133">
        <f t="shared" si="7"/>
        <v>-2486</v>
      </c>
      <c r="L126" s="134">
        <f t="shared" si="8"/>
        <v>0.97484569462713755</v>
      </c>
      <c r="O126" t="str">
        <f t="shared" si="9"/>
        <v>OK</v>
      </c>
    </row>
    <row r="127" spans="1:15" ht="60.75" customHeight="1">
      <c r="A127" s="302" t="s">
        <v>130</v>
      </c>
      <c r="B127" s="302"/>
      <c r="C127" s="303" t="s">
        <v>173</v>
      </c>
      <c r="D127" s="303"/>
      <c r="E127" s="303"/>
      <c r="F127" s="94" t="s">
        <v>113</v>
      </c>
      <c r="G127" s="95">
        <v>8</v>
      </c>
      <c r="H127" s="88">
        <v>215750</v>
      </c>
      <c r="I127" s="88">
        <f t="shared" si="10"/>
        <v>210324</v>
      </c>
      <c r="J127" s="88">
        <f t="shared" si="5"/>
        <v>1682592</v>
      </c>
      <c r="K127" s="133">
        <f t="shared" si="7"/>
        <v>-5426</v>
      </c>
      <c r="L127" s="134">
        <f t="shared" si="8"/>
        <v>0.97485052143684825</v>
      </c>
      <c r="O127" t="str">
        <f t="shared" si="9"/>
        <v>OK</v>
      </c>
    </row>
    <row r="128" spans="1:15" ht="60.75" customHeight="1">
      <c r="A128" s="302" t="s">
        <v>132</v>
      </c>
      <c r="B128" s="302"/>
      <c r="C128" s="303" t="s">
        <v>175</v>
      </c>
      <c r="D128" s="303"/>
      <c r="E128" s="303"/>
      <c r="F128" s="94" t="s">
        <v>113</v>
      </c>
      <c r="G128" s="95">
        <v>4</v>
      </c>
      <c r="H128" s="88">
        <v>200830</v>
      </c>
      <c r="I128" s="88">
        <f t="shared" si="10"/>
        <v>195779</v>
      </c>
      <c r="J128" s="88">
        <f t="shared" si="5"/>
        <v>783116</v>
      </c>
      <c r="K128" s="133">
        <f t="shared" si="7"/>
        <v>-5051</v>
      </c>
      <c r="L128" s="134">
        <f t="shared" si="8"/>
        <v>0.97484937509336256</v>
      </c>
      <c r="O128" t="str">
        <f t="shared" si="9"/>
        <v>OK</v>
      </c>
    </row>
    <row r="129" spans="1:15" ht="60.75" customHeight="1">
      <c r="A129" s="302" t="s">
        <v>136</v>
      </c>
      <c r="B129" s="302"/>
      <c r="C129" s="303" t="s">
        <v>196</v>
      </c>
      <c r="D129" s="303"/>
      <c r="E129" s="303"/>
      <c r="F129" s="94" t="s">
        <v>113</v>
      </c>
      <c r="G129" s="95">
        <v>1</v>
      </c>
      <c r="H129" s="88">
        <v>1025000</v>
      </c>
      <c r="I129" s="88">
        <f t="shared" si="10"/>
        <v>999221</v>
      </c>
      <c r="J129" s="88">
        <f t="shared" si="5"/>
        <v>999221</v>
      </c>
      <c r="K129" s="133">
        <f t="shared" si="7"/>
        <v>-25779</v>
      </c>
      <c r="L129" s="134">
        <f t="shared" si="8"/>
        <v>0.97484975609756097</v>
      </c>
      <c r="O129" t="str">
        <f t="shared" si="9"/>
        <v>OK</v>
      </c>
    </row>
    <row r="130" spans="1:15" ht="60.75" customHeight="1">
      <c r="A130" s="302" t="s">
        <v>140</v>
      </c>
      <c r="B130" s="302"/>
      <c r="C130" s="303" t="s">
        <v>198</v>
      </c>
      <c r="D130" s="303"/>
      <c r="E130" s="303"/>
      <c r="F130" s="94" t="s">
        <v>98</v>
      </c>
      <c r="G130" s="95">
        <v>880</v>
      </c>
      <c r="H130" s="88">
        <v>35833</v>
      </c>
      <c r="I130" s="88">
        <f t="shared" si="10"/>
        <v>34932</v>
      </c>
      <c r="J130" s="88">
        <f t="shared" si="5"/>
        <v>30740160</v>
      </c>
      <c r="K130" s="133">
        <f t="shared" si="7"/>
        <v>-901</v>
      </c>
      <c r="L130" s="134">
        <f t="shared" si="8"/>
        <v>0.97485558005190742</v>
      </c>
      <c r="O130" t="str">
        <f t="shared" si="9"/>
        <v>OK</v>
      </c>
    </row>
    <row r="131" spans="1:15" ht="60.75" customHeight="1" thickBot="1">
      <c r="A131" s="386" t="s">
        <v>252</v>
      </c>
      <c r="B131" s="387"/>
      <c r="C131" s="387"/>
      <c r="D131" s="387"/>
      <c r="E131" s="387"/>
      <c r="F131" s="387"/>
      <c r="G131" s="387"/>
      <c r="H131" s="387"/>
      <c r="I131" s="388"/>
      <c r="J131" s="104">
        <f>SUM(J119:J130)</f>
        <v>378217381</v>
      </c>
    </row>
    <row r="132" spans="1:15" ht="60.75" customHeight="1">
      <c r="A132" s="389" t="s">
        <v>253</v>
      </c>
      <c r="B132" s="390"/>
      <c r="C132" s="390"/>
      <c r="D132" s="390"/>
      <c r="E132" s="390"/>
      <c r="F132" s="390"/>
      <c r="G132" s="390"/>
      <c r="H132" s="391"/>
      <c r="I132" s="174">
        <f>+ROUND(J132*10%,0)</f>
        <v>379621806</v>
      </c>
      <c r="J132" s="175">
        <f>+J118+J78+J73+J39+J131</f>
        <v>3796218060</v>
      </c>
    </row>
    <row r="133" spans="1:15" ht="41.25" customHeight="1">
      <c r="A133" s="376" t="s">
        <v>254</v>
      </c>
      <c r="B133" s="287"/>
      <c r="C133" s="287"/>
      <c r="D133" s="288"/>
      <c r="E133" s="106">
        <v>0.12</v>
      </c>
      <c r="F133" s="289"/>
      <c r="G133" s="290"/>
      <c r="H133" s="291"/>
      <c r="I133" s="176">
        <f>+ROUND($I$132*E133,0)</f>
        <v>45554617</v>
      </c>
      <c r="J133" s="177">
        <f>+ROUND($J$132*E133,0)</f>
        <v>455546167</v>
      </c>
      <c r="K133" s="135">
        <f>+F133-E133</f>
        <v>-0.12</v>
      </c>
      <c r="L133" s="134">
        <f>F133/E133</f>
        <v>0</v>
      </c>
    </row>
    <row r="134" spans="1:15" ht="35.25" customHeight="1">
      <c r="A134" s="376" t="s">
        <v>255</v>
      </c>
      <c r="B134" s="287"/>
      <c r="C134" s="287"/>
      <c r="D134" s="288"/>
      <c r="E134" s="106">
        <v>0.03</v>
      </c>
      <c r="F134" s="289"/>
      <c r="G134" s="290"/>
      <c r="H134" s="291"/>
      <c r="I134" s="176">
        <f>+ROUND($I$132*E134,0)</f>
        <v>11388654</v>
      </c>
      <c r="J134" s="177">
        <f>+ROUND($J$132*E134,0)</f>
        <v>113886542</v>
      </c>
      <c r="K134" s="135">
        <f t="shared" ref="K134:K136" si="11">+F134-E134</f>
        <v>-0.03</v>
      </c>
      <c r="L134" s="134">
        <f t="shared" ref="L134:L136" si="12">F134/E134</f>
        <v>0</v>
      </c>
    </row>
    <row r="135" spans="1:15" ht="31.5" customHeight="1">
      <c r="A135" s="376" t="s">
        <v>256</v>
      </c>
      <c r="B135" s="287"/>
      <c r="C135" s="287"/>
      <c r="D135" s="288"/>
      <c r="E135" s="106">
        <v>7.0000000000000007E-2</v>
      </c>
      <c r="F135" s="289"/>
      <c r="G135" s="290"/>
      <c r="H135" s="291"/>
      <c r="I135" s="176">
        <f>+ROUND($I$132*E135,0)</f>
        <v>26573526</v>
      </c>
      <c r="J135" s="177">
        <f>+ROUND($J$132*E135,0)</f>
        <v>265735264</v>
      </c>
      <c r="K135" s="135">
        <f t="shared" si="11"/>
        <v>-7.0000000000000007E-2</v>
      </c>
      <c r="L135" s="134">
        <f t="shared" si="12"/>
        <v>0</v>
      </c>
    </row>
    <row r="136" spans="1:15" ht="33.75" customHeight="1" thickBot="1">
      <c r="A136" s="377" t="s">
        <v>257</v>
      </c>
      <c r="B136" s="378"/>
      <c r="C136" s="378"/>
      <c r="D136" s="379"/>
      <c r="E136" s="380">
        <v>0.19</v>
      </c>
      <c r="F136" s="381"/>
      <c r="G136" s="381"/>
      <c r="H136" s="382"/>
      <c r="I136" s="178">
        <f>+ROUND(I135*E136,0)</f>
        <v>5048970</v>
      </c>
      <c r="J136" s="177">
        <f>+ROUND(J135*E136,0)</f>
        <v>50489700</v>
      </c>
      <c r="K136" s="135">
        <f t="shared" si="11"/>
        <v>-0.19</v>
      </c>
      <c r="L136" s="134">
        <f t="shared" si="12"/>
        <v>0</v>
      </c>
    </row>
    <row r="137" spans="1:15" ht="42" customHeight="1">
      <c r="A137" s="383" t="s">
        <v>258</v>
      </c>
      <c r="B137" s="384"/>
      <c r="C137" s="384"/>
      <c r="D137" s="384"/>
      <c r="E137" s="384"/>
      <c r="F137" s="384"/>
      <c r="G137" s="384"/>
      <c r="H137" s="385"/>
      <c r="I137" s="179">
        <f>SUM(I132:I136)</f>
        <v>468187573</v>
      </c>
      <c r="J137" s="109">
        <f>SUM(J132:J136)</f>
        <v>4681875733</v>
      </c>
    </row>
    <row r="138" spans="1:15" ht="60.75" customHeight="1">
      <c r="A138" s="295" t="s">
        <v>259</v>
      </c>
      <c r="B138" s="295"/>
      <c r="C138" s="295"/>
      <c r="D138" s="295"/>
      <c r="E138" s="295"/>
      <c r="F138" s="295"/>
      <c r="G138" s="295"/>
      <c r="H138" s="295"/>
      <c r="I138" s="295"/>
      <c r="J138" s="111">
        <f>+I137+J137</f>
        <v>5150063306</v>
      </c>
      <c r="K138" s="133">
        <f>J138-'[3]CONSOLIDADO FINANCIERO'!L7</f>
        <v>-132868660</v>
      </c>
      <c r="L138" s="183">
        <f>+J138/'CONSOLIDADO FINANCIERO'!L7</f>
        <v>0.97484944707690369</v>
      </c>
    </row>
    <row r="139" spans="1:15" ht="15.75" customHeight="1" thickBot="1"/>
    <row r="140" spans="1:15" ht="215.25" customHeight="1" thickBot="1">
      <c r="A140" s="282" t="s">
        <v>260</v>
      </c>
      <c r="B140" s="283"/>
      <c r="C140" s="283"/>
      <c r="D140" s="283"/>
      <c r="E140" s="283"/>
      <c r="F140" s="283"/>
      <c r="G140" s="283"/>
      <c r="H140" s="283"/>
      <c r="I140" s="283"/>
      <c r="J140" s="283"/>
      <c r="K140" s="283"/>
      <c r="L140" s="283"/>
      <c r="M140" s="283"/>
      <c r="N140" s="284"/>
    </row>
    <row r="141" spans="1:15" ht="2.25" customHeight="1">
      <c r="A141" s="112"/>
      <c r="B141" s="112"/>
      <c r="C141" s="112"/>
      <c r="D141" s="112"/>
      <c r="E141" s="112"/>
      <c r="F141" s="113"/>
      <c r="G141" s="113"/>
      <c r="H141" s="113"/>
      <c r="I141" s="113"/>
      <c r="J141" s="113"/>
      <c r="K141" s="113"/>
      <c r="L141" s="113"/>
      <c r="M141" s="113"/>
      <c r="N141" s="113"/>
    </row>
    <row r="142" spans="1:15" ht="2.25" customHeight="1">
      <c r="A142" s="112"/>
      <c r="B142" s="112"/>
      <c r="C142" s="112"/>
      <c r="D142" s="112"/>
      <c r="E142" s="112"/>
      <c r="F142" s="113"/>
      <c r="G142" s="113"/>
      <c r="H142" s="113"/>
      <c r="I142" s="113"/>
      <c r="J142" s="113"/>
      <c r="K142" s="113"/>
      <c r="L142" s="113"/>
      <c r="M142" s="113"/>
      <c r="N142" s="113"/>
    </row>
    <row r="143" spans="1:15" ht="2.25" customHeight="1" thickBot="1">
      <c r="A143" s="112"/>
      <c r="B143" s="112"/>
      <c r="C143" s="112"/>
      <c r="D143" s="112"/>
      <c r="E143" s="112"/>
      <c r="F143" s="113"/>
      <c r="G143" s="113"/>
      <c r="H143" s="113"/>
      <c r="I143" s="113"/>
      <c r="J143" s="113"/>
      <c r="K143" s="113"/>
      <c r="L143" s="113"/>
      <c r="M143" s="113"/>
      <c r="N143" s="113"/>
    </row>
    <row r="144" spans="1:15" ht="87" customHeight="1" thickBot="1">
      <c r="A144" s="114"/>
      <c r="B144" s="115"/>
      <c r="C144" s="116"/>
      <c r="D144" s="116"/>
      <c r="E144" s="117"/>
      <c r="F144" s="117"/>
      <c r="G144" s="117"/>
      <c r="H144" s="117" t="s">
        <v>297</v>
      </c>
      <c r="I144" s="117"/>
      <c r="J144" s="117"/>
      <c r="K144" s="118"/>
      <c r="L144" s="117"/>
      <c r="M144" s="117"/>
      <c r="N144" s="118"/>
    </row>
    <row r="145" spans="1:14" ht="16.5">
      <c r="A145" s="119"/>
      <c r="B145" s="375" t="s">
        <v>261</v>
      </c>
      <c r="C145" s="375"/>
      <c r="D145" s="375"/>
      <c r="E145" s="122"/>
      <c r="F145" s="112"/>
      <c r="G145" s="112"/>
      <c r="H145" s="112" t="s">
        <v>298</v>
      </c>
      <c r="I145" s="112"/>
      <c r="J145" s="112"/>
      <c r="K145" s="123"/>
      <c r="L145" s="112"/>
      <c r="M145" s="112"/>
      <c r="N145" s="123"/>
    </row>
    <row r="146" spans="1:14" ht="16.5">
      <c r="A146" s="119"/>
      <c r="B146" s="285" t="s">
        <v>299</v>
      </c>
      <c r="C146" s="285"/>
      <c r="D146" s="285"/>
      <c r="E146" s="122"/>
      <c r="F146" s="112"/>
      <c r="G146" s="112"/>
      <c r="H146" s="112" t="s">
        <v>300</v>
      </c>
      <c r="I146" s="112"/>
      <c r="J146" s="112"/>
      <c r="K146" s="123"/>
      <c r="L146" s="112"/>
      <c r="M146" s="112"/>
      <c r="N146" s="123"/>
    </row>
    <row r="147" spans="1:14" ht="17.25" thickBot="1">
      <c r="A147" s="124"/>
      <c r="B147" s="369" t="s">
        <v>301</v>
      </c>
      <c r="C147" s="369"/>
      <c r="D147" s="369"/>
      <c r="E147" s="127"/>
      <c r="F147" s="128"/>
      <c r="G147" s="128"/>
      <c r="H147" s="180" t="s">
        <v>302</v>
      </c>
      <c r="I147" s="128"/>
      <c r="J147" s="128"/>
      <c r="K147" s="129"/>
      <c r="L147" s="128"/>
      <c r="M147" s="128"/>
      <c r="N147" s="129"/>
    </row>
    <row r="148" spans="1:14">
      <c r="A148" s="130"/>
      <c r="C148" s="131"/>
      <c r="D148" s="131"/>
      <c r="E148" s="131"/>
      <c r="F148" s="131"/>
    </row>
  </sheetData>
  <sheetProtection algorithmName="SHA-512" hashValue="ChW25s+bUK1YlWLwSi7oIrlaYrR2C5QSeHzOomLnbRVf0M0c47UPC1UIOaHKqSfqOHHJD6dtEk3srhd6nzOETA==" saltValue="8Hht2yKDAA3jGqarU4/heg==" spinCount="100000" sheet="1" objects="1" scenarios="1"/>
  <mergeCells count="264">
    <mergeCell ref="A8:D8"/>
    <mergeCell ref="E8:J8"/>
    <mergeCell ref="A9:D9"/>
    <mergeCell ref="E9:J9"/>
    <mergeCell ref="A10:D10"/>
    <mergeCell ref="E10:J10"/>
    <mergeCell ref="A1:D4"/>
    <mergeCell ref="E1:J4"/>
    <mergeCell ref="A5:J5"/>
    <mergeCell ref="A6:D6"/>
    <mergeCell ref="E6:J6"/>
    <mergeCell ref="A7:D7"/>
    <mergeCell ref="E7:J7"/>
    <mergeCell ref="A11:D11"/>
    <mergeCell ref="E11:J11"/>
    <mergeCell ref="A12:J12"/>
    <mergeCell ref="A14:B15"/>
    <mergeCell ref="C14:E15"/>
    <mergeCell ref="F14:F15"/>
    <mergeCell ref="G14:G15"/>
    <mergeCell ref="H14:H15"/>
    <mergeCell ref="I14:J14"/>
    <mergeCell ref="A19:B19"/>
    <mergeCell ref="C19:E19"/>
    <mergeCell ref="A20:B20"/>
    <mergeCell ref="C20:E20"/>
    <mergeCell ref="A21:B21"/>
    <mergeCell ref="C21:E21"/>
    <mergeCell ref="A16:B16"/>
    <mergeCell ref="C16:E16"/>
    <mergeCell ref="A17:B17"/>
    <mergeCell ref="C17:E17"/>
    <mergeCell ref="A18:B18"/>
    <mergeCell ref="C18:E18"/>
    <mergeCell ref="A25:B25"/>
    <mergeCell ref="C25:E25"/>
    <mergeCell ref="A26:B26"/>
    <mergeCell ref="C26:E26"/>
    <mergeCell ref="A27:B27"/>
    <mergeCell ref="C27:E27"/>
    <mergeCell ref="A22:B22"/>
    <mergeCell ref="C22:E22"/>
    <mergeCell ref="A23:B23"/>
    <mergeCell ref="C23:E23"/>
    <mergeCell ref="A24:B24"/>
    <mergeCell ref="C24:E24"/>
    <mergeCell ref="A31:B31"/>
    <mergeCell ref="C31:E31"/>
    <mergeCell ref="A32:B32"/>
    <mergeCell ref="C32:E32"/>
    <mergeCell ref="A33:B33"/>
    <mergeCell ref="C33:E33"/>
    <mergeCell ref="A28:B28"/>
    <mergeCell ref="C28:E28"/>
    <mergeCell ref="A29:B29"/>
    <mergeCell ref="C29:E29"/>
    <mergeCell ref="A30:B30"/>
    <mergeCell ref="C30:E30"/>
    <mergeCell ref="A37:B37"/>
    <mergeCell ref="C37:E37"/>
    <mergeCell ref="A38:B38"/>
    <mergeCell ref="C38:E38"/>
    <mergeCell ref="A39:I39"/>
    <mergeCell ref="A40:B40"/>
    <mergeCell ref="C40:E40"/>
    <mergeCell ref="A34:B34"/>
    <mergeCell ref="C34:E34"/>
    <mergeCell ref="A35:B35"/>
    <mergeCell ref="C35:E35"/>
    <mergeCell ref="A36:B36"/>
    <mergeCell ref="C36:E36"/>
    <mergeCell ref="A44:B44"/>
    <mergeCell ref="C44:E44"/>
    <mergeCell ref="A45:B45"/>
    <mergeCell ref="C45:E45"/>
    <mergeCell ref="A46:B46"/>
    <mergeCell ref="C46:E46"/>
    <mergeCell ref="A41:B41"/>
    <mergeCell ref="C41:E41"/>
    <mergeCell ref="A42:B42"/>
    <mergeCell ref="C42:E42"/>
    <mergeCell ref="A43:B43"/>
    <mergeCell ref="C43:E43"/>
    <mergeCell ref="A50:B50"/>
    <mergeCell ref="C50:E50"/>
    <mergeCell ref="A51:B51"/>
    <mergeCell ref="C51:E51"/>
    <mergeCell ref="A52:B52"/>
    <mergeCell ref="C52:E52"/>
    <mergeCell ref="A47:B47"/>
    <mergeCell ref="C47:E47"/>
    <mergeCell ref="A48:B48"/>
    <mergeCell ref="C48:E48"/>
    <mergeCell ref="A49:B49"/>
    <mergeCell ref="C49:E49"/>
    <mergeCell ref="A56:B56"/>
    <mergeCell ref="C56:E56"/>
    <mergeCell ref="A57:B57"/>
    <mergeCell ref="C57:E57"/>
    <mergeCell ref="A58:B58"/>
    <mergeCell ref="C58:E58"/>
    <mergeCell ref="A53:B53"/>
    <mergeCell ref="C53:E53"/>
    <mergeCell ref="A54:B54"/>
    <mergeCell ref="C54:E54"/>
    <mergeCell ref="A55:B55"/>
    <mergeCell ref="C55:E55"/>
    <mergeCell ref="A62:B62"/>
    <mergeCell ref="C62:E62"/>
    <mergeCell ref="A63:B63"/>
    <mergeCell ref="C63:E63"/>
    <mergeCell ref="A64:B64"/>
    <mergeCell ref="C64:E64"/>
    <mergeCell ref="A59:B59"/>
    <mergeCell ref="C59:E59"/>
    <mergeCell ref="A60:B60"/>
    <mergeCell ref="C60:E60"/>
    <mergeCell ref="A61:B61"/>
    <mergeCell ref="C61:E61"/>
    <mergeCell ref="A68:B68"/>
    <mergeCell ref="C68:E68"/>
    <mergeCell ref="A69:B69"/>
    <mergeCell ref="C69:E69"/>
    <mergeCell ref="A70:B70"/>
    <mergeCell ref="C70:E70"/>
    <mergeCell ref="A65:B65"/>
    <mergeCell ref="C65:E65"/>
    <mergeCell ref="A66:B66"/>
    <mergeCell ref="C66:E66"/>
    <mergeCell ref="A67:B67"/>
    <mergeCell ref="C67:E67"/>
    <mergeCell ref="A75:B75"/>
    <mergeCell ref="C75:E75"/>
    <mergeCell ref="A76:B76"/>
    <mergeCell ref="C76:E76"/>
    <mergeCell ref="A77:B77"/>
    <mergeCell ref="C77:E77"/>
    <mergeCell ref="A71:B71"/>
    <mergeCell ref="C71:E71"/>
    <mergeCell ref="A72:B72"/>
    <mergeCell ref="C72:E72"/>
    <mergeCell ref="A73:I73"/>
    <mergeCell ref="A74:B74"/>
    <mergeCell ref="C74:E74"/>
    <mergeCell ref="A82:B82"/>
    <mergeCell ref="C82:E82"/>
    <mergeCell ref="A83:B83"/>
    <mergeCell ref="C83:E83"/>
    <mergeCell ref="A84:B84"/>
    <mergeCell ref="C84:E84"/>
    <mergeCell ref="A78:I78"/>
    <mergeCell ref="A79:B79"/>
    <mergeCell ref="C79:E79"/>
    <mergeCell ref="A80:B80"/>
    <mergeCell ref="C80:E80"/>
    <mergeCell ref="A81:B81"/>
    <mergeCell ref="C81:E81"/>
    <mergeCell ref="A88:B88"/>
    <mergeCell ref="C88:E88"/>
    <mergeCell ref="A89:B89"/>
    <mergeCell ref="C89:E89"/>
    <mergeCell ref="A90:B90"/>
    <mergeCell ref="C90:E90"/>
    <mergeCell ref="A85:B85"/>
    <mergeCell ref="C85:E85"/>
    <mergeCell ref="A86:B86"/>
    <mergeCell ref="C86:E86"/>
    <mergeCell ref="A87:B87"/>
    <mergeCell ref="C87:E87"/>
    <mergeCell ref="A94:B94"/>
    <mergeCell ref="C94:E94"/>
    <mergeCell ref="A95:B95"/>
    <mergeCell ref="C95:E95"/>
    <mergeCell ref="A96:B96"/>
    <mergeCell ref="C96:E96"/>
    <mergeCell ref="A91:B91"/>
    <mergeCell ref="C91:E91"/>
    <mergeCell ref="A92:B92"/>
    <mergeCell ref="C92:E92"/>
    <mergeCell ref="A93:B93"/>
    <mergeCell ref="C93:E93"/>
    <mergeCell ref="A100:B100"/>
    <mergeCell ref="C100:E100"/>
    <mergeCell ref="A101:B101"/>
    <mergeCell ref="C101:E101"/>
    <mergeCell ref="A102:B102"/>
    <mergeCell ref="C102:E102"/>
    <mergeCell ref="A97:B97"/>
    <mergeCell ref="C97:E97"/>
    <mergeCell ref="A98:B98"/>
    <mergeCell ref="C98:E98"/>
    <mergeCell ref="A99:B99"/>
    <mergeCell ref="C99:E99"/>
    <mergeCell ref="A106:B106"/>
    <mergeCell ref="C106:E106"/>
    <mergeCell ref="A107:B107"/>
    <mergeCell ref="C107:E107"/>
    <mergeCell ref="A108:B108"/>
    <mergeCell ref="C108:E108"/>
    <mergeCell ref="A103:B103"/>
    <mergeCell ref="C103:E103"/>
    <mergeCell ref="A104:B104"/>
    <mergeCell ref="C104:E104"/>
    <mergeCell ref="A105:B105"/>
    <mergeCell ref="C105:E105"/>
    <mergeCell ref="A112:B112"/>
    <mergeCell ref="C112:E112"/>
    <mergeCell ref="A113:B113"/>
    <mergeCell ref="C113:E113"/>
    <mergeCell ref="A114:B114"/>
    <mergeCell ref="C114:E114"/>
    <mergeCell ref="A109:B109"/>
    <mergeCell ref="C109:E109"/>
    <mergeCell ref="A110:B110"/>
    <mergeCell ref="C110:E110"/>
    <mergeCell ref="A111:B111"/>
    <mergeCell ref="C111:E111"/>
    <mergeCell ref="A118:I118"/>
    <mergeCell ref="A119:B119"/>
    <mergeCell ref="C119:E119"/>
    <mergeCell ref="A120:B120"/>
    <mergeCell ref="C120:E120"/>
    <mergeCell ref="A121:B121"/>
    <mergeCell ref="C121:E121"/>
    <mergeCell ref="A115:B115"/>
    <mergeCell ref="C115:E115"/>
    <mergeCell ref="A116:B116"/>
    <mergeCell ref="C116:E116"/>
    <mergeCell ref="A117:B117"/>
    <mergeCell ref="C117:E117"/>
    <mergeCell ref="A125:B125"/>
    <mergeCell ref="C125:E125"/>
    <mergeCell ref="A126:B126"/>
    <mergeCell ref="C126:E126"/>
    <mergeCell ref="A127:B127"/>
    <mergeCell ref="C127:E127"/>
    <mergeCell ref="A122:B122"/>
    <mergeCell ref="C122:E122"/>
    <mergeCell ref="A123:B123"/>
    <mergeCell ref="C123:E123"/>
    <mergeCell ref="A124:B124"/>
    <mergeCell ref="C124:E124"/>
    <mergeCell ref="A131:I131"/>
    <mergeCell ref="A132:H132"/>
    <mergeCell ref="A133:D133"/>
    <mergeCell ref="F133:H133"/>
    <mergeCell ref="A134:D134"/>
    <mergeCell ref="F134:H134"/>
    <mergeCell ref="A128:B128"/>
    <mergeCell ref="C128:E128"/>
    <mergeCell ref="A129:B129"/>
    <mergeCell ref="C129:E129"/>
    <mergeCell ref="A130:B130"/>
    <mergeCell ref="C130:E130"/>
    <mergeCell ref="A140:N140"/>
    <mergeCell ref="B145:D145"/>
    <mergeCell ref="B146:D146"/>
    <mergeCell ref="B147:D147"/>
    <mergeCell ref="A135:D135"/>
    <mergeCell ref="F135:H135"/>
    <mergeCell ref="A136:D136"/>
    <mergeCell ref="E136:H136"/>
    <mergeCell ref="A137:H137"/>
    <mergeCell ref="A138:I138"/>
  </mergeCells>
  <conditionalFormatting sqref="K16:K130">
    <cfRule type="cellIs" dxfId="190" priority="13" operator="greaterThan">
      <formula>0</formula>
    </cfRule>
    <cfRule type="cellIs" dxfId="189" priority="14" operator="lessThan">
      <formula>0</formula>
    </cfRule>
    <cfRule type="cellIs" dxfId="188" priority="15" operator="lessThan">
      <formula>0</formula>
    </cfRule>
  </conditionalFormatting>
  <conditionalFormatting sqref="K133:K136">
    <cfRule type="cellIs" dxfId="187" priority="8" operator="greaterThan">
      <formula>0</formula>
    </cfRule>
    <cfRule type="cellIs" dxfId="186" priority="9" operator="lessThan">
      <formula>0</formula>
    </cfRule>
    <cfRule type="cellIs" dxfId="185" priority="10" operator="lessThan">
      <formula>0</formula>
    </cfRule>
  </conditionalFormatting>
  <conditionalFormatting sqref="K138">
    <cfRule type="cellIs" dxfId="184" priority="3" operator="greaterThan">
      <formula>0</formula>
    </cfRule>
    <cfRule type="cellIs" dxfId="183" priority="4" operator="lessThan">
      <formula>0</formula>
    </cfRule>
    <cfRule type="cellIs" dxfId="182" priority="5" operator="lessThan">
      <formula>0</formula>
    </cfRule>
  </conditionalFormatting>
  <conditionalFormatting sqref="L16:L130">
    <cfRule type="cellIs" dxfId="181" priority="11" operator="greaterThan">
      <formula>0.8</formula>
    </cfRule>
    <cfRule type="cellIs" dxfId="180" priority="12" operator="lessThan">
      <formula>0.8</formula>
    </cfRule>
  </conditionalFormatting>
  <conditionalFormatting sqref="L133:L136">
    <cfRule type="cellIs" dxfId="179" priority="6" operator="greaterThan">
      <formula>0.8</formula>
    </cfRule>
    <cfRule type="cellIs" dxfId="178" priority="7" operator="lessThan">
      <formula>0.8</formula>
    </cfRule>
  </conditionalFormatting>
  <conditionalFormatting sqref="L138">
    <cfRule type="cellIs" dxfId="177" priority="1" operator="greaterThan">
      <formula>0.8</formula>
    </cfRule>
    <cfRule type="cellIs" dxfId="176" priority="2" operator="lessThan">
      <formula>0.8</formula>
    </cfRule>
  </conditionalFormatting>
  <pageMargins left="0.7" right="0.7" top="0.75" bottom="0.75" header="0.3" footer="0.3"/>
  <pageSetup scale="2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99592-C5F6-43E3-9EBC-506A150641BB}">
  <sheetPr>
    <tabColor rgb="FF92D050"/>
    <pageSetUpPr fitToPage="1"/>
  </sheetPr>
  <dimension ref="A1:AZ48"/>
  <sheetViews>
    <sheetView topLeftCell="A31" zoomScale="55" zoomScaleNormal="55" zoomScaleSheetLayoutView="50" workbookViewId="0">
      <selection activeCell="L31" sqref="L31:L44"/>
    </sheetView>
  </sheetViews>
  <sheetFormatPr baseColWidth="10" defaultColWidth="11.42578125" defaultRowHeight="16.5"/>
  <cols>
    <col min="1" max="1" width="16" style="2" customWidth="1"/>
    <col min="2" max="2" width="25.42578125" style="2" customWidth="1"/>
    <col min="3" max="3" width="43.42578125" style="2" customWidth="1"/>
    <col min="4" max="4" width="28.28515625" style="2" customWidth="1"/>
    <col min="5" max="5" width="26.140625" style="2" customWidth="1"/>
    <col min="6" max="6" width="32.42578125" style="2" customWidth="1"/>
    <col min="7" max="7" width="29.5703125" style="2" hidden="1" customWidth="1"/>
    <col min="8" max="8" width="32.42578125" style="2" hidden="1" customWidth="1"/>
    <col min="9" max="9" width="33.85546875" style="2" customWidth="1"/>
    <col min="10" max="10" width="23.28515625" style="2" customWidth="1"/>
    <col min="11" max="11" width="28.42578125" style="2" customWidth="1"/>
    <col min="12" max="12" width="33.28515625" style="2" customWidth="1"/>
    <col min="13" max="13" width="11.42578125" style="3" hidden="1" customWidth="1"/>
    <col min="14" max="14" width="15.7109375" style="14" customWidth="1"/>
    <col min="15" max="15" width="41.7109375" style="14" customWidth="1"/>
    <col min="16" max="16" width="23.28515625" style="14" customWidth="1"/>
    <col min="17" max="17" width="11.42578125" style="14" customWidth="1"/>
    <col min="18" max="18" width="11.42578125" style="2"/>
    <col min="19" max="19" width="53.7109375" style="2" customWidth="1"/>
    <col min="20" max="16384" width="11.42578125" style="2"/>
  </cols>
  <sheetData>
    <row r="1" spans="1:17" ht="85.5" customHeight="1" thickBot="1">
      <c r="A1" s="1">
        <v>6</v>
      </c>
      <c r="C1" s="214" t="s">
        <v>29</v>
      </c>
      <c r="D1" s="215"/>
      <c r="E1" s="215"/>
      <c r="F1" s="215"/>
      <c r="G1" s="215"/>
      <c r="H1" s="215"/>
      <c r="I1" s="215"/>
      <c r="J1" s="215"/>
      <c r="K1" s="216"/>
      <c r="L1" s="39"/>
      <c r="N1" s="3"/>
      <c r="O1" s="3"/>
      <c r="P1" s="3"/>
      <c r="Q1" s="3"/>
    </row>
    <row r="2" spans="1:17" ht="16.5" customHeight="1" thickBot="1">
      <c r="A2" s="4"/>
      <c r="B2" s="5"/>
      <c r="C2" s="5"/>
      <c r="D2" s="5"/>
      <c r="E2" s="5"/>
      <c r="F2" s="5"/>
      <c r="G2" s="5"/>
      <c r="H2" s="5"/>
      <c r="I2" s="5"/>
      <c r="J2" s="5"/>
      <c r="K2" s="5"/>
      <c r="L2" s="5"/>
      <c r="N2" s="3"/>
      <c r="O2" s="3"/>
      <c r="P2" s="3"/>
      <c r="Q2" s="3"/>
    </row>
    <row r="3" spans="1:17" ht="54.75" customHeight="1" thickBot="1">
      <c r="A3" s="4"/>
      <c r="B3" s="4"/>
      <c r="C3" s="80" t="s">
        <v>2</v>
      </c>
      <c r="D3" s="372" t="str">
        <f>+'CONSOLIDADO FINANCIERO'!L5</f>
        <v>REALIZAR LAS REPARACIONES LOCATIVAS DE LA INFRAESTRUCTURA FÍSICA DE LA SEDE PRINCIPAL - CNA DEL FONDO NACIONAL DEL AHORRO S.A.</v>
      </c>
      <c r="E3" s="373"/>
      <c r="F3" s="373"/>
      <c r="G3" s="373"/>
      <c r="H3" s="373"/>
      <c r="I3" s="373"/>
      <c r="J3" s="373"/>
      <c r="K3" s="374"/>
      <c r="L3" s="40"/>
      <c r="N3" s="3"/>
      <c r="O3" s="3"/>
      <c r="P3" s="3"/>
      <c r="Q3" s="3"/>
    </row>
    <row r="4" spans="1:17" ht="36.75" customHeight="1" thickBot="1">
      <c r="A4" s="4"/>
      <c r="B4" s="4"/>
      <c r="C4" s="7" t="s">
        <v>4</v>
      </c>
      <c r="D4" s="372" t="str">
        <f>+'CONSOLIDADO FINANCIERO'!D6</f>
        <v>FNA-VGHA-CP-015-2024</v>
      </c>
      <c r="E4" s="373"/>
      <c r="F4" s="373"/>
      <c r="G4" s="373"/>
      <c r="H4" s="373"/>
      <c r="I4" s="373"/>
      <c r="J4" s="373"/>
      <c r="K4" s="374"/>
      <c r="L4" s="40"/>
      <c r="N4" s="3"/>
      <c r="O4" s="3"/>
      <c r="P4" s="3"/>
      <c r="Q4" s="3"/>
    </row>
    <row r="5" spans="1:17" ht="35.25" customHeight="1" thickBot="1">
      <c r="A5" s="4"/>
      <c r="B5" s="4"/>
      <c r="C5" s="8" t="s">
        <v>30</v>
      </c>
      <c r="D5" s="222" t="s">
        <v>303</v>
      </c>
      <c r="E5" s="222"/>
      <c r="F5" s="222"/>
      <c r="G5" s="222"/>
      <c r="H5" s="222"/>
      <c r="I5" s="222"/>
      <c r="J5" s="222"/>
      <c r="K5" s="223"/>
      <c r="L5" s="40"/>
      <c r="N5" s="3"/>
      <c r="O5" s="3"/>
      <c r="P5" s="3"/>
      <c r="Q5" s="3"/>
    </row>
    <row r="6" spans="1:17" ht="16.5" customHeight="1" thickBot="1">
      <c r="A6" s="4"/>
      <c r="B6" s="4"/>
      <c r="C6" s="9"/>
      <c r="D6" s="10"/>
      <c r="E6" s="10"/>
      <c r="F6" s="10"/>
      <c r="G6" s="10"/>
      <c r="H6" s="10"/>
      <c r="I6" s="10"/>
      <c r="J6" s="10"/>
      <c r="K6" s="10"/>
      <c r="L6" s="40"/>
      <c r="N6" s="3"/>
      <c r="O6" s="3"/>
      <c r="P6" s="3"/>
      <c r="Q6" s="3"/>
    </row>
    <row r="7" spans="1:17" ht="60" customHeight="1" thickBot="1">
      <c r="A7" s="4"/>
      <c r="B7" s="4"/>
      <c r="C7" s="224" t="s">
        <v>31</v>
      </c>
      <c r="D7" s="225"/>
      <c r="E7" s="225"/>
      <c r="F7" s="225"/>
      <c r="G7" s="225"/>
      <c r="H7" s="225"/>
      <c r="I7" s="225"/>
      <c r="J7" s="225"/>
      <c r="K7" s="226"/>
      <c r="L7" s="40"/>
      <c r="N7" s="3"/>
      <c r="O7" s="3"/>
      <c r="P7" s="3"/>
      <c r="Q7" s="3"/>
    </row>
    <row r="8" spans="1:17" ht="42.75" customHeight="1" thickBot="1">
      <c r="A8" s="4"/>
      <c r="B8" s="4"/>
      <c r="C8" s="227" t="s">
        <v>304</v>
      </c>
      <c r="D8" s="228"/>
      <c r="E8" s="228"/>
      <c r="F8" s="228"/>
      <c r="G8" s="228"/>
      <c r="H8" s="228"/>
      <c r="I8" s="228"/>
      <c r="J8" s="228"/>
      <c r="K8" s="229"/>
      <c r="L8" s="40"/>
      <c r="N8" s="3"/>
      <c r="O8" s="3"/>
      <c r="P8" s="3"/>
      <c r="Q8" s="3"/>
    </row>
    <row r="9" spans="1:17" ht="36.75" customHeight="1">
      <c r="A9" s="4"/>
      <c r="B9" s="4"/>
      <c r="C9" s="6" t="s">
        <v>33</v>
      </c>
      <c r="D9" s="234">
        <v>45643</v>
      </c>
      <c r="E9" s="234"/>
      <c r="F9" s="234"/>
      <c r="G9" s="234"/>
      <c r="H9" s="234"/>
      <c r="I9" s="234"/>
      <c r="J9" s="235"/>
      <c r="K9" s="236"/>
      <c r="L9" s="40"/>
      <c r="N9" s="3"/>
      <c r="O9" s="3"/>
      <c r="P9" s="3"/>
      <c r="Q9" s="3"/>
    </row>
    <row r="10" spans="1:17" ht="36.75" customHeight="1" thickBot="1">
      <c r="A10" s="4"/>
      <c r="B10" s="4"/>
      <c r="C10" s="7" t="s">
        <v>34</v>
      </c>
      <c r="D10" s="230">
        <v>45624</v>
      </c>
      <c r="E10" s="230"/>
      <c r="F10" s="230"/>
      <c r="G10" s="230"/>
      <c r="H10" s="230"/>
      <c r="I10" s="230"/>
      <c r="J10" s="237" t="str">
        <f>IF(D10&gt;=O10,"CUMPLE","NO CUMPLE")</f>
        <v>CUMPLE</v>
      </c>
      <c r="K10" s="238"/>
      <c r="L10" s="41" t="s">
        <v>35</v>
      </c>
      <c r="M10" s="42">
        <f>IF(J10="CUMPLE",0,1)</f>
        <v>0</v>
      </c>
      <c r="N10" s="13">
        <f ca="1">+TODAY()-30</f>
        <v>45622</v>
      </c>
      <c r="O10" s="12">
        <f>+D9-30</f>
        <v>45613</v>
      </c>
      <c r="P10" s="3" t="s">
        <v>36</v>
      </c>
      <c r="Q10" s="3"/>
    </row>
    <row r="11" spans="1:17" ht="36.75" customHeight="1" thickBot="1">
      <c r="A11" s="4"/>
      <c r="B11" s="4"/>
      <c r="C11" s="7" t="s">
        <v>37</v>
      </c>
      <c r="D11" s="230">
        <v>45383</v>
      </c>
      <c r="E11" s="230"/>
      <c r="F11" s="230"/>
      <c r="G11" s="230"/>
      <c r="H11" s="230"/>
      <c r="I11" s="230"/>
      <c r="J11" s="237" t="str">
        <f>IF(D10&gt;=O11,"CUMPLE","NO CUMPLE")</f>
        <v>CUMPLE</v>
      </c>
      <c r="K11" s="238"/>
      <c r="L11" s="41" t="s">
        <v>35</v>
      </c>
      <c r="M11" s="11">
        <f>IF(J11="CUMPLE",0,1)</f>
        <v>0</v>
      </c>
      <c r="N11" s="3"/>
      <c r="O11" s="13">
        <f>+D11+15</f>
        <v>45398</v>
      </c>
      <c r="P11" s="3" t="s">
        <v>38</v>
      </c>
      <c r="Q11" s="3"/>
    </row>
    <row r="12" spans="1:17" s="14" customFormat="1" ht="41.25" customHeight="1" thickBot="1">
      <c r="A12" s="4"/>
      <c r="B12" s="4"/>
      <c r="C12" s="8" t="s">
        <v>39</v>
      </c>
      <c r="D12" s="230">
        <v>45291</v>
      </c>
      <c r="E12" s="230"/>
      <c r="F12" s="230"/>
      <c r="G12" s="230"/>
      <c r="H12" s="230"/>
      <c r="I12" s="230"/>
      <c r="J12" s="231" t="str">
        <f>IF(D10&gt;=O12,"CUMPLE","NO CUMPLE")</f>
        <v>CUMPLE</v>
      </c>
      <c r="K12" s="232"/>
      <c r="L12" s="41" t="s">
        <v>35</v>
      </c>
      <c r="M12" s="11">
        <f>IF(J12="CUMPLE",0,1)</f>
        <v>0</v>
      </c>
      <c r="N12" s="3"/>
      <c r="O12" s="13">
        <f>+D12+15</f>
        <v>45306</v>
      </c>
      <c r="P12" s="3"/>
      <c r="Q12" s="3"/>
    </row>
    <row r="13" spans="1:17" ht="31.5" customHeight="1" thickBot="1">
      <c r="A13" s="4"/>
      <c r="B13" s="4"/>
      <c r="C13" s="233"/>
      <c r="D13" s="233"/>
      <c r="E13" s="233"/>
      <c r="F13" s="233"/>
      <c r="G13" s="233"/>
      <c r="H13" s="233"/>
      <c r="I13" s="233"/>
      <c r="J13" s="233"/>
      <c r="K13" s="233"/>
      <c r="L13" s="41"/>
      <c r="N13" s="3"/>
      <c r="O13" s="3"/>
      <c r="P13" s="3"/>
      <c r="Q13" s="3"/>
    </row>
    <row r="14" spans="1:17" ht="37.5" hidden="1" customHeight="1" thickBot="1">
      <c r="A14" s="4"/>
      <c r="B14" s="4"/>
      <c r="C14" s="227"/>
      <c r="D14" s="228"/>
      <c r="E14" s="228"/>
      <c r="F14" s="228"/>
      <c r="G14" s="228"/>
      <c r="H14" s="228"/>
      <c r="I14" s="228"/>
      <c r="J14" s="228"/>
      <c r="K14" s="229"/>
      <c r="L14" s="41"/>
      <c r="N14" s="3"/>
      <c r="O14" s="3"/>
      <c r="P14" s="3"/>
      <c r="Q14" s="3"/>
    </row>
    <row r="15" spans="1:17" ht="36.75" hidden="1" customHeight="1">
      <c r="A15" s="4"/>
      <c r="B15" s="4"/>
      <c r="C15" s="6" t="s">
        <v>33</v>
      </c>
      <c r="D15" s="234">
        <v>45638</v>
      </c>
      <c r="E15" s="234"/>
      <c r="F15" s="234"/>
      <c r="G15" s="234"/>
      <c r="H15" s="234"/>
      <c r="I15" s="234"/>
      <c r="J15" s="235"/>
      <c r="K15" s="236"/>
      <c r="L15" s="41"/>
      <c r="N15" s="3"/>
      <c r="O15" s="3"/>
      <c r="P15" s="3"/>
      <c r="Q15" s="3"/>
    </row>
    <row r="16" spans="1:17" ht="36.75" hidden="1" customHeight="1">
      <c r="A16" s="4"/>
      <c r="B16" s="4"/>
      <c r="C16" s="7" t="s">
        <v>34</v>
      </c>
      <c r="D16" s="239">
        <v>45616</v>
      </c>
      <c r="E16" s="239"/>
      <c r="F16" s="239"/>
      <c r="G16" s="239"/>
      <c r="H16" s="239"/>
      <c r="I16" s="239"/>
      <c r="J16" s="237" t="str">
        <f>IF(D16&gt;=O16,"CUMPLE","NO CUMPLE")</f>
        <v>CUMPLE</v>
      </c>
      <c r="K16" s="238"/>
      <c r="L16" s="41" t="s">
        <v>35</v>
      </c>
      <c r="M16" s="11">
        <f>IF(J16="CUMPLE",0,1)</f>
        <v>0</v>
      </c>
      <c r="N16" s="3"/>
      <c r="O16" s="12">
        <f>+D15-30</f>
        <v>45608</v>
      </c>
      <c r="P16" s="3" t="s">
        <v>36</v>
      </c>
      <c r="Q16" s="3"/>
    </row>
    <row r="17" spans="1:19" ht="36.75" hidden="1" customHeight="1">
      <c r="A17" s="4"/>
      <c r="B17" s="4"/>
      <c r="C17" s="7" t="s">
        <v>37</v>
      </c>
      <c r="D17" s="239">
        <v>45416</v>
      </c>
      <c r="E17" s="239"/>
      <c r="F17" s="239"/>
      <c r="G17" s="239"/>
      <c r="H17" s="239"/>
      <c r="I17" s="239"/>
      <c r="J17" s="237" t="str">
        <f>IF(D16&gt;=O17,"CUMPLE","NO CUMPLE")</f>
        <v>CUMPLE</v>
      </c>
      <c r="K17" s="238"/>
      <c r="L17" s="41" t="s">
        <v>35</v>
      </c>
      <c r="M17" s="11">
        <f>IF(J17="CUMPLE",0,1)</f>
        <v>0</v>
      </c>
      <c r="N17" s="3"/>
      <c r="O17" s="13">
        <f>+D17+15</f>
        <v>45431</v>
      </c>
      <c r="P17" s="3" t="s">
        <v>38</v>
      </c>
      <c r="Q17" s="3"/>
    </row>
    <row r="18" spans="1:19" s="14" customFormat="1" ht="36" hidden="1" customHeight="1" thickBot="1">
      <c r="A18" s="4"/>
      <c r="B18" s="4"/>
      <c r="C18" s="8" t="s">
        <v>39</v>
      </c>
      <c r="D18" s="230">
        <v>45291</v>
      </c>
      <c r="E18" s="230"/>
      <c r="F18" s="230"/>
      <c r="G18" s="230"/>
      <c r="H18" s="230"/>
      <c r="I18" s="230"/>
      <c r="J18" s="231" t="str">
        <f>IF(D16&gt;=O18,"CUMPLE","NO CUMPLE")</f>
        <v>CUMPLE</v>
      </c>
      <c r="K18" s="232"/>
      <c r="L18" s="41" t="s">
        <v>35</v>
      </c>
      <c r="M18" s="11">
        <f>IF(J18="CUMPLE",0,1)</f>
        <v>0</v>
      </c>
      <c r="N18" s="3"/>
      <c r="O18" s="13">
        <f>+D18+15</f>
        <v>45306</v>
      </c>
      <c r="P18" s="3"/>
      <c r="Q18" s="3"/>
    </row>
    <row r="19" spans="1:19" ht="13.5" hidden="1" customHeight="1">
      <c r="B19" s="4"/>
      <c r="C19" s="15"/>
      <c r="D19" s="16"/>
      <c r="E19" s="16"/>
      <c r="F19" s="17"/>
      <c r="G19" s="16"/>
      <c r="H19" s="16"/>
      <c r="I19" s="16"/>
      <c r="J19" s="18"/>
      <c r="K19" s="19"/>
      <c r="L19" s="40"/>
      <c r="M19" s="11"/>
      <c r="N19" s="3"/>
      <c r="O19" s="3"/>
      <c r="P19" s="3"/>
      <c r="Q19" s="3"/>
    </row>
    <row r="20" spans="1:19" ht="31.5" hidden="1" customHeight="1" thickBot="1">
      <c r="A20" s="4"/>
      <c r="B20" s="4"/>
      <c r="C20" s="224"/>
      <c r="D20" s="225"/>
      <c r="E20" s="225"/>
      <c r="F20" s="225"/>
      <c r="G20" s="225"/>
      <c r="H20" s="225"/>
      <c r="I20" s="225"/>
      <c r="J20" s="225"/>
      <c r="K20" s="226"/>
      <c r="L20" s="41"/>
      <c r="N20" s="3"/>
      <c r="O20" s="3"/>
      <c r="P20" s="3"/>
      <c r="Q20" s="3"/>
    </row>
    <row r="21" spans="1:19" ht="5.0999999999999996" hidden="1" customHeight="1" thickBot="1">
      <c r="A21" s="4"/>
      <c r="B21" s="4"/>
      <c r="C21" s="9"/>
      <c r="D21" s="10"/>
      <c r="E21" s="10"/>
      <c r="F21" s="10"/>
      <c r="G21" s="10"/>
      <c r="H21" s="10"/>
      <c r="I21" s="10"/>
      <c r="J21" s="10"/>
      <c r="K21" s="10"/>
      <c r="L21" s="41"/>
      <c r="N21" s="3"/>
      <c r="O21" s="3"/>
      <c r="P21" s="3"/>
      <c r="Q21" s="3"/>
    </row>
    <row r="22" spans="1:19" ht="36.75" hidden="1" customHeight="1">
      <c r="A22" s="4"/>
      <c r="B22" s="4"/>
      <c r="C22" s="6" t="s">
        <v>33</v>
      </c>
      <c r="D22" s="234"/>
      <c r="E22" s="234"/>
      <c r="F22" s="234"/>
      <c r="G22" s="234"/>
      <c r="H22" s="234"/>
      <c r="I22" s="234"/>
      <c r="J22" s="235"/>
      <c r="K22" s="236"/>
      <c r="L22" s="41"/>
      <c r="N22" s="3"/>
      <c r="O22" s="3"/>
      <c r="P22" s="3"/>
      <c r="Q22" s="3"/>
    </row>
    <row r="23" spans="1:19" ht="36.75" hidden="1" customHeight="1">
      <c r="A23" s="4"/>
      <c r="B23" s="4"/>
      <c r="C23" s="7" t="s">
        <v>34</v>
      </c>
      <c r="D23" s="239"/>
      <c r="E23" s="239"/>
      <c r="F23" s="239"/>
      <c r="G23" s="239"/>
      <c r="H23" s="239"/>
      <c r="I23" s="239"/>
      <c r="J23" s="237"/>
      <c r="K23" s="237"/>
      <c r="L23" s="41" t="s">
        <v>35</v>
      </c>
      <c r="M23" s="11">
        <f>IF(J23="CUMPLE",0,1)</f>
        <v>1</v>
      </c>
      <c r="N23" s="3"/>
      <c r="O23" s="12">
        <f>+D22-30</f>
        <v>-30</v>
      </c>
      <c r="P23" s="3" t="s">
        <v>36</v>
      </c>
      <c r="Q23" s="3"/>
    </row>
    <row r="24" spans="1:19" ht="36.75" hidden="1" customHeight="1">
      <c r="A24" s="4"/>
      <c r="B24" s="4"/>
      <c r="C24" s="7" t="s">
        <v>37</v>
      </c>
      <c r="D24" s="239"/>
      <c r="E24" s="239"/>
      <c r="F24" s="240"/>
      <c r="G24" s="240"/>
      <c r="H24" s="240"/>
      <c r="I24" s="239"/>
      <c r="J24" s="237"/>
      <c r="K24" s="237"/>
      <c r="L24" s="41" t="s">
        <v>35</v>
      </c>
      <c r="M24" s="11">
        <f>IF(J24="CUMPLE",0,1)</f>
        <v>1</v>
      </c>
      <c r="N24" s="3"/>
      <c r="O24" s="13">
        <f>+D24+15</f>
        <v>15</v>
      </c>
      <c r="P24" s="3" t="s">
        <v>38</v>
      </c>
      <c r="Q24" s="3"/>
    </row>
    <row r="25" spans="1:19" s="14" customFormat="1" ht="36" hidden="1" customHeight="1" thickBot="1">
      <c r="A25" s="4"/>
      <c r="B25" s="4"/>
      <c r="C25" s="8" t="s">
        <v>39</v>
      </c>
      <c r="D25" s="230"/>
      <c r="E25" s="230"/>
      <c r="F25" s="230"/>
      <c r="G25" s="230"/>
      <c r="H25" s="230"/>
      <c r="I25" s="230"/>
      <c r="J25" s="237"/>
      <c r="K25" s="237"/>
      <c r="L25" s="41" t="s">
        <v>35</v>
      </c>
      <c r="M25" s="11">
        <f>IF(J25="CUMPLE",0,1)</f>
        <v>1</v>
      </c>
      <c r="N25" s="3"/>
      <c r="O25" s="13">
        <f>+D25+15</f>
        <v>15</v>
      </c>
      <c r="P25" s="3"/>
      <c r="Q25" s="3"/>
    </row>
    <row r="26" spans="1:19" ht="13.5" hidden="1" customHeight="1" thickBot="1">
      <c r="B26" s="4"/>
      <c r="C26" s="15"/>
      <c r="D26" s="16"/>
      <c r="E26" s="16"/>
      <c r="F26" s="17"/>
      <c r="G26" s="16"/>
      <c r="H26" s="16"/>
      <c r="I26" s="16"/>
      <c r="J26" s="18"/>
      <c r="K26" s="19"/>
      <c r="L26" s="40"/>
      <c r="M26" s="11"/>
      <c r="N26" s="3"/>
      <c r="O26" s="3"/>
      <c r="P26" s="3"/>
      <c r="Q26" s="3"/>
    </row>
    <row r="27" spans="1:19" ht="39" customHeight="1" thickBot="1">
      <c r="A27" s="4"/>
      <c r="B27" s="5"/>
      <c r="C27" s="241" t="s">
        <v>40</v>
      </c>
      <c r="D27" s="242"/>
      <c r="E27" s="242"/>
      <c r="F27" s="243"/>
      <c r="G27" s="242"/>
      <c r="H27" s="242"/>
      <c r="I27" s="242"/>
      <c r="J27" s="242"/>
      <c r="K27" s="244"/>
      <c r="L27" s="5"/>
      <c r="N27" s="3"/>
      <c r="O27" s="3"/>
      <c r="P27" s="3"/>
      <c r="Q27" s="3"/>
    </row>
    <row r="28" spans="1:19" ht="7.5" customHeight="1">
      <c r="A28" s="4"/>
      <c r="B28" s="5"/>
      <c r="C28" s="5"/>
      <c r="D28" s="5"/>
      <c r="E28" s="5"/>
      <c r="F28" s="20"/>
      <c r="G28" s="5"/>
      <c r="H28" s="5"/>
      <c r="I28" s="5"/>
      <c r="J28" s="5"/>
      <c r="K28" s="21"/>
      <c r="L28" s="5"/>
      <c r="N28" s="3"/>
      <c r="O28" s="3"/>
      <c r="P28" s="3"/>
      <c r="Q28" s="3"/>
    </row>
    <row r="29" spans="1:19" s="24" customFormat="1" ht="69" customHeight="1">
      <c r="A29" s="245" t="s">
        <v>41</v>
      </c>
      <c r="B29" s="245" t="s">
        <v>42</v>
      </c>
      <c r="C29" s="245" t="s">
        <v>43</v>
      </c>
      <c r="D29" s="245" t="s">
        <v>44</v>
      </c>
      <c r="E29" s="245" t="s">
        <v>45</v>
      </c>
      <c r="F29" s="23" t="str">
        <f>+C8</f>
        <v>UNINGECOL S A    NIT: 900.176.059 - 4</v>
      </c>
      <c r="G29" s="22">
        <f>+C14</f>
        <v>0</v>
      </c>
      <c r="H29" s="22"/>
      <c r="I29" s="245" t="s">
        <v>46</v>
      </c>
      <c r="J29" s="245" t="s">
        <v>47</v>
      </c>
      <c r="K29" s="245" t="s">
        <v>48</v>
      </c>
      <c r="L29" s="246" t="s">
        <v>49</v>
      </c>
      <c r="M29" s="3"/>
      <c r="N29" s="3"/>
      <c r="O29" s="3"/>
      <c r="P29" s="3"/>
      <c r="Q29" s="3"/>
    </row>
    <row r="30" spans="1:19" s="24" customFormat="1" ht="27" customHeight="1">
      <c r="A30" s="245"/>
      <c r="B30" s="245"/>
      <c r="C30" s="245"/>
      <c r="D30" s="245"/>
      <c r="E30" s="245"/>
      <c r="F30" s="25">
        <v>1</v>
      </c>
      <c r="G30" s="26"/>
      <c r="H30" s="26"/>
      <c r="I30" s="245"/>
      <c r="J30" s="245"/>
      <c r="K30" s="245"/>
      <c r="L30" s="246"/>
      <c r="M30" s="3"/>
      <c r="N30" s="3"/>
      <c r="O30" s="3"/>
      <c r="P30" s="3"/>
      <c r="Q30" s="3"/>
    </row>
    <row r="31" spans="1:19" ht="33" customHeight="1">
      <c r="A31" s="247">
        <v>4.3</v>
      </c>
      <c r="B31" s="248" t="s">
        <v>51</v>
      </c>
      <c r="C31" s="249" t="s">
        <v>52</v>
      </c>
      <c r="D31" s="250">
        <f>'[3]CONSOLIDADO FINANCIERO'!L7*25%</f>
        <v>1320732991.5</v>
      </c>
      <c r="E31" s="27" t="s">
        <v>53</v>
      </c>
      <c r="F31" s="74">
        <v>4391993408</v>
      </c>
      <c r="G31" s="74"/>
      <c r="H31" s="28"/>
      <c r="I31" s="251">
        <f>(F31-F32)+(G31-G32)</f>
        <v>4182343667</v>
      </c>
      <c r="J31" s="252" t="str">
        <f>IF(I31&gt;=D31,"CUMPLE","NO CUMPLE")</f>
        <v>CUMPLE</v>
      </c>
      <c r="K31" s="253" t="s">
        <v>54</v>
      </c>
      <c r="L31" s="254" t="s">
        <v>295</v>
      </c>
      <c r="M31" s="261">
        <f>IF(J31="CUMPLE",0,1)</f>
        <v>0</v>
      </c>
      <c r="N31" s="29"/>
      <c r="O31" s="3"/>
      <c r="P31" s="3"/>
      <c r="Q31" s="3"/>
      <c r="S31" s="46"/>
    </row>
    <row r="32" spans="1:19" ht="33" customHeight="1">
      <c r="A32" s="247"/>
      <c r="B32" s="248"/>
      <c r="C32" s="249"/>
      <c r="D32" s="250"/>
      <c r="E32" s="27" t="s">
        <v>56</v>
      </c>
      <c r="F32" s="74">
        <v>209649741</v>
      </c>
      <c r="G32" s="74"/>
      <c r="H32" s="28"/>
      <c r="I32" s="251"/>
      <c r="J32" s="252"/>
      <c r="K32" s="253"/>
      <c r="L32" s="255"/>
      <c r="M32" s="261"/>
      <c r="N32" s="3"/>
      <c r="O32" s="3"/>
      <c r="P32" s="3"/>
      <c r="Q32" s="3"/>
      <c r="S32" s="46"/>
    </row>
    <row r="33" spans="1:52" ht="33" customHeight="1">
      <c r="A33" s="247">
        <v>4.3</v>
      </c>
      <c r="B33" s="248" t="str">
        <f>B31</f>
        <v>4.3.1 CAPACIDAD FINANCIERA</v>
      </c>
      <c r="C33" s="249" t="s">
        <v>10</v>
      </c>
      <c r="D33" s="262">
        <v>1.9</v>
      </c>
      <c r="E33" s="27" t="s">
        <v>53</v>
      </c>
      <c r="F33" s="75">
        <v>4391993408</v>
      </c>
      <c r="G33" s="75"/>
      <c r="H33" s="43"/>
      <c r="I33" s="392">
        <f>+((F33*F30)+(G33*G30)+(H33*H30))/((F34*F30)+(G34*G30)+(H34*H30))</f>
        <v>20.949195486962228</v>
      </c>
      <c r="J33" s="264" t="str">
        <f>IF(I33&gt;=D33,"CUMPLE","NO CUMPLE")</f>
        <v>CUMPLE</v>
      </c>
      <c r="K33" s="253" t="s">
        <v>54</v>
      </c>
      <c r="L33" s="255"/>
      <c r="M33" s="261">
        <f>IF(J33="CUMPLE",0,1)</f>
        <v>0</v>
      </c>
      <c r="N33" s="3"/>
      <c r="O33" s="3"/>
      <c r="P33" s="3"/>
      <c r="Q33" s="3"/>
      <c r="S33" s="46"/>
    </row>
    <row r="34" spans="1:52" ht="33" customHeight="1">
      <c r="A34" s="247"/>
      <c r="B34" s="248"/>
      <c r="C34" s="249"/>
      <c r="D34" s="262"/>
      <c r="E34" s="27" t="s">
        <v>56</v>
      </c>
      <c r="F34" s="75">
        <v>209649741</v>
      </c>
      <c r="G34" s="75"/>
      <c r="H34" s="35"/>
      <c r="I34" s="392"/>
      <c r="J34" s="264"/>
      <c r="K34" s="257"/>
      <c r="L34" s="255"/>
      <c r="M34" s="261"/>
      <c r="N34" s="3"/>
      <c r="O34" s="3"/>
      <c r="P34" s="3"/>
      <c r="Q34" s="3"/>
    </row>
    <row r="35" spans="1:52" ht="33" customHeight="1">
      <c r="A35" s="247">
        <v>4.3</v>
      </c>
      <c r="B35" s="248" t="str">
        <f>B33</f>
        <v>4.3.1 CAPACIDAD FINANCIERA</v>
      </c>
      <c r="C35" s="249" t="s">
        <v>11</v>
      </c>
      <c r="D35" s="267">
        <v>0.6</v>
      </c>
      <c r="E35" s="30" t="s">
        <v>57</v>
      </c>
      <c r="F35" s="74">
        <v>837288241</v>
      </c>
      <c r="G35" s="74"/>
      <c r="H35" s="35"/>
      <c r="I35" s="371">
        <f>((F35*F30)+(G35*G30)+(H35*H30))/((F36*F30)+(G36*G30)+(H36*H30))</f>
        <v>0.16743551463142406</v>
      </c>
      <c r="J35" s="264" t="str">
        <f>IF(I35&lt;=D35,"CUMPLE","NO CUMPLE")</f>
        <v>CUMPLE</v>
      </c>
      <c r="K35" s="253" t="s">
        <v>54</v>
      </c>
      <c r="L35" s="255"/>
      <c r="M35" s="261">
        <f>IF(J35="CUMPLE",0,1)</f>
        <v>0</v>
      </c>
      <c r="N35" s="3"/>
      <c r="O35" s="3"/>
      <c r="P35" s="3"/>
      <c r="Q35" s="3"/>
    </row>
    <row r="36" spans="1:52" ht="33" customHeight="1">
      <c r="A36" s="247"/>
      <c r="B36" s="248"/>
      <c r="C36" s="249"/>
      <c r="D36" s="267"/>
      <c r="E36" s="30" t="s">
        <v>58</v>
      </c>
      <c r="F36" s="74">
        <v>5000660958</v>
      </c>
      <c r="G36" s="74"/>
      <c r="H36" s="35"/>
      <c r="I36" s="371"/>
      <c r="J36" s="264"/>
      <c r="K36" s="257"/>
      <c r="L36" s="255"/>
      <c r="M36" s="261"/>
      <c r="N36" s="3"/>
      <c r="O36" s="3"/>
      <c r="P36" s="3"/>
      <c r="Q36" s="3"/>
    </row>
    <row r="37" spans="1:52" s="32" customFormat="1" ht="27.75" customHeight="1">
      <c r="A37" s="247">
        <v>4.3</v>
      </c>
      <c r="B37" s="248" t="str">
        <f>B35</f>
        <v>4.3.1 CAPACIDAD FINANCIERA</v>
      </c>
      <c r="C37" s="249" t="s">
        <v>12</v>
      </c>
      <c r="D37" s="265">
        <v>1.49</v>
      </c>
      <c r="E37" s="30" t="s">
        <v>59</v>
      </c>
      <c r="F37" s="74">
        <v>1128549568</v>
      </c>
      <c r="G37" s="74"/>
      <c r="H37" s="35"/>
      <c r="I37" s="370" t="s">
        <v>305</v>
      </c>
      <c r="J37" s="264" t="str">
        <f>IF(I37&gt;=D37,"CUMPLE","NO CUMPLE")</f>
        <v>CUMPLE</v>
      </c>
      <c r="K37" s="258" t="s">
        <v>54</v>
      </c>
      <c r="L37" s="255"/>
      <c r="M37" s="261">
        <f>IF(J37="CUMPLE",0,1)</f>
        <v>0</v>
      </c>
      <c r="N37" s="31"/>
      <c r="O37" s="31"/>
      <c r="P37" s="31"/>
      <c r="Q37" s="31"/>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row>
    <row r="38" spans="1:52" s="32" customFormat="1" ht="27.75" customHeight="1">
      <c r="A38" s="247"/>
      <c r="B38" s="248"/>
      <c r="C38" s="249"/>
      <c r="D38" s="265"/>
      <c r="E38" s="30" t="s">
        <v>60</v>
      </c>
      <c r="F38" s="74">
        <v>0</v>
      </c>
      <c r="G38" s="74"/>
      <c r="H38" s="35"/>
      <c r="I38" s="370"/>
      <c r="J38" s="264"/>
      <c r="K38" s="258"/>
      <c r="L38" s="255"/>
      <c r="M38" s="261"/>
      <c r="N38" s="31"/>
      <c r="O38" s="31"/>
      <c r="P38" s="31"/>
      <c r="Q38" s="31"/>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row>
    <row r="39" spans="1:52" s="34" customFormat="1" ht="33" customHeight="1">
      <c r="A39" s="247">
        <v>4.3</v>
      </c>
      <c r="B39" s="248" t="s">
        <v>62</v>
      </c>
      <c r="C39" s="269" t="s">
        <v>13</v>
      </c>
      <c r="D39" s="270">
        <v>0.11</v>
      </c>
      <c r="E39" s="30" t="s">
        <v>63</v>
      </c>
      <c r="F39" s="75">
        <v>1128549568</v>
      </c>
      <c r="G39" s="75"/>
      <c r="H39" s="33"/>
      <c r="I39" s="271">
        <f>((F39*F30)+(G39*G30)+(H39*H30))/((F40*F30)+(G40*G30)+(H40*H30))</f>
        <v>0.2710661871304183</v>
      </c>
      <c r="J39" s="264" t="str">
        <f>IF(I39&gt;=D39,"CUMPLE","NO CUMPLE")</f>
        <v>CUMPLE</v>
      </c>
      <c r="K39" s="258" t="s">
        <v>54</v>
      </c>
      <c r="L39" s="255"/>
      <c r="M39" s="261">
        <f>IF(J39="CUMPLE",0,1)</f>
        <v>0</v>
      </c>
      <c r="N39" s="3"/>
      <c r="O39" s="3"/>
      <c r="P39" s="3"/>
      <c r="Q39" s="3"/>
      <c r="R39" s="2"/>
    </row>
    <row r="40" spans="1:52" s="34" customFormat="1" ht="33" customHeight="1">
      <c r="A40" s="247"/>
      <c r="B40" s="248"/>
      <c r="C40" s="269"/>
      <c r="D40" s="270"/>
      <c r="E40" s="30" t="s">
        <v>64</v>
      </c>
      <c r="F40" s="74">
        <v>4163372717</v>
      </c>
      <c r="G40" s="74"/>
      <c r="H40" s="35"/>
      <c r="I40" s="271"/>
      <c r="J40" s="264"/>
      <c r="K40" s="258"/>
      <c r="L40" s="255"/>
      <c r="M40" s="261"/>
      <c r="N40" s="3"/>
      <c r="O40" s="3"/>
      <c r="P40" s="3"/>
      <c r="Q40" s="3"/>
      <c r="R40" s="2"/>
    </row>
    <row r="41" spans="1:52" s="34" customFormat="1" ht="33" customHeight="1">
      <c r="A41" s="247">
        <v>4.3</v>
      </c>
      <c r="B41" s="248" t="str">
        <f>+B39</f>
        <v>4.3.2 capacidad Organizacional</v>
      </c>
      <c r="C41" s="269" t="s">
        <v>65</v>
      </c>
      <c r="D41" s="270">
        <v>0.05</v>
      </c>
      <c r="E41" s="30" t="s">
        <v>63</v>
      </c>
      <c r="F41" s="75">
        <v>1128549568</v>
      </c>
      <c r="G41" s="75"/>
      <c r="H41" s="35"/>
      <c r="I41" s="271">
        <f>((F41*F30)+(G41*G30)+(H41*H30))/((F42*F30)+(G42*G30)+(H42*H30))</f>
        <v>0.22568008058905881</v>
      </c>
      <c r="J41" s="264" t="str">
        <f>IF(I41&gt;=D41,"CUMPLE","NO CUMPLE")</f>
        <v>CUMPLE</v>
      </c>
      <c r="K41" s="258" t="s">
        <v>54</v>
      </c>
      <c r="L41" s="255"/>
      <c r="M41" s="261">
        <f>IF(J41="CUMPLE",0,1)</f>
        <v>0</v>
      </c>
      <c r="N41" s="3"/>
      <c r="O41" s="3"/>
      <c r="P41" s="3"/>
      <c r="Q41" s="3"/>
      <c r="R41" s="2"/>
    </row>
    <row r="42" spans="1:52" s="34" customFormat="1" ht="33" customHeight="1">
      <c r="A42" s="247"/>
      <c r="B42" s="248"/>
      <c r="C42" s="269"/>
      <c r="D42" s="270"/>
      <c r="E42" s="30" t="s">
        <v>66</v>
      </c>
      <c r="F42" s="75">
        <v>5000660958</v>
      </c>
      <c r="G42" s="75"/>
      <c r="H42" s="35"/>
      <c r="I42" s="271"/>
      <c r="J42" s="264"/>
      <c r="K42" s="258"/>
      <c r="L42" s="255"/>
      <c r="M42" s="261"/>
      <c r="N42" s="3"/>
      <c r="O42" s="3"/>
      <c r="P42" s="3"/>
      <c r="Q42" s="3"/>
      <c r="R42" s="2"/>
    </row>
    <row r="43" spans="1:52" s="37" customFormat="1" ht="27.75" customHeight="1">
      <c r="A43" s="247">
        <v>4.3</v>
      </c>
      <c r="B43" s="248" t="str">
        <f>B31</f>
        <v>4.3.1 CAPACIDAD FINANCIERA</v>
      </c>
      <c r="C43" s="249" t="s">
        <v>67</v>
      </c>
      <c r="D43" s="278">
        <f>'[3]CONSOLIDADO FINANCIERO'!L7*30%</f>
        <v>1584879589.8</v>
      </c>
      <c r="E43" s="30" t="s">
        <v>66</v>
      </c>
      <c r="F43" s="75">
        <v>5000660958</v>
      </c>
      <c r="G43" s="75"/>
      <c r="H43" s="33"/>
      <c r="I43" s="279">
        <f>(F43-F44)+(G43-G44)</f>
        <v>4163372717</v>
      </c>
      <c r="J43" s="252" t="str">
        <f>IF(I43&gt;=D43,"CUMPLE","NO CUMPLE")</f>
        <v>CUMPLE</v>
      </c>
      <c r="K43" s="259" t="s">
        <v>54</v>
      </c>
      <c r="L43" s="255"/>
      <c r="M43" s="261">
        <f>IF(J43="CUMPLE",0,1)</f>
        <v>0</v>
      </c>
      <c r="N43" s="36"/>
      <c r="O43" s="31"/>
      <c r="P43" s="31"/>
      <c r="Q43" s="31"/>
    </row>
    <row r="44" spans="1:52" s="37" customFormat="1" ht="27.75" customHeight="1" thickBot="1">
      <c r="A44" s="247"/>
      <c r="B44" s="248"/>
      <c r="C44" s="249"/>
      <c r="D44" s="278"/>
      <c r="E44" s="44" t="s">
        <v>68</v>
      </c>
      <c r="F44" s="76">
        <v>837288241</v>
      </c>
      <c r="G44" s="76"/>
      <c r="H44" s="33"/>
      <c r="I44" s="280"/>
      <c r="J44" s="281"/>
      <c r="K44" s="260"/>
      <c r="L44" s="256"/>
      <c r="M44" s="261"/>
      <c r="N44" s="31"/>
      <c r="O44" s="31"/>
      <c r="P44" s="31"/>
      <c r="Q44" s="31"/>
    </row>
    <row r="45" spans="1:52" ht="34.5" customHeight="1" thickBot="1">
      <c r="A45" s="4"/>
      <c r="B45" s="4"/>
      <c r="C45" s="4"/>
      <c r="D45" s="4"/>
      <c r="E45" s="272" t="s">
        <v>69</v>
      </c>
      <c r="F45" s="273"/>
      <c r="G45" s="274"/>
      <c r="H45" s="38"/>
      <c r="I45" s="275" t="str">
        <f>IF(M45&gt;0,"NO CUMPLE","CUMPLE")</f>
        <v>CUMPLE</v>
      </c>
      <c r="J45" s="276"/>
      <c r="K45" s="277"/>
      <c r="L45" s="4"/>
      <c r="M45" s="81">
        <f>SUM(M31:M44)</f>
        <v>0</v>
      </c>
      <c r="N45" s="3"/>
      <c r="O45" s="3"/>
      <c r="P45" s="3"/>
      <c r="Q45" s="3"/>
    </row>
    <row r="46" spans="1:52">
      <c r="A46" s="4"/>
      <c r="B46" s="4"/>
      <c r="C46" s="4"/>
      <c r="D46" s="4"/>
      <c r="E46" s="38"/>
      <c r="F46" s="38"/>
      <c r="G46" s="38"/>
      <c r="H46" s="38"/>
      <c r="I46" s="38"/>
      <c r="J46" s="38"/>
      <c r="K46" s="38"/>
      <c r="L46" s="4"/>
      <c r="N46" s="3"/>
      <c r="O46" s="3"/>
      <c r="P46" s="3"/>
      <c r="Q46" s="3"/>
    </row>
    <row r="47" spans="1:52">
      <c r="A47" s="4"/>
      <c r="B47" s="4"/>
      <c r="C47" s="4"/>
      <c r="D47" s="4"/>
      <c r="E47" s="4"/>
      <c r="F47" s="4"/>
      <c r="G47" s="4"/>
      <c r="H47" s="4"/>
      <c r="I47" s="4"/>
      <c r="J47" s="4"/>
      <c r="K47" s="4"/>
      <c r="L47" s="4"/>
      <c r="N47" s="3"/>
      <c r="O47" s="3"/>
      <c r="P47" s="3"/>
      <c r="Q47" s="3"/>
    </row>
    <row r="48" spans="1:52">
      <c r="A48" s="4"/>
      <c r="B48" s="4"/>
      <c r="C48" s="4"/>
      <c r="D48" s="4"/>
      <c r="E48" s="4"/>
      <c r="F48" s="4"/>
      <c r="G48" s="4"/>
      <c r="H48" s="4"/>
      <c r="I48" s="4"/>
      <c r="J48" s="4"/>
      <c r="K48" s="4"/>
      <c r="L48" s="4"/>
      <c r="N48" s="3"/>
      <c r="O48" s="3"/>
      <c r="P48" s="3"/>
      <c r="Q48" s="3"/>
    </row>
  </sheetData>
  <sheetProtection algorithmName="SHA-512" hashValue="VYllLEPaFZ6bRGoeNqLfSQyo5F0FfbjhotAsVBjTH9qoOau8D3zf349pNitkF7GFf2de3SXk178hNGih9HCrKg==" saltValue="poTOBD5WmKqW2lDau4YgYQ==" spinCount="100000" sheet="1" objects="1" scenarios="1"/>
  <mergeCells count="102">
    <mergeCell ref="C1:K1"/>
    <mergeCell ref="D3:K3"/>
    <mergeCell ref="D4:K4"/>
    <mergeCell ref="D5:K5"/>
    <mergeCell ref="C7:K7"/>
    <mergeCell ref="C8:K8"/>
    <mergeCell ref="D12:I12"/>
    <mergeCell ref="J12:K12"/>
    <mergeCell ref="C13:K13"/>
    <mergeCell ref="C14:K14"/>
    <mergeCell ref="D15:I15"/>
    <mergeCell ref="J15:K15"/>
    <mergeCell ref="D9:I9"/>
    <mergeCell ref="J9:K9"/>
    <mergeCell ref="D10:I10"/>
    <mergeCell ref="J10:K10"/>
    <mergeCell ref="D11:I11"/>
    <mergeCell ref="J11:K11"/>
    <mergeCell ref="C20:K20"/>
    <mergeCell ref="D22:I22"/>
    <mergeCell ref="J22:K22"/>
    <mergeCell ref="D23:I23"/>
    <mergeCell ref="J23:K23"/>
    <mergeCell ref="D24:I24"/>
    <mergeCell ref="J24:K24"/>
    <mergeCell ref="D16:I16"/>
    <mergeCell ref="J16:K16"/>
    <mergeCell ref="D17:I17"/>
    <mergeCell ref="J17:K17"/>
    <mergeCell ref="D18:I18"/>
    <mergeCell ref="J18:K18"/>
    <mergeCell ref="D25:I25"/>
    <mergeCell ref="J25:K25"/>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4"/>
    <mergeCell ref="K35:K36"/>
    <mergeCell ref="K39:K40"/>
    <mergeCell ref="K43:K44"/>
    <mergeCell ref="M31:M32"/>
    <mergeCell ref="A33:A34"/>
    <mergeCell ref="B33:B34"/>
    <mergeCell ref="C33:C34"/>
    <mergeCell ref="D33:D34"/>
    <mergeCell ref="I33:I34"/>
    <mergeCell ref="J33:J34"/>
    <mergeCell ref="K33:K34"/>
    <mergeCell ref="M33:M34"/>
    <mergeCell ref="M35:M36"/>
    <mergeCell ref="A37:A38"/>
    <mergeCell ref="B37:B38"/>
    <mergeCell ref="C37:C38"/>
    <mergeCell ref="D37:D38"/>
    <mergeCell ref="I37:I38"/>
    <mergeCell ref="J37:J38"/>
    <mergeCell ref="K37:K38"/>
    <mergeCell ref="M37:M38"/>
    <mergeCell ref="A35:A36"/>
    <mergeCell ref="B35:B36"/>
    <mergeCell ref="C35:C36"/>
    <mergeCell ref="D35:D36"/>
    <mergeCell ref="I35:I36"/>
    <mergeCell ref="J35:J36"/>
    <mergeCell ref="M39:M40"/>
    <mergeCell ref="A41:A42"/>
    <mergeCell ref="B41:B42"/>
    <mergeCell ref="C41:C42"/>
    <mergeCell ref="D41:D42"/>
    <mergeCell ref="I41:I42"/>
    <mergeCell ref="J41:J42"/>
    <mergeCell ref="K41:K42"/>
    <mergeCell ref="M41:M42"/>
    <mergeCell ref="A39:A40"/>
    <mergeCell ref="B39:B40"/>
    <mergeCell ref="C39:C40"/>
    <mergeCell ref="D39:D40"/>
    <mergeCell ref="I39:I40"/>
    <mergeCell ref="J39:J40"/>
    <mergeCell ref="M43:M44"/>
    <mergeCell ref="E45:G45"/>
    <mergeCell ref="I45:K45"/>
    <mergeCell ref="A43:A44"/>
    <mergeCell ref="B43:B44"/>
    <mergeCell ref="C43:C44"/>
    <mergeCell ref="D43:D44"/>
    <mergeCell ref="I43:I44"/>
    <mergeCell ref="J43:J44"/>
  </mergeCells>
  <conditionalFormatting sqref="J10:J12">
    <cfRule type="cellIs" dxfId="175" priority="11" operator="equal">
      <formula>"CUMPLE"</formula>
    </cfRule>
  </conditionalFormatting>
  <conditionalFormatting sqref="J16:J18">
    <cfRule type="cellIs" dxfId="174" priority="1" operator="equal">
      <formula>"CUMPLE"</formula>
    </cfRule>
  </conditionalFormatting>
  <conditionalFormatting sqref="J23:J25">
    <cfRule type="cellIs" dxfId="173" priority="3" operator="equal">
      <formula>"CUMPLE"</formula>
    </cfRule>
  </conditionalFormatting>
  <conditionalFormatting sqref="J31:J44">
    <cfRule type="cellIs" dxfId="172" priority="6" operator="equal">
      <formula>"CUMPLE"</formula>
    </cfRule>
    <cfRule type="cellIs" dxfId="171" priority="7" operator="equal">
      <formula>"NO CUMPLE"</formula>
    </cfRule>
  </conditionalFormatting>
  <conditionalFormatting sqref="J19:K19">
    <cfRule type="cellIs" dxfId="170" priority="10" operator="equal">
      <formula>"CUMPLE"</formula>
    </cfRule>
  </conditionalFormatting>
  <conditionalFormatting sqref="J26:K26">
    <cfRule type="cellIs" dxfId="169" priority="2" operator="equal">
      <formula>"CUMPLE"</formula>
    </cfRule>
  </conditionalFormatting>
  <conditionalFormatting sqref="K31">
    <cfRule type="cellIs" dxfId="168" priority="20" operator="equal">
      <formula>"CUMPLE"</formula>
    </cfRule>
    <cfRule type="cellIs" dxfId="167" priority="21" operator="equal">
      <formula>"NO CUMPLE"</formula>
    </cfRule>
  </conditionalFormatting>
  <conditionalFormatting sqref="K33 K35 K39 K41">
    <cfRule type="cellIs" dxfId="166" priority="16" operator="equal">
      <formula>"CUMPLE"</formula>
    </cfRule>
    <cfRule type="cellIs" dxfId="165" priority="17" operator="equal">
      <formula>"NO CUMPLE"</formula>
    </cfRule>
  </conditionalFormatting>
  <conditionalFormatting sqref="K37">
    <cfRule type="cellIs" dxfId="164" priority="4" operator="equal">
      <formula>"CUMPLE"</formula>
    </cfRule>
    <cfRule type="cellIs" dxfId="163" priority="5" operator="equal">
      <formula>"NO CUMPLE"</formula>
    </cfRule>
  </conditionalFormatting>
  <conditionalFormatting sqref="K43">
    <cfRule type="cellIs" dxfId="162" priority="8" operator="equal">
      <formula>"CUMPLE"</formula>
    </cfRule>
    <cfRule type="cellIs" dxfId="161" priority="9" operator="equal">
      <formula>"NO CUMPLE"</formula>
    </cfRule>
  </conditionalFormatting>
  <conditionalFormatting sqref="M10:M12">
    <cfRule type="cellIs" dxfId="160" priority="14" operator="equal">
      <formula>"CUMPLE"</formula>
    </cfRule>
    <cfRule type="cellIs" dxfId="159" priority="15" operator="equal">
      <formula>"NO CUMPLE"</formula>
    </cfRule>
  </conditionalFormatting>
  <conditionalFormatting sqref="M16:M19 M23:M26">
    <cfRule type="cellIs" dxfId="158" priority="12" operator="equal">
      <formula>"CUMPLE"</formula>
    </cfRule>
    <cfRule type="cellIs" dxfId="157" priority="13" operator="equal">
      <formula>"NO CUMPLE"</formula>
    </cfRule>
  </conditionalFormatting>
  <conditionalFormatting sqref="M31 M33 M35 M37 M39 M41 M43">
    <cfRule type="cellIs" dxfId="156" priority="18" operator="equal">
      <formula>"CUMPLE"</formula>
    </cfRule>
    <cfRule type="cellIs" dxfId="155" priority="19" operator="equal">
      <formula>"NO CUMPLE"</formula>
    </cfRule>
  </conditionalFormatting>
  <pageMargins left="0.70866141732283472" right="0.70866141732283472" top="0.74803149606299213" bottom="0.74803149606299213" header="0.31496062992125984" footer="0.31496062992125984"/>
  <pageSetup scale="33"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EDF15-572D-4385-A380-B932645CF391}">
  <sheetPr>
    <tabColor rgb="FFFF0000"/>
  </sheetPr>
  <dimension ref="A1:BN145"/>
  <sheetViews>
    <sheetView showGridLines="0" topLeftCell="A140" zoomScale="70" zoomScaleNormal="70" workbookViewId="0">
      <selection activeCell="K15" sqref="K15"/>
    </sheetView>
  </sheetViews>
  <sheetFormatPr baseColWidth="10" defaultColWidth="11.42578125" defaultRowHeight="15"/>
  <cols>
    <col min="2" max="2" width="8.5703125" customWidth="1"/>
    <col min="3" max="3" width="8" customWidth="1"/>
    <col min="4" max="4" width="23.85546875" bestFit="1" customWidth="1"/>
    <col min="5" max="5" width="64.140625" customWidth="1"/>
    <col min="6" max="6" width="19.140625" bestFit="1" customWidth="1"/>
    <col min="7" max="7" width="13.7109375" bestFit="1" customWidth="1"/>
    <col min="8" max="8" width="27" customWidth="1"/>
    <col min="9" max="10" width="32.140625" customWidth="1"/>
    <col min="11" max="11" width="21.85546875" customWidth="1"/>
    <col min="12" max="12" width="26.28515625" customWidth="1"/>
    <col min="13" max="13" width="19.42578125" customWidth="1"/>
    <col min="14" max="14" width="20.7109375" customWidth="1"/>
    <col min="15" max="15" width="10.5703125" customWidth="1"/>
    <col min="16" max="16" width="20.7109375" customWidth="1"/>
    <col min="17" max="17" width="19.28515625" customWidth="1"/>
    <col min="18" max="18" width="20.28515625" customWidth="1"/>
    <col min="19" max="19" width="20.85546875" customWidth="1"/>
    <col min="20" max="20" width="22" customWidth="1"/>
    <col min="21" max="21" width="20.140625" bestFit="1" customWidth="1"/>
    <col min="22" max="22" width="18.5703125" bestFit="1" customWidth="1"/>
  </cols>
  <sheetData>
    <row r="1" spans="1:66" ht="15" customHeight="1">
      <c r="A1" s="330"/>
      <c r="B1" s="331"/>
      <c r="C1" s="331"/>
      <c r="D1" s="332"/>
      <c r="E1" s="339" t="s">
        <v>70</v>
      </c>
      <c r="F1" s="340"/>
      <c r="G1" s="340"/>
      <c r="H1" s="340"/>
      <c r="I1" s="340"/>
      <c r="J1" s="341"/>
    </row>
    <row r="2" spans="1:66">
      <c r="A2" s="333"/>
      <c r="B2" s="334"/>
      <c r="C2" s="334"/>
      <c r="D2" s="335"/>
      <c r="E2" s="342"/>
      <c r="F2" s="343"/>
      <c r="G2" s="343"/>
      <c r="H2" s="343"/>
      <c r="I2" s="343"/>
      <c r="J2" s="344"/>
    </row>
    <row r="3" spans="1:66">
      <c r="A3" s="333"/>
      <c r="B3" s="334"/>
      <c r="C3" s="334"/>
      <c r="D3" s="335"/>
      <c r="E3" s="342"/>
      <c r="F3" s="343"/>
      <c r="G3" s="343"/>
      <c r="H3" s="343"/>
      <c r="I3" s="343"/>
      <c r="J3" s="344"/>
    </row>
    <row r="4" spans="1:66" ht="38.25" customHeight="1" thickBot="1">
      <c r="A4" s="336"/>
      <c r="B4" s="337"/>
      <c r="C4" s="337"/>
      <c r="D4" s="338"/>
      <c r="E4" s="345"/>
      <c r="F4" s="346"/>
      <c r="G4" s="346"/>
      <c r="H4" s="346"/>
      <c r="I4" s="346"/>
      <c r="J4" s="347"/>
    </row>
    <row r="5" spans="1:66" ht="42" customHeight="1" thickBot="1">
      <c r="A5" s="348" t="s">
        <v>71</v>
      </c>
      <c r="B5" s="349"/>
      <c r="C5" s="349"/>
      <c r="D5" s="349"/>
      <c r="E5" s="349"/>
      <c r="F5" s="349"/>
      <c r="G5" s="349"/>
      <c r="H5" s="349"/>
      <c r="I5" s="349"/>
      <c r="J5" s="349"/>
    </row>
    <row r="6" spans="1:66" ht="34.5" customHeight="1" thickBot="1">
      <c r="A6" s="317" t="s">
        <v>72</v>
      </c>
      <c r="B6" s="318"/>
      <c r="C6" s="318"/>
      <c r="D6" s="319"/>
      <c r="E6" s="394" t="s">
        <v>5</v>
      </c>
      <c r="F6" s="395"/>
      <c r="G6" s="395"/>
      <c r="H6" s="395"/>
      <c r="I6" s="395"/>
      <c r="J6" s="396"/>
    </row>
    <row r="7" spans="1:66" ht="53.25" customHeight="1" thickBot="1">
      <c r="A7" s="317" t="s">
        <v>73</v>
      </c>
      <c r="B7" s="318"/>
      <c r="C7" s="318"/>
      <c r="D7" s="319"/>
      <c r="E7" s="350" t="s">
        <v>74</v>
      </c>
      <c r="F7" s="351"/>
      <c r="G7" s="351"/>
      <c r="H7" s="351"/>
      <c r="I7" s="351"/>
      <c r="J7" s="352"/>
    </row>
    <row r="8" spans="1:66" ht="27" customHeight="1" thickBot="1">
      <c r="A8" s="317" t="s">
        <v>75</v>
      </c>
      <c r="B8" s="318"/>
      <c r="C8" s="318"/>
      <c r="D8" s="319"/>
      <c r="E8" s="394" t="s">
        <v>306</v>
      </c>
      <c r="F8" s="395"/>
      <c r="G8" s="395"/>
      <c r="H8" s="395"/>
      <c r="I8" s="395"/>
      <c r="J8" s="396"/>
    </row>
    <row r="9" spans="1:66" ht="27" customHeight="1" thickBot="1">
      <c r="A9" s="317" t="s">
        <v>77</v>
      </c>
      <c r="B9" s="318"/>
      <c r="C9" s="318"/>
      <c r="D9" s="319"/>
      <c r="E9" s="394" t="s">
        <v>307</v>
      </c>
      <c r="F9" s="395"/>
      <c r="G9" s="395"/>
      <c r="H9" s="395"/>
      <c r="I9" s="395"/>
      <c r="J9" s="396"/>
    </row>
    <row r="10" spans="1:66" ht="27" customHeight="1" thickBot="1">
      <c r="A10" s="317" t="s">
        <v>79</v>
      </c>
      <c r="B10" s="318"/>
      <c r="C10" s="318"/>
      <c r="D10" s="319"/>
      <c r="E10" s="394" t="s">
        <v>308</v>
      </c>
      <c r="F10" s="395"/>
      <c r="G10" s="395"/>
      <c r="H10" s="395"/>
      <c r="I10" s="395"/>
      <c r="J10" s="396"/>
    </row>
    <row r="11" spans="1:66" ht="27" customHeight="1" thickBot="1">
      <c r="A11" s="317" t="s">
        <v>81</v>
      </c>
      <c r="B11" s="318"/>
      <c r="C11" s="318"/>
      <c r="D11" s="319"/>
      <c r="E11" s="394" t="s">
        <v>309</v>
      </c>
      <c r="F11" s="395"/>
      <c r="G11" s="395"/>
      <c r="H11" s="395"/>
      <c r="I11" s="395"/>
      <c r="J11" s="396"/>
    </row>
    <row r="12" spans="1:66" ht="225.75" customHeight="1" thickBot="1">
      <c r="A12" s="323" t="s">
        <v>82</v>
      </c>
      <c r="B12" s="324"/>
      <c r="C12" s="324"/>
      <c r="D12" s="324"/>
      <c r="E12" s="324"/>
      <c r="F12" s="324"/>
      <c r="G12" s="324"/>
      <c r="H12" s="324"/>
      <c r="I12" s="324"/>
      <c r="J12" s="325"/>
    </row>
    <row r="13" spans="1:66" ht="12.75" customHeight="1"/>
    <row r="14" spans="1:66" ht="48" customHeight="1">
      <c r="A14" s="326" t="s">
        <v>83</v>
      </c>
      <c r="B14" s="326"/>
      <c r="C14" s="326" t="s">
        <v>84</v>
      </c>
      <c r="D14" s="326"/>
      <c r="E14" s="326"/>
      <c r="F14" s="327" t="s">
        <v>85</v>
      </c>
      <c r="G14" s="327" t="s">
        <v>86</v>
      </c>
      <c r="H14" s="327" t="s">
        <v>87</v>
      </c>
      <c r="I14" s="328" t="s">
        <v>88</v>
      </c>
      <c r="J14" s="328"/>
      <c r="BN14" s="84"/>
    </row>
    <row r="15" spans="1:66" ht="48.75" customHeight="1">
      <c r="A15" s="326"/>
      <c r="B15" s="326"/>
      <c r="C15" s="326"/>
      <c r="D15" s="326"/>
      <c r="E15" s="326"/>
      <c r="F15" s="327"/>
      <c r="G15" s="327"/>
      <c r="H15" s="327"/>
      <c r="I15" s="85" t="s">
        <v>89</v>
      </c>
      <c r="J15" s="85" t="s">
        <v>90</v>
      </c>
      <c r="K15" s="132" t="s">
        <v>91</v>
      </c>
      <c r="L15" s="173" t="s">
        <v>296</v>
      </c>
      <c r="BN15" s="84"/>
    </row>
    <row r="16" spans="1:66" ht="60.75" customHeight="1">
      <c r="A16" s="310" t="s">
        <v>93</v>
      </c>
      <c r="B16" s="310"/>
      <c r="C16" s="303" t="s">
        <v>94</v>
      </c>
      <c r="D16" s="303"/>
      <c r="E16" s="303"/>
      <c r="F16" s="86" t="s">
        <v>95</v>
      </c>
      <c r="G16" s="87">
        <v>2000</v>
      </c>
      <c r="H16" s="88">
        <v>16341</v>
      </c>
      <c r="I16" s="88">
        <v>15883</v>
      </c>
      <c r="J16" s="88">
        <f>+ROUND(I16*G16,0)</f>
        <v>31766000</v>
      </c>
      <c r="K16" s="133">
        <f>I16-H16</f>
        <v>-458</v>
      </c>
      <c r="L16" s="134">
        <f>I16/H16</f>
        <v>0.97197233951410567</v>
      </c>
      <c r="N16" t="str">
        <f>+IF(I16&lt;H16,"OK",IF(I16=0," "))</f>
        <v>OK</v>
      </c>
      <c r="BN16" s="89"/>
    </row>
    <row r="17" spans="1:66" ht="60.75" customHeight="1">
      <c r="A17" s="310" t="s">
        <v>96</v>
      </c>
      <c r="B17" s="310"/>
      <c r="C17" s="303" t="s">
        <v>97</v>
      </c>
      <c r="D17" s="303"/>
      <c r="E17" s="303"/>
      <c r="F17" s="86" t="s">
        <v>98</v>
      </c>
      <c r="G17" s="87">
        <v>300</v>
      </c>
      <c r="H17" s="88">
        <v>43227</v>
      </c>
      <c r="I17" s="88">
        <v>42017</v>
      </c>
      <c r="J17" s="88">
        <f t="shared" ref="J17:J72" si="0">+ROUND(I17*G17,0)</f>
        <v>12605100</v>
      </c>
      <c r="K17" s="133">
        <f t="shared" ref="K17:K80" si="1">I17-H17</f>
        <v>-1210</v>
      </c>
      <c r="L17" s="134">
        <f t="shared" ref="L17:L80" si="2">I17/H17</f>
        <v>0.97200823559349481</v>
      </c>
      <c r="N17" t="str">
        <f t="shared" ref="N17:N80" si="3">+IF(I17&lt;H17,"OK",IF(I17=0," "))</f>
        <v>OK</v>
      </c>
      <c r="BN17" s="90"/>
    </row>
    <row r="18" spans="1:66" ht="60.75" customHeight="1">
      <c r="A18" s="310" t="s">
        <v>99</v>
      </c>
      <c r="B18" s="310"/>
      <c r="C18" s="303" t="s">
        <v>100</v>
      </c>
      <c r="D18" s="303"/>
      <c r="E18" s="303"/>
      <c r="F18" s="86" t="s">
        <v>98</v>
      </c>
      <c r="G18" s="87">
        <v>2332.42</v>
      </c>
      <c r="H18" s="88">
        <v>30375</v>
      </c>
      <c r="I18" s="88">
        <v>29525</v>
      </c>
      <c r="J18" s="88">
        <f t="shared" si="0"/>
        <v>68864701</v>
      </c>
      <c r="K18" s="133">
        <f t="shared" si="1"/>
        <v>-850</v>
      </c>
      <c r="L18" s="134">
        <f t="shared" si="2"/>
        <v>0.97201646090534977</v>
      </c>
      <c r="N18" t="str">
        <f t="shared" si="3"/>
        <v>OK</v>
      </c>
      <c r="BN18" s="89"/>
    </row>
    <row r="19" spans="1:66" ht="60.75" customHeight="1">
      <c r="A19" s="310" t="s">
        <v>101</v>
      </c>
      <c r="B19" s="310"/>
      <c r="C19" s="303" t="s">
        <v>102</v>
      </c>
      <c r="D19" s="303"/>
      <c r="E19" s="303"/>
      <c r="F19" s="86" t="s">
        <v>98</v>
      </c>
      <c r="G19" s="87">
        <v>2332.42</v>
      </c>
      <c r="H19" s="88">
        <v>64685</v>
      </c>
      <c r="I19" s="88">
        <v>62874</v>
      </c>
      <c r="J19" s="88">
        <f t="shared" si="0"/>
        <v>146648575</v>
      </c>
      <c r="K19" s="133">
        <f t="shared" si="1"/>
        <v>-1811</v>
      </c>
      <c r="L19" s="134">
        <f t="shared" si="2"/>
        <v>0.97200278271624019</v>
      </c>
      <c r="N19" t="str">
        <f t="shared" si="3"/>
        <v>OK</v>
      </c>
      <c r="BN19" s="90"/>
    </row>
    <row r="20" spans="1:66" ht="60.75" customHeight="1">
      <c r="A20" s="310" t="s">
        <v>103</v>
      </c>
      <c r="B20" s="310"/>
      <c r="C20" s="303" t="s">
        <v>104</v>
      </c>
      <c r="D20" s="303"/>
      <c r="E20" s="303"/>
      <c r="F20" s="86" t="s">
        <v>98</v>
      </c>
      <c r="G20" s="87">
        <v>2332.42</v>
      </c>
      <c r="H20" s="88">
        <v>129968</v>
      </c>
      <c r="I20" s="88">
        <v>126329</v>
      </c>
      <c r="J20" s="88">
        <f t="shared" si="0"/>
        <v>294652286</v>
      </c>
      <c r="K20" s="133">
        <f t="shared" si="1"/>
        <v>-3639</v>
      </c>
      <c r="L20" s="134">
        <f t="shared" si="2"/>
        <v>0.97200080019697155</v>
      </c>
      <c r="N20" t="str">
        <f t="shared" si="3"/>
        <v>OK</v>
      </c>
      <c r="BN20" s="90"/>
    </row>
    <row r="21" spans="1:66" ht="60.75" customHeight="1">
      <c r="A21" s="310" t="s">
        <v>105</v>
      </c>
      <c r="B21" s="310"/>
      <c r="C21" s="303" t="s">
        <v>106</v>
      </c>
      <c r="D21" s="303"/>
      <c r="E21" s="303"/>
      <c r="F21" s="86" t="s">
        <v>98</v>
      </c>
      <c r="G21" s="87">
        <v>150</v>
      </c>
      <c r="H21" s="88">
        <v>53922</v>
      </c>
      <c r="I21" s="88">
        <v>52412</v>
      </c>
      <c r="J21" s="88">
        <f t="shared" si="0"/>
        <v>7861800</v>
      </c>
      <c r="K21" s="133">
        <f t="shared" si="1"/>
        <v>-1510</v>
      </c>
      <c r="L21" s="134">
        <f t="shared" si="2"/>
        <v>0.97199658766366237</v>
      </c>
      <c r="N21" t="str">
        <f t="shared" si="3"/>
        <v>OK</v>
      </c>
      <c r="BB21" s="91"/>
      <c r="BC21" s="92"/>
      <c r="BD21" s="91"/>
      <c r="BE21" s="91"/>
      <c r="BF21" s="93"/>
      <c r="BH21" s="91"/>
      <c r="BI21" s="92"/>
      <c r="BJ21" s="91"/>
      <c r="BK21" s="91"/>
      <c r="BL21" s="93"/>
      <c r="BN21" s="90"/>
    </row>
    <row r="22" spans="1:66" ht="60.75" customHeight="1">
      <c r="A22" s="310" t="s">
        <v>107</v>
      </c>
      <c r="B22" s="310"/>
      <c r="C22" s="303" t="s">
        <v>108</v>
      </c>
      <c r="D22" s="303"/>
      <c r="E22" s="303"/>
      <c r="F22" s="86" t="s">
        <v>98</v>
      </c>
      <c r="G22" s="87">
        <v>150</v>
      </c>
      <c r="H22" s="88">
        <v>305942</v>
      </c>
      <c r="I22" s="88">
        <v>297376</v>
      </c>
      <c r="J22" s="88">
        <f t="shared" si="0"/>
        <v>44606400</v>
      </c>
      <c r="K22" s="133">
        <f t="shared" si="1"/>
        <v>-8566</v>
      </c>
      <c r="L22" s="134">
        <f t="shared" si="2"/>
        <v>0.97200122899111596</v>
      </c>
      <c r="N22" t="str">
        <f t="shared" si="3"/>
        <v>OK</v>
      </c>
      <c r="BB22" s="91"/>
      <c r="BC22" s="92"/>
      <c r="BD22" s="91"/>
      <c r="BE22" s="91"/>
      <c r="BF22" s="93"/>
      <c r="BH22" s="91"/>
      <c r="BI22" s="92"/>
      <c r="BJ22" s="91"/>
      <c r="BK22" s="91"/>
      <c r="BL22" s="93"/>
      <c r="BN22" s="90"/>
    </row>
    <row r="23" spans="1:66" ht="92.25" customHeight="1">
      <c r="A23" s="310" t="s">
        <v>109</v>
      </c>
      <c r="B23" s="310"/>
      <c r="C23" s="303" t="s">
        <v>110</v>
      </c>
      <c r="D23" s="303"/>
      <c r="E23" s="303"/>
      <c r="F23" s="86" t="s">
        <v>95</v>
      </c>
      <c r="G23" s="87">
        <v>231</v>
      </c>
      <c r="H23" s="88">
        <v>125271</v>
      </c>
      <c r="I23" s="88">
        <v>121763</v>
      </c>
      <c r="J23" s="88">
        <f t="shared" si="0"/>
        <v>28127253</v>
      </c>
      <c r="K23" s="133">
        <f t="shared" si="1"/>
        <v>-3508</v>
      </c>
      <c r="L23" s="134">
        <f t="shared" si="2"/>
        <v>0.97199671113026953</v>
      </c>
      <c r="N23" t="str">
        <f t="shared" si="3"/>
        <v>OK</v>
      </c>
      <c r="BB23" s="91"/>
      <c r="BC23" s="92"/>
      <c r="BD23" s="91"/>
      <c r="BE23" s="91"/>
      <c r="BF23" s="93"/>
      <c r="BH23" s="91"/>
      <c r="BI23" s="92"/>
      <c r="BJ23" s="91"/>
      <c r="BK23" s="91"/>
      <c r="BL23" s="93"/>
      <c r="BN23" s="90"/>
    </row>
    <row r="24" spans="1:66" ht="60.75" customHeight="1">
      <c r="A24" s="310" t="s">
        <v>111</v>
      </c>
      <c r="B24" s="310"/>
      <c r="C24" s="303" t="s">
        <v>112</v>
      </c>
      <c r="D24" s="303"/>
      <c r="E24" s="303"/>
      <c r="F24" s="86" t="s">
        <v>113</v>
      </c>
      <c r="G24" s="87">
        <v>50</v>
      </c>
      <c r="H24" s="88">
        <v>88909</v>
      </c>
      <c r="I24" s="88">
        <v>86420</v>
      </c>
      <c r="J24" s="88">
        <f t="shared" si="0"/>
        <v>4321000</v>
      </c>
      <c r="K24" s="133">
        <f t="shared" si="1"/>
        <v>-2489</v>
      </c>
      <c r="L24" s="134">
        <f t="shared" si="2"/>
        <v>0.97200508384977902</v>
      </c>
      <c r="N24" t="str">
        <f t="shared" si="3"/>
        <v>OK</v>
      </c>
      <c r="BB24" s="91"/>
      <c r="BC24" s="92"/>
      <c r="BD24" s="91"/>
      <c r="BE24" s="91"/>
      <c r="BF24" s="93"/>
      <c r="BH24" s="91"/>
      <c r="BI24" s="92"/>
      <c r="BJ24" s="91"/>
      <c r="BK24" s="91"/>
      <c r="BL24" s="93"/>
      <c r="BN24" s="90"/>
    </row>
    <row r="25" spans="1:66" ht="60.75" customHeight="1">
      <c r="A25" s="310" t="s">
        <v>114</v>
      </c>
      <c r="B25" s="310"/>
      <c r="C25" s="303" t="s">
        <v>115</v>
      </c>
      <c r="D25" s="303"/>
      <c r="E25" s="303"/>
      <c r="F25" s="86" t="s">
        <v>113</v>
      </c>
      <c r="G25" s="87">
        <v>50</v>
      </c>
      <c r="H25" s="88">
        <v>97000</v>
      </c>
      <c r="I25" s="88">
        <v>94284</v>
      </c>
      <c r="J25" s="88">
        <f t="shared" si="0"/>
        <v>4714200</v>
      </c>
      <c r="K25" s="133">
        <f t="shared" si="1"/>
        <v>-2716</v>
      </c>
      <c r="L25" s="134">
        <f t="shared" si="2"/>
        <v>0.97199999999999998</v>
      </c>
      <c r="N25" t="str">
        <f t="shared" si="3"/>
        <v>OK</v>
      </c>
      <c r="BB25" s="91"/>
      <c r="BC25" s="92"/>
      <c r="BD25" s="91"/>
      <c r="BE25" s="91"/>
      <c r="BF25" s="93"/>
      <c r="BH25" s="91"/>
      <c r="BI25" s="92"/>
      <c r="BJ25" s="91"/>
      <c r="BK25" s="91"/>
      <c r="BL25" s="93"/>
      <c r="BN25" s="90"/>
    </row>
    <row r="26" spans="1:66" ht="60.75" customHeight="1">
      <c r="A26" s="302" t="s">
        <v>116</v>
      </c>
      <c r="B26" s="302"/>
      <c r="C26" s="303" t="s">
        <v>117</v>
      </c>
      <c r="D26" s="303"/>
      <c r="E26" s="303"/>
      <c r="F26" s="94" t="s">
        <v>98</v>
      </c>
      <c r="G26" s="95">
        <v>80</v>
      </c>
      <c r="H26" s="88">
        <v>38338</v>
      </c>
      <c r="I26" s="88">
        <v>37265</v>
      </c>
      <c r="J26" s="88">
        <f t="shared" si="0"/>
        <v>2981200</v>
      </c>
      <c r="K26" s="133">
        <f t="shared" si="1"/>
        <v>-1073</v>
      </c>
      <c r="L26" s="134">
        <f t="shared" si="2"/>
        <v>0.97201210287443263</v>
      </c>
      <c r="N26" t="str">
        <f t="shared" si="3"/>
        <v>OK</v>
      </c>
    </row>
    <row r="27" spans="1:66" ht="60.75" customHeight="1">
      <c r="A27" s="302" t="s">
        <v>118</v>
      </c>
      <c r="B27" s="302"/>
      <c r="C27" s="303" t="s">
        <v>119</v>
      </c>
      <c r="D27" s="303"/>
      <c r="E27" s="303"/>
      <c r="F27" s="94" t="s">
        <v>98</v>
      </c>
      <c r="G27" s="95">
        <v>1800</v>
      </c>
      <c r="H27" s="88">
        <v>35000</v>
      </c>
      <c r="I27" s="88">
        <v>34020</v>
      </c>
      <c r="J27" s="88">
        <f t="shared" si="0"/>
        <v>61236000</v>
      </c>
      <c r="K27" s="133">
        <f t="shared" si="1"/>
        <v>-980</v>
      </c>
      <c r="L27" s="134">
        <f t="shared" si="2"/>
        <v>0.97199999999999998</v>
      </c>
      <c r="N27" t="str">
        <f t="shared" si="3"/>
        <v>OK</v>
      </c>
    </row>
    <row r="28" spans="1:66" ht="60.75" customHeight="1">
      <c r="A28" s="302" t="s">
        <v>120</v>
      </c>
      <c r="B28" s="302"/>
      <c r="C28" s="303" t="s">
        <v>121</v>
      </c>
      <c r="D28" s="303"/>
      <c r="E28" s="303"/>
      <c r="F28" s="94" t="s">
        <v>98</v>
      </c>
      <c r="G28" s="95">
        <v>80</v>
      </c>
      <c r="H28" s="88">
        <v>96707</v>
      </c>
      <c r="I28" s="88">
        <v>93999</v>
      </c>
      <c r="J28" s="88">
        <f t="shared" si="0"/>
        <v>7519920</v>
      </c>
      <c r="K28" s="133">
        <f t="shared" si="1"/>
        <v>-2708</v>
      </c>
      <c r="L28" s="134">
        <f t="shared" si="2"/>
        <v>0.97199789053532837</v>
      </c>
      <c r="N28" t="str">
        <f t="shared" si="3"/>
        <v>OK</v>
      </c>
    </row>
    <row r="29" spans="1:66" ht="60.75" customHeight="1">
      <c r="A29" s="302" t="s">
        <v>122</v>
      </c>
      <c r="B29" s="302"/>
      <c r="C29" s="303" t="s">
        <v>123</v>
      </c>
      <c r="D29" s="303"/>
      <c r="E29" s="303"/>
      <c r="F29" s="94" t="s">
        <v>98</v>
      </c>
      <c r="G29" s="95">
        <v>80</v>
      </c>
      <c r="H29" s="88">
        <v>130500</v>
      </c>
      <c r="I29" s="88">
        <v>126846</v>
      </c>
      <c r="J29" s="88">
        <f t="shared" si="0"/>
        <v>10147680</v>
      </c>
      <c r="K29" s="133">
        <f t="shared" si="1"/>
        <v>-3654</v>
      </c>
      <c r="L29" s="134">
        <f t="shared" si="2"/>
        <v>0.97199999999999998</v>
      </c>
      <c r="N29" t="str">
        <f t="shared" si="3"/>
        <v>OK</v>
      </c>
    </row>
    <row r="30" spans="1:66" ht="60.75" customHeight="1">
      <c r="A30" s="310" t="s">
        <v>124</v>
      </c>
      <c r="B30" s="310"/>
      <c r="C30" s="303" t="s">
        <v>125</v>
      </c>
      <c r="D30" s="303"/>
      <c r="E30" s="303"/>
      <c r="F30" s="94" t="s">
        <v>113</v>
      </c>
      <c r="G30" s="95">
        <v>100</v>
      </c>
      <c r="H30" s="88">
        <v>1233196</v>
      </c>
      <c r="I30" s="88">
        <v>1198667</v>
      </c>
      <c r="J30" s="88">
        <f t="shared" si="0"/>
        <v>119866700</v>
      </c>
      <c r="K30" s="133">
        <f t="shared" si="1"/>
        <v>-34529</v>
      </c>
      <c r="L30" s="134">
        <f t="shared" si="2"/>
        <v>0.97200039571973962</v>
      </c>
      <c r="N30" t="str">
        <f t="shared" si="3"/>
        <v>OK</v>
      </c>
    </row>
    <row r="31" spans="1:66" ht="60.75" customHeight="1">
      <c r="A31" s="310" t="s">
        <v>126</v>
      </c>
      <c r="B31" s="310"/>
      <c r="C31" s="303" t="s">
        <v>127</v>
      </c>
      <c r="D31" s="303"/>
      <c r="E31" s="303"/>
      <c r="F31" s="94" t="s">
        <v>113</v>
      </c>
      <c r="G31" s="95">
        <v>85</v>
      </c>
      <c r="H31" s="88">
        <v>749188</v>
      </c>
      <c r="I31" s="88">
        <v>728211</v>
      </c>
      <c r="J31" s="88">
        <f t="shared" si="0"/>
        <v>61897935</v>
      </c>
      <c r="K31" s="133">
        <f t="shared" si="1"/>
        <v>-20977</v>
      </c>
      <c r="L31" s="134">
        <f t="shared" si="2"/>
        <v>0.97200035238151172</v>
      </c>
      <c r="N31" t="str">
        <f t="shared" si="3"/>
        <v>OK</v>
      </c>
    </row>
    <row r="32" spans="1:66" ht="60.75" customHeight="1">
      <c r="A32" s="310" t="s">
        <v>128</v>
      </c>
      <c r="B32" s="310"/>
      <c r="C32" s="303" t="s">
        <v>129</v>
      </c>
      <c r="D32" s="303"/>
      <c r="E32" s="303"/>
      <c r="F32" s="94" t="s">
        <v>113</v>
      </c>
      <c r="G32" s="95">
        <v>20</v>
      </c>
      <c r="H32" s="88">
        <v>1242026</v>
      </c>
      <c r="I32" s="88">
        <v>1207249</v>
      </c>
      <c r="J32" s="88">
        <f t="shared" si="0"/>
        <v>24144980</v>
      </c>
      <c r="K32" s="133">
        <f t="shared" si="1"/>
        <v>-34777</v>
      </c>
      <c r="L32" s="134">
        <f t="shared" si="2"/>
        <v>0.97199978100297413</v>
      </c>
      <c r="N32" t="str">
        <f t="shared" si="3"/>
        <v>OK</v>
      </c>
    </row>
    <row r="33" spans="1:14" ht="60.75" customHeight="1">
      <c r="A33" s="310" t="s">
        <v>130</v>
      </c>
      <c r="B33" s="310"/>
      <c r="C33" s="303" t="s">
        <v>131</v>
      </c>
      <c r="D33" s="303"/>
      <c r="E33" s="303"/>
      <c r="F33" s="94" t="s">
        <v>98</v>
      </c>
      <c r="G33" s="95">
        <v>45</v>
      </c>
      <c r="H33" s="88">
        <v>40656</v>
      </c>
      <c r="I33" s="88">
        <v>39518</v>
      </c>
      <c r="J33" s="88">
        <f t="shared" si="0"/>
        <v>1778310</v>
      </c>
      <c r="K33" s="133">
        <f t="shared" si="1"/>
        <v>-1138</v>
      </c>
      <c r="L33" s="134">
        <f t="shared" si="2"/>
        <v>0.97200905155450612</v>
      </c>
      <c r="N33" t="str">
        <f t="shared" si="3"/>
        <v>OK</v>
      </c>
    </row>
    <row r="34" spans="1:14" ht="60.75" customHeight="1">
      <c r="A34" s="310" t="s">
        <v>132</v>
      </c>
      <c r="B34" s="310"/>
      <c r="C34" s="303" t="s">
        <v>133</v>
      </c>
      <c r="D34" s="303"/>
      <c r="E34" s="303"/>
      <c r="F34" s="94" t="s">
        <v>98</v>
      </c>
      <c r="G34" s="95">
        <v>45</v>
      </c>
      <c r="H34" s="88">
        <v>1032471</v>
      </c>
      <c r="I34" s="88">
        <v>1003562</v>
      </c>
      <c r="J34" s="88">
        <f t="shared" si="0"/>
        <v>45160290</v>
      </c>
      <c r="K34" s="133">
        <f t="shared" si="1"/>
        <v>-28909</v>
      </c>
      <c r="L34" s="134">
        <f t="shared" si="2"/>
        <v>0.97200018208743877</v>
      </c>
      <c r="N34" t="str">
        <f t="shared" si="3"/>
        <v>OK</v>
      </c>
    </row>
    <row r="35" spans="1:14" ht="60.75" customHeight="1">
      <c r="A35" s="310" t="s">
        <v>134</v>
      </c>
      <c r="B35" s="310"/>
      <c r="C35" s="303" t="s">
        <v>135</v>
      </c>
      <c r="D35" s="303"/>
      <c r="E35" s="303"/>
      <c r="F35" s="94" t="s">
        <v>113</v>
      </c>
      <c r="G35" s="95">
        <v>275</v>
      </c>
      <c r="H35" s="88">
        <v>112609</v>
      </c>
      <c r="I35" s="88">
        <v>109456</v>
      </c>
      <c r="J35" s="88">
        <f t="shared" si="0"/>
        <v>30100400</v>
      </c>
      <c r="K35" s="133">
        <f t="shared" si="1"/>
        <v>-3153</v>
      </c>
      <c r="L35" s="134">
        <f t="shared" si="2"/>
        <v>0.9720004617748137</v>
      </c>
      <c r="N35" t="str">
        <f t="shared" si="3"/>
        <v>OK</v>
      </c>
    </row>
    <row r="36" spans="1:14" ht="60.75" customHeight="1">
      <c r="A36" s="310" t="s">
        <v>136</v>
      </c>
      <c r="B36" s="310"/>
      <c r="C36" s="303" t="s">
        <v>137</v>
      </c>
      <c r="D36" s="303"/>
      <c r="E36" s="303"/>
      <c r="F36" s="94" t="s">
        <v>113</v>
      </c>
      <c r="G36" s="95">
        <v>1</v>
      </c>
      <c r="H36" s="88">
        <v>131148</v>
      </c>
      <c r="I36" s="88">
        <v>127476</v>
      </c>
      <c r="J36" s="88">
        <f t="shared" si="0"/>
        <v>127476</v>
      </c>
      <c r="K36" s="133">
        <f t="shared" si="1"/>
        <v>-3672</v>
      </c>
      <c r="L36" s="134">
        <f t="shared" si="2"/>
        <v>0.97200109799615697</v>
      </c>
      <c r="N36" t="str">
        <f t="shared" si="3"/>
        <v>OK</v>
      </c>
    </row>
    <row r="37" spans="1:14" ht="60.75" customHeight="1">
      <c r="A37" s="310" t="s">
        <v>138</v>
      </c>
      <c r="B37" s="310"/>
      <c r="C37" s="303" t="s">
        <v>139</v>
      </c>
      <c r="D37" s="303"/>
      <c r="E37" s="303"/>
      <c r="F37" s="94" t="s">
        <v>113</v>
      </c>
      <c r="G37" s="95">
        <v>1</v>
      </c>
      <c r="H37" s="88">
        <v>1224745</v>
      </c>
      <c r="I37" s="88">
        <v>1190452</v>
      </c>
      <c r="J37" s="88">
        <f t="shared" si="0"/>
        <v>1190452</v>
      </c>
      <c r="K37" s="133">
        <f t="shared" si="1"/>
        <v>-34293</v>
      </c>
      <c r="L37" s="134">
        <f t="shared" si="2"/>
        <v>0.97199988569049067</v>
      </c>
      <c r="N37" t="str">
        <f t="shared" si="3"/>
        <v>OK</v>
      </c>
    </row>
    <row r="38" spans="1:14" ht="60.75" customHeight="1">
      <c r="A38" s="310" t="s">
        <v>140</v>
      </c>
      <c r="B38" s="310"/>
      <c r="C38" s="303" t="s">
        <v>141</v>
      </c>
      <c r="D38" s="303"/>
      <c r="E38" s="303"/>
      <c r="F38" s="94" t="s">
        <v>98</v>
      </c>
      <c r="G38" s="95">
        <v>4500</v>
      </c>
      <c r="H38" s="88">
        <v>34663</v>
      </c>
      <c r="I38" s="88">
        <v>33692</v>
      </c>
      <c r="J38" s="88">
        <f t="shared" si="0"/>
        <v>151614000</v>
      </c>
      <c r="K38" s="133">
        <f t="shared" si="1"/>
        <v>-971</v>
      </c>
      <c r="L38" s="134">
        <f t="shared" si="2"/>
        <v>0.97198742174653086</v>
      </c>
      <c r="N38" t="str">
        <f t="shared" si="3"/>
        <v>OK</v>
      </c>
    </row>
    <row r="39" spans="1:14" ht="60.75" customHeight="1">
      <c r="A39" s="314" t="s">
        <v>142</v>
      </c>
      <c r="B39" s="315"/>
      <c r="C39" s="315"/>
      <c r="D39" s="315"/>
      <c r="E39" s="315"/>
      <c r="F39" s="315"/>
      <c r="G39" s="315"/>
      <c r="H39" s="315"/>
      <c r="I39" s="316"/>
      <c r="J39" s="96">
        <f>SUM(J16:J38)</f>
        <v>1161932658</v>
      </c>
      <c r="K39" s="133">
        <f t="shared" si="1"/>
        <v>0</v>
      </c>
      <c r="L39" s="134" t="e">
        <f t="shared" si="2"/>
        <v>#DIV/0!</v>
      </c>
      <c r="N39" t="str">
        <f t="shared" si="3"/>
        <v xml:space="preserve"> </v>
      </c>
    </row>
    <row r="40" spans="1:14" ht="60.75" customHeight="1">
      <c r="A40" s="310" t="s">
        <v>93</v>
      </c>
      <c r="B40" s="310"/>
      <c r="C40" s="303" t="s">
        <v>143</v>
      </c>
      <c r="D40" s="303"/>
      <c r="E40" s="303"/>
      <c r="F40" s="94" t="s">
        <v>98</v>
      </c>
      <c r="G40" s="95">
        <v>250</v>
      </c>
      <c r="H40" s="88">
        <v>49033</v>
      </c>
      <c r="I40" s="88">
        <v>47660</v>
      </c>
      <c r="J40" s="88">
        <f t="shared" si="0"/>
        <v>11915000</v>
      </c>
      <c r="K40" s="133">
        <f t="shared" si="1"/>
        <v>-1373</v>
      </c>
      <c r="L40" s="134">
        <f t="shared" si="2"/>
        <v>0.97199845002345364</v>
      </c>
      <c r="N40" t="str">
        <f t="shared" si="3"/>
        <v>OK</v>
      </c>
    </row>
    <row r="41" spans="1:14" ht="60.75" customHeight="1">
      <c r="A41" s="310" t="s">
        <v>96</v>
      </c>
      <c r="B41" s="310"/>
      <c r="C41" s="303" t="s">
        <v>144</v>
      </c>
      <c r="D41" s="303"/>
      <c r="E41" s="303"/>
      <c r="F41" s="94" t="s">
        <v>98</v>
      </c>
      <c r="G41" s="95">
        <v>61</v>
      </c>
      <c r="H41" s="88">
        <v>50667</v>
      </c>
      <c r="I41" s="88">
        <v>49248</v>
      </c>
      <c r="J41" s="88">
        <f t="shared" si="0"/>
        <v>3004128</v>
      </c>
      <c r="K41" s="133">
        <f t="shared" si="1"/>
        <v>-1419</v>
      </c>
      <c r="L41" s="134">
        <f t="shared" si="2"/>
        <v>0.97199360530522827</v>
      </c>
      <c r="N41" t="str">
        <f t="shared" si="3"/>
        <v>OK</v>
      </c>
    </row>
    <row r="42" spans="1:14" ht="60.75" customHeight="1">
      <c r="A42" s="310" t="s">
        <v>145</v>
      </c>
      <c r="B42" s="310"/>
      <c r="C42" s="303" t="s">
        <v>117</v>
      </c>
      <c r="D42" s="303"/>
      <c r="E42" s="303"/>
      <c r="F42" s="94" t="s">
        <v>98</v>
      </c>
      <c r="G42" s="95">
        <v>1070</v>
      </c>
      <c r="H42" s="88">
        <v>36183</v>
      </c>
      <c r="I42" s="88">
        <v>35170</v>
      </c>
      <c r="J42" s="88">
        <f t="shared" si="0"/>
        <v>37631900</v>
      </c>
      <c r="K42" s="133">
        <f t="shared" si="1"/>
        <v>-1013</v>
      </c>
      <c r="L42" s="134">
        <f t="shared" si="2"/>
        <v>0.97200342702374043</v>
      </c>
      <c r="N42" t="str">
        <f t="shared" si="3"/>
        <v>OK</v>
      </c>
    </row>
    <row r="43" spans="1:14" ht="60.75" customHeight="1">
      <c r="A43" s="310" t="s">
        <v>146</v>
      </c>
      <c r="B43" s="310"/>
      <c r="C43" s="303" t="s">
        <v>147</v>
      </c>
      <c r="D43" s="303"/>
      <c r="E43" s="303"/>
      <c r="F43" s="94" t="s">
        <v>148</v>
      </c>
      <c r="G43" s="95">
        <v>1</v>
      </c>
      <c r="H43" s="88">
        <v>13063210</v>
      </c>
      <c r="I43" s="88">
        <v>12697440</v>
      </c>
      <c r="J43" s="88">
        <f t="shared" si="0"/>
        <v>12697440</v>
      </c>
      <c r="K43" s="133">
        <f t="shared" si="1"/>
        <v>-365770</v>
      </c>
      <c r="L43" s="134">
        <f t="shared" si="2"/>
        <v>0.97199999081389643</v>
      </c>
      <c r="N43" t="str">
        <f t="shared" si="3"/>
        <v>OK</v>
      </c>
    </row>
    <row r="44" spans="1:14" ht="60.75" customHeight="1">
      <c r="A44" s="310" t="s">
        <v>149</v>
      </c>
      <c r="B44" s="310"/>
      <c r="C44" s="303" t="s">
        <v>150</v>
      </c>
      <c r="D44" s="303"/>
      <c r="E44" s="303"/>
      <c r="F44" s="94" t="s">
        <v>113</v>
      </c>
      <c r="G44" s="95">
        <v>135</v>
      </c>
      <c r="H44" s="88">
        <v>96339</v>
      </c>
      <c r="I44" s="88">
        <v>93642</v>
      </c>
      <c r="J44" s="88">
        <f t="shared" si="0"/>
        <v>12641670</v>
      </c>
      <c r="K44" s="133">
        <f t="shared" si="1"/>
        <v>-2697</v>
      </c>
      <c r="L44" s="134">
        <f t="shared" si="2"/>
        <v>0.97200510696602627</v>
      </c>
      <c r="N44" t="str">
        <f t="shared" si="3"/>
        <v>OK</v>
      </c>
    </row>
    <row r="45" spans="1:14" ht="60.75" customHeight="1">
      <c r="A45" s="310" t="s">
        <v>151</v>
      </c>
      <c r="B45" s="310"/>
      <c r="C45" s="303" t="s">
        <v>152</v>
      </c>
      <c r="D45" s="303"/>
      <c r="E45" s="303"/>
      <c r="F45" s="94" t="s">
        <v>98</v>
      </c>
      <c r="G45" s="95">
        <v>78</v>
      </c>
      <c r="H45" s="88">
        <v>95199</v>
      </c>
      <c r="I45" s="88">
        <v>92533</v>
      </c>
      <c r="J45" s="88">
        <f t="shared" si="0"/>
        <v>7217574</v>
      </c>
      <c r="K45" s="133">
        <f t="shared" si="1"/>
        <v>-2666</v>
      </c>
      <c r="L45" s="134">
        <f t="shared" si="2"/>
        <v>0.97199550415445546</v>
      </c>
      <c r="N45" t="str">
        <f t="shared" si="3"/>
        <v>OK</v>
      </c>
    </row>
    <row r="46" spans="1:14" ht="60.75" customHeight="1">
      <c r="A46" s="310" t="s">
        <v>99</v>
      </c>
      <c r="B46" s="310"/>
      <c r="C46" s="303" t="s">
        <v>153</v>
      </c>
      <c r="D46" s="303"/>
      <c r="E46" s="303"/>
      <c r="F46" s="94" t="s">
        <v>95</v>
      </c>
      <c r="G46" s="95">
        <v>100</v>
      </c>
      <c r="H46" s="88">
        <v>203925</v>
      </c>
      <c r="I46" s="88">
        <v>198215</v>
      </c>
      <c r="J46" s="88">
        <f t="shared" si="0"/>
        <v>19821500</v>
      </c>
      <c r="K46" s="133">
        <f t="shared" si="1"/>
        <v>-5710</v>
      </c>
      <c r="L46" s="134">
        <f t="shared" si="2"/>
        <v>0.97199950962363613</v>
      </c>
      <c r="N46" t="str">
        <f t="shared" si="3"/>
        <v>OK</v>
      </c>
    </row>
    <row r="47" spans="1:14" ht="60.75" customHeight="1">
      <c r="A47" s="310" t="s">
        <v>101</v>
      </c>
      <c r="B47" s="310"/>
      <c r="C47" s="303" t="s">
        <v>154</v>
      </c>
      <c r="D47" s="303"/>
      <c r="E47" s="303"/>
      <c r="F47" s="94" t="s">
        <v>95</v>
      </c>
      <c r="G47" s="95">
        <v>130</v>
      </c>
      <c r="H47" s="88">
        <v>186288</v>
      </c>
      <c r="I47" s="88">
        <v>181072</v>
      </c>
      <c r="J47" s="88">
        <f t="shared" si="0"/>
        <v>23539360</v>
      </c>
      <c r="K47" s="133">
        <f t="shared" si="1"/>
        <v>-5216</v>
      </c>
      <c r="L47" s="134">
        <f t="shared" si="2"/>
        <v>0.97200034355406684</v>
      </c>
      <c r="N47" t="str">
        <f t="shared" si="3"/>
        <v>OK</v>
      </c>
    </row>
    <row r="48" spans="1:14" ht="60.75" customHeight="1">
      <c r="A48" s="310" t="s">
        <v>116</v>
      </c>
      <c r="B48" s="310"/>
      <c r="C48" s="303" t="s">
        <v>155</v>
      </c>
      <c r="D48" s="303"/>
      <c r="E48" s="303"/>
      <c r="F48" s="94" t="s">
        <v>98</v>
      </c>
      <c r="G48" s="95">
        <v>30</v>
      </c>
      <c r="H48" s="88">
        <v>205133</v>
      </c>
      <c r="I48" s="88">
        <v>199389</v>
      </c>
      <c r="J48" s="88">
        <f t="shared" si="0"/>
        <v>5981670</v>
      </c>
      <c r="K48" s="133">
        <f t="shared" si="1"/>
        <v>-5744</v>
      </c>
      <c r="L48" s="134">
        <f t="shared" si="2"/>
        <v>0.97199865453145029</v>
      </c>
      <c r="N48" t="str">
        <f t="shared" si="3"/>
        <v>OK</v>
      </c>
    </row>
    <row r="49" spans="1:14" ht="60.75" customHeight="1">
      <c r="A49" s="310" t="s">
        <v>124</v>
      </c>
      <c r="B49" s="310"/>
      <c r="C49" s="303" t="s">
        <v>156</v>
      </c>
      <c r="D49" s="303"/>
      <c r="E49" s="303"/>
      <c r="F49" s="94" t="s">
        <v>98</v>
      </c>
      <c r="G49" s="95">
        <v>1301</v>
      </c>
      <c r="H49" s="88">
        <v>131613</v>
      </c>
      <c r="I49" s="88">
        <v>127928</v>
      </c>
      <c r="J49" s="88">
        <f t="shared" si="0"/>
        <v>166434328</v>
      </c>
      <c r="K49" s="133">
        <f t="shared" si="1"/>
        <v>-3685</v>
      </c>
      <c r="L49" s="134">
        <f t="shared" si="2"/>
        <v>0.97200124607751515</v>
      </c>
      <c r="N49" t="str">
        <f t="shared" si="3"/>
        <v>OK</v>
      </c>
    </row>
    <row r="50" spans="1:14" ht="60.75" customHeight="1">
      <c r="A50" s="310" t="s">
        <v>126</v>
      </c>
      <c r="B50" s="310"/>
      <c r="C50" s="303" t="s">
        <v>157</v>
      </c>
      <c r="D50" s="303"/>
      <c r="E50" s="303"/>
      <c r="F50" s="94" t="s">
        <v>98</v>
      </c>
      <c r="G50" s="95">
        <v>1301</v>
      </c>
      <c r="H50" s="88">
        <v>33384</v>
      </c>
      <c r="I50" s="88">
        <v>32449</v>
      </c>
      <c r="J50" s="88">
        <f t="shared" si="0"/>
        <v>42216149</v>
      </c>
      <c r="K50" s="133">
        <f t="shared" si="1"/>
        <v>-935</v>
      </c>
      <c r="L50" s="134">
        <f t="shared" si="2"/>
        <v>0.97199257129163674</v>
      </c>
      <c r="N50" t="str">
        <f t="shared" si="3"/>
        <v>OK</v>
      </c>
    </row>
    <row r="51" spans="1:14" ht="60.75" customHeight="1">
      <c r="A51" s="302" t="s">
        <v>136</v>
      </c>
      <c r="B51" s="302"/>
      <c r="C51" s="303" t="s">
        <v>158</v>
      </c>
      <c r="D51" s="303"/>
      <c r="E51" s="303"/>
      <c r="F51" s="97" t="s">
        <v>98</v>
      </c>
      <c r="G51" s="98">
        <v>1070</v>
      </c>
      <c r="H51" s="88">
        <v>194913</v>
      </c>
      <c r="I51" s="88">
        <v>189455</v>
      </c>
      <c r="J51" s="88">
        <f t="shared" si="0"/>
        <v>202716850</v>
      </c>
      <c r="K51" s="133">
        <f t="shared" si="1"/>
        <v>-5458</v>
      </c>
      <c r="L51" s="134">
        <f t="shared" si="2"/>
        <v>0.97199776310456465</v>
      </c>
      <c r="N51" t="str">
        <f t="shared" si="3"/>
        <v>OK</v>
      </c>
    </row>
    <row r="52" spans="1:14" ht="60.75" customHeight="1">
      <c r="A52" s="310" t="s">
        <v>140</v>
      </c>
      <c r="B52" s="310"/>
      <c r="C52" s="303" t="s">
        <v>159</v>
      </c>
      <c r="D52" s="303"/>
      <c r="E52" s="303"/>
      <c r="F52" s="97" t="s">
        <v>95</v>
      </c>
      <c r="G52" s="98">
        <v>2400</v>
      </c>
      <c r="H52" s="88">
        <v>20487</v>
      </c>
      <c r="I52" s="88">
        <v>19913</v>
      </c>
      <c r="J52" s="88">
        <f t="shared" si="0"/>
        <v>47791200</v>
      </c>
      <c r="K52" s="133">
        <f t="shared" si="1"/>
        <v>-574</v>
      </c>
      <c r="L52" s="134">
        <f t="shared" si="2"/>
        <v>0.97198223263532968</v>
      </c>
      <c r="N52" t="str">
        <f t="shared" si="3"/>
        <v>OK</v>
      </c>
    </row>
    <row r="53" spans="1:14" ht="60.75" customHeight="1">
      <c r="A53" s="310" t="s">
        <v>160</v>
      </c>
      <c r="B53" s="310"/>
      <c r="C53" s="303" t="s">
        <v>161</v>
      </c>
      <c r="D53" s="303"/>
      <c r="E53" s="303"/>
      <c r="F53" s="97" t="s">
        <v>95</v>
      </c>
      <c r="G53" s="98">
        <v>200</v>
      </c>
      <c r="H53" s="88">
        <v>373466</v>
      </c>
      <c r="I53" s="88">
        <v>363009</v>
      </c>
      <c r="J53" s="88">
        <f t="shared" si="0"/>
        <v>72601800</v>
      </c>
      <c r="K53" s="133">
        <f t="shared" si="1"/>
        <v>-10457</v>
      </c>
      <c r="L53" s="134">
        <f t="shared" si="2"/>
        <v>0.97200012852575601</v>
      </c>
      <c r="N53" t="str">
        <f t="shared" si="3"/>
        <v>OK</v>
      </c>
    </row>
    <row r="54" spans="1:14" ht="60.75" customHeight="1">
      <c r="A54" s="310" t="s">
        <v>162</v>
      </c>
      <c r="B54" s="310"/>
      <c r="C54" s="303" t="s">
        <v>163</v>
      </c>
      <c r="D54" s="303"/>
      <c r="E54" s="303"/>
      <c r="F54" s="97" t="s">
        <v>113</v>
      </c>
      <c r="G54" s="98">
        <v>240</v>
      </c>
      <c r="H54" s="88">
        <v>157875</v>
      </c>
      <c r="I54" s="88">
        <v>153455</v>
      </c>
      <c r="J54" s="88">
        <f t="shared" si="0"/>
        <v>36829200</v>
      </c>
      <c r="K54" s="133">
        <f t="shared" si="1"/>
        <v>-4420</v>
      </c>
      <c r="L54" s="134">
        <f t="shared" si="2"/>
        <v>0.97200316706254952</v>
      </c>
      <c r="N54" t="str">
        <f t="shared" si="3"/>
        <v>OK</v>
      </c>
    </row>
    <row r="55" spans="1:14" ht="60.75" customHeight="1">
      <c r="A55" s="310" t="s">
        <v>164</v>
      </c>
      <c r="B55" s="310"/>
      <c r="C55" s="303" t="s">
        <v>165</v>
      </c>
      <c r="D55" s="303"/>
      <c r="E55" s="303"/>
      <c r="F55" s="97" t="s">
        <v>113</v>
      </c>
      <c r="G55" s="98">
        <v>60</v>
      </c>
      <c r="H55" s="88">
        <v>177999</v>
      </c>
      <c r="I55" s="88">
        <v>173015</v>
      </c>
      <c r="J55" s="88">
        <f t="shared" si="0"/>
        <v>10380900</v>
      </c>
      <c r="K55" s="133">
        <f t="shared" si="1"/>
        <v>-4984</v>
      </c>
      <c r="L55" s="134">
        <f t="shared" si="2"/>
        <v>0.97199984269574546</v>
      </c>
      <c r="N55" t="str">
        <f t="shared" si="3"/>
        <v>OK</v>
      </c>
    </row>
    <row r="56" spans="1:14" ht="60.75" customHeight="1">
      <c r="A56" s="310" t="s">
        <v>166</v>
      </c>
      <c r="B56" s="310"/>
      <c r="C56" s="303" t="s">
        <v>167</v>
      </c>
      <c r="D56" s="303"/>
      <c r="E56" s="303"/>
      <c r="F56" s="97" t="s">
        <v>113</v>
      </c>
      <c r="G56" s="98">
        <v>82</v>
      </c>
      <c r="H56" s="88">
        <v>327191</v>
      </c>
      <c r="I56" s="88">
        <v>318030</v>
      </c>
      <c r="J56" s="88">
        <f t="shared" si="0"/>
        <v>26078460</v>
      </c>
      <c r="K56" s="133">
        <f t="shared" si="1"/>
        <v>-9161</v>
      </c>
      <c r="L56" s="134">
        <f t="shared" si="2"/>
        <v>0.97200106359893768</v>
      </c>
      <c r="N56" t="str">
        <f t="shared" si="3"/>
        <v>OK</v>
      </c>
    </row>
    <row r="57" spans="1:14" ht="60.75" customHeight="1">
      <c r="A57" s="310" t="s">
        <v>168</v>
      </c>
      <c r="B57" s="310"/>
      <c r="C57" s="303" t="s">
        <v>169</v>
      </c>
      <c r="D57" s="303"/>
      <c r="E57" s="303"/>
      <c r="F57" s="97" t="s">
        <v>113</v>
      </c>
      <c r="G57" s="98">
        <v>90</v>
      </c>
      <c r="H57" s="88">
        <v>230677</v>
      </c>
      <c r="I57" s="88">
        <v>224218</v>
      </c>
      <c r="J57" s="88">
        <f t="shared" si="0"/>
        <v>20179620</v>
      </c>
      <c r="K57" s="133">
        <f t="shared" si="1"/>
        <v>-6459</v>
      </c>
      <c r="L57" s="134">
        <f t="shared" si="2"/>
        <v>0.97199980925709972</v>
      </c>
      <c r="N57" t="str">
        <f t="shared" si="3"/>
        <v>OK</v>
      </c>
    </row>
    <row r="58" spans="1:14" ht="60.75" customHeight="1">
      <c r="A58" s="310" t="s">
        <v>170</v>
      </c>
      <c r="B58" s="310"/>
      <c r="C58" s="303" t="s">
        <v>171</v>
      </c>
      <c r="D58" s="303"/>
      <c r="E58" s="303"/>
      <c r="F58" s="97" t="s">
        <v>113</v>
      </c>
      <c r="G58" s="98">
        <v>7</v>
      </c>
      <c r="H58" s="88">
        <v>196020</v>
      </c>
      <c r="I58" s="88">
        <v>190531</v>
      </c>
      <c r="J58" s="88">
        <f t="shared" si="0"/>
        <v>1333717</v>
      </c>
      <c r="K58" s="133">
        <f t="shared" si="1"/>
        <v>-5489</v>
      </c>
      <c r="L58" s="134">
        <f t="shared" si="2"/>
        <v>0.97199775533108868</v>
      </c>
      <c r="N58" t="str">
        <f t="shared" si="3"/>
        <v>OK</v>
      </c>
    </row>
    <row r="59" spans="1:14" ht="60.75" customHeight="1">
      <c r="A59" s="310" t="s">
        <v>172</v>
      </c>
      <c r="B59" s="310"/>
      <c r="C59" s="303" t="s">
        <v>173</v>
      </c>
      <c r="D59" s="303"/>
      <c r="E59" s="303"/>
      <c r="F59" s="97" t="s">
        <v>113</v>
      </c>
      <c r="G59" s="98">
        <v>22</v>
      </c>
      <c r="H59" s="88">
        <v>181406</v>
      </c>
      <c r="I59" s="88">
        <v>176327</v>
      </c>
      <c r="J59" s="88">
        <f t="shared" si="0"/>
        <v>3879194</v>
      </c>
      <c r="K59" s="133">
        <f t="shared" si="1"/>
        <v>-5079</v>
      </c>
      <c r="L59" s="134">
        <f t="shared" si="2"/>
        <v>0.97200202859883356</v>
      </c>
      <c r="N59" t="str">
        <f t="shared" si="3"/>
        <v>OK</v>
      </c>
    </row>
    <row r="60" spans="1:14" ht="60.75" customHeight="1">
      <c r="A60" s="310" t="s">
        <v>174</v>
      </c>
      <c r="B60" s="310"/>
      <c r="C60" s="303" t="s">
        <v>175</v>
      </c>
      <c r="D60" s="303"/>
      <c r="E60" s="303"/>
      <c r="F60" s="97" t="s">
        <v>113</v>
      </c>
      <c r="G60" s="98">
        <v>10</v>
      </c>
      <c r="H60" s="88">
        <v>200830</v>
      </c>
      <c r="I60" s="88">
        <v>195207</v>
      </c>
      <c r="J60" s="88">
        <f t="shared" si="0"/>
        <v>1952070</v>
      </c>
      <c r="K60" s="133">
        <f t="shared" si="1"/>
        <v>-5623</v>
      </c>
      <c r="L60" s="134">
        <f t="shared" si="2"/>
        <v>0.97200119504058158</v>
      </c>
      <c r="N60" t="str">
        <f t="shared" si="3"/>
        <v>OK</v>
      </c>
    </row>
    <row r="61" spans="1:14" ht="60.75" customHeight="1">
      <c r="A61" s="310" t="s">
        <v>176</v>
      </c>
      <c r="B61" s="310"/>
      <c r="C61" s="303" t="s">
        <v>177</v>
      </c>
      <c r="D61" s="303"/>
      <c r="E61" s="303"/>
      <c r="F61" s="97" t="s">
        <v>113</v>
      </c>
      <c r="G61" s="98">
        <v>43</v>
      </c>
      <c r="H61" s="88">
        <v>178332</v>
      </c>
      <c r="I61" s="88">
        <v>173339</v>
      </c>
      <c r="J61" s="88">
        <f t="shared" si="0"/>
        <v>7453577</v>
      </c>
      <c r="K61" s="133">
        <f t="shared" si="1"/>
        <v>-4993</v>
      </c>
      <c r="L61" s="134">
        <f t="shared" si="2"/>
        <v>0.97200165982549402</v>
      </c>
      <c r="N61" t="str">
        <f t="shared" si="3"/>
        <v>OK</v>
      </c>
    </row>
    <row r="62" spans="1:14" ht="60.75" customHeight="1">
      <c r="A62" s="310" t="s">
        <v>178</v>
      </c>
      <c r="B62" s="310"/>
      <c r="C62" s="303" t="s">
        <v>179</v>
      </c>
      <c r="D62" s="303"/>
      <c r="E62" s="303"/>
      <c r="F62" s="97" t="s">
        <v>180</v>
      </c>
      <c r="G62" s="98">
        <v>300</v>
      </c>
      <c r="H62" s="88">
        <v>16471</v>
      </c>
      <c r="I62" s="88">
        <v>16010</v>
      </c>
      <c r="J62" s="88">
        <f t="shared" si="0"/>
        <v>4803000</v>
      </c>
      <c r="K62" s="133">
        <f t="shared" si="1"/>
        <v>-461</v>
      </c>
      <c r="L62" s="134">
        <f t="shared" si="2"/>
        <v>0.97201141400036428</v>
      </c>
      <c r="N62" t="str">
        <f t="shared" si="3"/>
        <v>OK</v>
      </c>
    </row>
    <row r="63" spans="1:14" ht="60.75" customHeight="1">
      <c r="A63" s="310" t="s">
        <v>181</v>
      </c>
      <c r="B63" s="310"/>
      <c r="C63" s="303" t="s">
        <v>182</v>
      </c>
      <c r="D63" s="303"/>
      <c r="E63" s="303"/>
      <c r="F63" s="97" t="s">
        <v>95</v>
      </c>
      <c r="G63" s="98">
        <v>180</v>
      </c>
      <c r="H63" s="88">
        <v>159622</v>
      </c>
      <c r="I63" s="88">
        <v>155153</v>
      </c>
      <c r="J63" s="88">
        <f t="shared" si="0"/>
        <v>27927540</v>
      </c>
      <c r="K63" s="133">
        <f t="shared" si="1"/>
        <v>-4469</v>
      </c>
      <c r="L63" s="134">
        <f t="shared" si="2"/>
        <v>0.97200260615704603</v>
      </c>
      <c r="N63" t="str">
        <f t="shared" si="3"/>
        <v>OK</v>
      </c>
    </row>
    <row r="64" spans="1:14" ht="60.75" customHeight="1">
      <c r="A64" s="310" t="s">
        <v>183</v>
      </c>
      <c r="B64" s="310"/>
      <c r="C64" s="303" t="s">
        <v>184</v>
      </c>
      <c r="D64" s="303"/>
      <c r="E64" s="303"/>
      <c r="F64" s="97" t="s">
        <v>95</v>
      </c>
      <c r="G64" s="98">
        <v>220</v>
      </c>
      <c r="H64" s="88">
        <v>301400</v>
      </c>
      <c r="I64" s="88">
        <v>292961</v>
      </c>
      <c r="J64" s="88">
        <f t="shared" si="0"/>
        <v>64451420</v>
      </c>
      <c r="K64" s="133">
        <f t="shared" si="1"/>
        <v>-8439</v>
      </c>
      <c r="L64" s="134">
        <f t="shared" si="2"/>
        <v>0.97200066357000658</v>
      </c>
      <c r="N64" t="str">
        <f t="shared" si="3"/>
        <v>OK</v>
      </c>
    </row>
    <row r="65" spans="1:14" ht="60.75" customHeight="1">
      <c r="A65" s="310" t="s">
        <v>185</v>
      </c>
      <c r="B65" s="310"/>
      <c r="C65" s="303" t="s">
        <v>186</v>
      </c>
      <c r="D65" s="303"/>
      <c r="E65" s="303"/>
      <c r="F65" s="97" t="s">
        <v>113</v>
      </c>
      <c r="G65" s="98">
        <v>2</v>
      </c>
      <c r="H65" s="88">
        <v>3554535</v>
      </c>
      <c r="I65" s="88">
        <v>3455008</v>
      </c>
      <c r="J65" s="88">
        <f t="shared" si="0"/>
        <v>6910016</v>
      </c>
      <c r="K65" s="133">
        <f t="shared" si="1"/>
        <v>-99527</v>
      </c>
      <c r="L65" s="134">
        <f t="shared" si="2"/>
        <v>0.97199999437338502</v>
      </c>
      <c r="N65" t="str">
        <f t="shared" si="3"/>
        <v>OK</v>
      </c>
    </row>
    <row r="66" spans="1:14" ht="60.75" customHeight="1">
      <c r="A66" s="310" t="s">
        <v>187</v>
      </c>
      <c r="B66" s="310"/>
      <c r="C66" s="303" t="s">
        <v>188</v>
      </c>
      <c r="D66" s="303"/>
      <c r="E66" s="303"/>
      <c r="F66" s="97" t="s">
        <v>98</v>
      </c>
      <c r="G66" s="98">
        <v>300</v>
      </c>
      <c r="H66" s="88">
        <v>853000</v>
      </c>
      <c r="I66" s="88">
        <v>829116</v>
      </c>
      <c r="J66" s="88">
        <f t="shared" si="0"/>
        <v>248734800</v>
      </c>
      <c r="K66" s="133">
        <f t="shared" si="1"/>
        <v>-23884</v>
      </c>
      <c r="L66" s="134">
        <f t="shared" si="2"/>
        <v>0.97199999999999998</v>
      </c>
      <c r="N66" t="str">
        <f t="shared" si="3"/>
        <v>OK</v>
      </c>
    </row>
    <row r="67" spans="1:14" ht="60.75" customHeight="1">
      <c r="A67" s="310" t="s">
        <v>189</v>
      </c>
      <c r="B67" s="310"/>
      <c r="C67" s="303" t="s">
        <v>190</v>
      </c>
      <c r="D67" s="303"/>
      <c r="E67" s="303"/>
      <c r="F67" s="97" t="s">
        <v>98</v>
      </c>
      <c r="G67" s="98">
        <v>30</v>
      </c>
      <c r="H67" s="88">
        <v>879613</v>
      </c>
      <c r="I67" s="88">
        <v>854984</v>
      </c>
      <c r="J67" s="88">
        <f t="shared" si="0"/>
        <v>25649520</v>
      </c>
      <c r="K67" s="133">
        <f t="shared" si="1"/>
        <v>-24629</v>
      </c>
      <c r="L67" s="134">
        <f t="shared" si="2"/>
        <v>0.97200018644563002</v>
      </c>
      <c r="N67" t="str">
        <f t="shared" si="3"/>
        <v>OK</v>
      </c>
    </row>
    <row r="68" spans="1:14" ht="60.75" customHeight="1">
      <c r="A68" s="310" t="s">
        <v>191</v>
      </c>
      <c r="B68" s="310"/>
      <c r="C68" s="303" t="s">
        <v>192</v>
      </c>
      <c r="D68" s="303"/>
      <c r="E68" s="303"/>
      <c r="F68" s="97" t="s">
        <v>95</v>
      </c>
      <c r="G68" s="98">
        <v>60</v>
      </c>
      <c r="H68" s="88">
        <v>87418</v>
      </c>
      <c r="I68" s="88">
        <v>84970</v>
      </c>
      <c r="J68" s="88">
        <f t="shared" si="0"/>
        <v>5098200</v>
      </c>
      <c r="K68" s="133">
        <f t="shared" si="1"/>
        <v>-2448</v>
      </c>
      <c r="L68" s="134">
        <f t="shared" si="2"/>
        <v>0.97199661396966297</v>
      </c>
      <c r="N68" t="str">
        <f t="shared" si="3"/>
        <v>OK</v>
      </c>
    </row>
    <row r="69" spans="1:14" ht="60.75" customHeight="1">
      <c r="A69" s="310" t="s">
        <v>193</v>
      </c>
      <c r="B69" s="310"/>
      <c r="C69" s="303" t="s">
        <v>194</v>
      </c>
      <c r="D69" s="303"/>
      <c r="E69" s="303"/>
      <c r="F69" s="97" t="s">
        <v>113</v>
      </c>
      <c r="G69" s="98">
        <v>41</v>
      </c>
      <c r="H69" s="88">
        <v>142900</v>
      </c>
      <c r="I69" s="88">
        <v>138899</v>
      </c>
      <c r="J69" s="88">
        <f t="shared" si="0"/>
        <v>5694859</v>
      </c>
      <c r="K69" s="133">
        <f t="shared" si="1"/>
        <v>-4001</v>
      </c>
      <c r="L69" s="134">
        <f t="shared" si="2"/>
        <v>0.97200139958012599</v>
      </c>
      <c r="N69" t="str">
        <f t="shared" si="3"/>
        <v>OK</v>
      </c>
    </row>
    <row r="70" spans="1:14" ht="60.75" customHeight="1">
      <c r="A70" s="310" t="s">
        <v>195</v>
      </c>
      <c r="B70" s="310"/>
      <c r="C70" s="303" t="s">
        <v>196</v>
      </c>
      <c r="D70" s="303"/>
      <c r="E70" s="303"/>
      <c r="F70" s="97" t="s">
        <v>113</v>
      </c>
      <c r="G70" s="98">
        <v>1</v>
      </c>
      <c r="H70" s="88">
        <v>1176585</v>
      </c>
      <c r="I70" s="88">
        <v>1143641</v>
      </c>
      <c r="J70" s="88">
        <f t="shared" si="0"/>
        <v>1143641</v>
      </c>
      <c r="K70" s="133">
        <f t="shared" si="1"/>
        <v>-32944</v>
      </c>
      <c r="L70" s="134">
        <f t="shared" si="2"/>
        <v>0.97200032296859129</v>
      </c>
      <c r="N70" t="str">
        <f t="shared" si="3"/>
        <v>OK</v>
      </c>
    </row>
    <row r="71" spans="1:14" ht="60.75" customHeight="1">
      <c r="A71" s="310" t="s">
        <v>197</v>
      </c>
      <c r="B71" s="310"/>
      <c r="C71" s="303" t="s">
        <v>198</v>
      </c>
      <c r="D71" s="303"/>
      <c r="E71" s="303"/>
      <c r="F71" s="97" t="s">
        <v>98</v>
      </c>
      <c r="G71" s="98">
        <v>1000</v>
      </c>
      <c r="H71" s="88">
        <v>38208</v>
      </c>
      <c r="I71" s="88">
        <v>37138</v>
      </c>
      <c r="J71" s="88">
        <f t="shared" si="0"/>
        <v>37138000</v>
      </c>
      <c r="K71" s="133">
        <f t="shared" si="1"/>
        <v>-1070</v>
      </c>
      <c r="L71" s="134">
        <f t="shared" si="2"/>
        <v>0.97199539363484089</v>
      </c>
      <c r="N71" t="str">
        <f t="shared" si="3"/>
        <v>OK</v>
      </c>
    </row>
    <row r="72" spans="1:14" ht="60.75" customHeight="1">
      <c r="A72" s="310" t="s">
        <v>199</v>
      </c>
      <c r="B72" s="310"/>
      <c r="C72" s="303" t="s">
        <v>200</v>
      </c>
      <c r="D72" s="303"/>
      <c r="E72" s="303"/>
      <c r="F72" s="97" t="s">
        <v>98</v>
      </c>
      <c r="G72" s="98">
        <v>230.61</v>
      </c>
      <c r="H72" s="88">
        <v>41123</v>
      </c>
      <c r="I72" s="88">
        <v>39972</v>
      </c>
      <c r="J72" s="88">
        <f t="shared" si="0"/>
        <v>9217943</v>
      </c>
      <c r="K72" s="133">
        <f t="shared" si="1"/>
        <v>-1151</v>
      </c>
      <c r="L72" s="134">
        <f t="shared" si="2"/>
        <v>0.97201079687765968</v>
      </c>
      <c r="N72" t="str">
        <f t="shared" si="3"/>
        <v>OK</v>
      </c>
    </row>
    <row r="73" spans="1:14" ht="60.75" customHeight="1">
      <c r="A73" s="311" t="s">
        <v>201</v>
      </c>
      <c r="B73" s="312"/>
      <c r="C73" s="312"/>
      <c r="D73" s="312"/>
      <c r="E73" s="312"/>
      <c r="F73" s="312"/>
      <c r="G73" s="312"/>
      <c r="H73" s="312"/>
      <c r="I73" s="313"/>
      <c r="J73" s="99">
        <f>SUM(J40:J72)</f>
        <v>1211066246</v>
      </c>
      <c r="K73" s="133">
        <f t="shared" si="1"/>
        <v>0</v>
      </c>
      <c r="L73" s="134" t="e">
        <f t="shared" si="2"/>
        <v>#DIV/0!</v>
      </c>
      <c r="N73" t="str">
        <f t="shared" si="3"/>
        <v xml:space="preserve"> </v>
      </c>
    </row>
    <row r="74" spans="1:14" ht="60.75" customHeight="1">
      <c r="A74" s="302" t="s">
        <v>202</v>
      </c>
      <c r="B74" s="302"/>
      <c r="C74" s="303" t="s">
        <v>203</v>
      </c>
      <c r="D74" s="303"/>
      <c r="E74" s="303"/>
      <c r="F74" s="97" t="s">
        <v>98</v>
      </c>
      <c r="G74" s="98">
        <v>450</v>
      </c>
      <c r="H74" s="88">
        <v>194913</v>
      </c>
      <c r="I74" s="88">
        <v>189455</v>
      </c>
      <c r="J74" s="88">
        <f t="shared" ref="J74:J130" si="4">+ROUND(I74*G74,0)</f>
        <v>85254750</v>
      </c>
      <c r="K74" s="133">
        <f t="shared" si="1"/>
        <v>-5458</v>
      </c>
      <c r="L74" s="134">
        <f t="shared" si="2"/>
        <v>0.97199776310456465</v>
      </c>
      <c r="N74" t="str">
        <f t="shared" si="3"/>
        <v>OK</v>
      </c>
    </row>
    <row r="75" spans="1:14" ht="60.75" customHeight="1">
      <c r="A75" s="302" t="s">
        <v>197</v>
      </c>
      <c r="B75" s="302"/>
      <c r="C75" s="303" t="s">
        <v>204</v>
      </c>
      <c r="D75" s="303"/>
      <c r="E75" s="303"/>
      <c r="F75" s="97" t="s">
        <v>113</v>
      </c>
      <c r="G75" s="98">
        <v>2</v>
      </c>
      <c r="H75" s="88">
        <v>3334200</v>
      </c>
      <c r="I75" s="88">
        <v>3240842</v>
      </c>
      <c r="J75" s="88">
        <f t="shared" si="4"/>
        <v>6481684</v>
      </c>
      <c r="K75" s="133">
        <f t="shared" si="1"/>
        <v>-93358</v>
      </c>
      <c r="L75" s="134">
        <f t="shared" si="2"/>
        <v>0.97199988003119187</v>
      </c>
      <c r="N75" t="str">
        <f t="shared" si="3"/>
        <v>OK</v>
      </c>
    </row>
    <row r="76" spans="1:14" ht="60.75" customHeight="1">
      <c r="A76" s="302" t="s">
        <v>199</v>
      </c>
      <c r="B76" s="302"/>
      <c r="C76" s="303" t="s">
        <v>205</v>
      </c>
      <c r="D76" s="303"/>
      <c r="E76" s="303"/>
      <c r="F76" s="97" t="s">
        <v>113</v>
      </c>
      <c r="G76" s="98">
        <v>12</v>
      </c>
      <c r="H76" s="88">
        <v>858374</v>
      </c>
      <c r="I76" s="88">
        <v>834340</v>
      </c>
      <c r="J76" s="88">
        <f t="shared" si="4"/>
        <v>10012080</v>
      </c>
      <c r="K76" s="133">
        <f t="shared" si="1"/>
        <v>-24034</v>
      </c>
      <c r="L76" s="134">
        <f t="shared" si="2"/>
        <v>0.97200054987686024</v>
      </c>
      <c r="N76" t="str">
        <f t="shared" si="3"/>
        <v>OK</v>
      </c>
    </row>
    <row r="77" spans="1:14" ht="60.75" customHeight="1">
      <c r="A77" s="302" t="s">
        <v>206</v>
      </c>
      <c r="B77" s="302"/>
      <c r="C77" s="303" t="s">
        <v>207</v>
      </c>
      <c r="D77" s="303"/>
      <c r="E77" s="303"/>
      <c r="F77" s="97" t="s">
        <v>98</v>
      </c>
      <c r="G77" s="98">
        <v>222.23000000000002</v>
      </c>
      <c r="H77" s="88">
        <v>34663</v>
      </c>
      <c r="I77" s="88">
        <v>33692</v>
      </c>
      <c r="J77" s="88">
        <f t="shared" si="4"/>
        <v>7487373</v>
      </c>
      <c r="K77" s="133">
        <f t="shared" si="1"/>
        <v>-971</v>
      </c>
      <c r="L77" s="134">
        <f t="shared" si="2"/>
        <v>0.97198742174653086</v>
      </c>
      <c r="N77" t="str">
        <f t="shared" si="3"/>
        <v>OK</v>
      </c>
    </row>
    <row r="78" spans="1:14" ht="60.75" customHeight="1">
      <c r="A78" s="307" t="s">
        <v>208</v>
      </c>
      <c r="B78" s="308"/>
      <c r="C78" s="308"/>
      <c r="D78" s="308"/>
      <c r="E78" s="308"/>
      <c r="F78" s="308"/>
      <c r="G78" s="308"/>
      <c r="H78" s="308"/>
      <c r="I78" s="309"/>
      <c r="J78" s="100">
        <f>SUM(J74:J77)</f>
        <v>109235887</v>
      </c>
      <c r="K78" s="133">
        <f t="shared" si="1"/>
        <v>0</v>
      </c>
      <c r="L78" s="134" t="e">
        <f t="shared" si="2"/>
        <v>#DIV/0!</v>
      </c>
      <c r="N78" t="str">
        <f t="shared" si="3"/>
        <v xml:space="preserve"> </v>
      </c>
    </row>
    <row r="79" spans="1:14" ht="60.75" customHeight="1">
      <c r="A79" s="302" t="s">
        <v>93</v>
      </c>
      <c r="B79" s="302"/>
      <c r="C79" s="303" t="s">
        <v>143</v>
      </c>
      <c r="D79" s="303"/>
      <c r="E79" s="303"/>
      <c r="F79" s="97" t="s">
        <v>98</v>
      </c>
      <c r="G79" s="98">
        <v>161.58000000000001</v>
      </c>
      <c r="H79" s="88">
        <v>49033</v>
      </c>
      <c r="I79" s="88">
        <v>47660</v>
      </c>
      <c r="J79" s="88">
        <f t="shared" si="4"/>
        <v>7700903</v>
      </c>
      <c r="K79" s="133">
        <f t="shared" si="1"/>
        <v>-1373</v>
      </c>
      <c r="L79" s="134">
        <f t="shared" si="2"/>
        <v>0.97199845002345364</v>
      </c>
      <c r="N79" t="str">
        <f t="shared" si="3"/>
        <v>OK</v>
      </c>
    </row>
    <row r="80" spans="1:14" ht="60.75" customHeight="1">
      <c r="A80" s="302" t="s">
        <v>96</v>
      </c>
      <c r="B80" s="302"/>
      <c r="C80" s="303" t="s">
        <v>144</v>
      </c>
      <c r="D80" s="303"/>
      <c r="E80" s="303"/>
      <c r="F80" s="97" t="s">
        <v>98</v>
      </c>
      <c r="G80" s="98">
        <v>246.96</v>
      </c>
      <c r="H80" s="88">
        <v>97950</v>
      </c>
      <c r="I80" s="88">
        <v>95207</v>
      </c>
      <c r="J80" s="88">
        <f t="shared" si="4"/>
        <v>23512321</v>
      </c>
      <c r="K80" s="133">
        <f t="shared" si="1"/>
        <v>-2743</v>
      </c>
      <c r="L80" s="134">
        <f t="shared" si="2"/>
        <v>0.97199591628381832</v>
      </c>
      <c r="N80" t="str">
        <f t="shared" si="3"/>
        <v>OK</v>
      </c>
    </row>
    <row r="81" spans="1:14" ht="60.75" customHeight="1">
      <c r="A81" s="302" t="s">
        <v>145</v>
      </c>
      <c r="B81" s="302"/>
      <c r="C81" s="303" t="s">
        <v>209</v>
      </c>
      <c r="D81" s="303"/>
      <c r="E81" s="303"/>
      <c r="F81" s="97" t="s">
        <v>98</v>
      </c>
      <c r="G81" s="98">
        <v>888.84</v>
      </c>
      <c r="H81" s="88">
        <v>36183</v>
      </c>
      <c r="I81" s="88">
        <v>35170</v>
      </c>
      <c r="J81" s="88">
        <f t="shared" si="4"/>
        <v>31260503</v>
      </c>
      <c r="K81" s="133">
        <f t="shared" ref="K81:K130" si="5">I81-H81</f>
        <v>-1013</v>
      </c>
      <c r="L81" s="134">
        <f t="shared" ref="L81:L130" si="6">I81/H81</f>
        <v>0.97200342702374043</v>
      </c>
      <c r="N81" t="str">
        <f t="shared" ref="N81:N130" si="7">+IF(I81&lt;H81,"OK",IF(I81=0," "))</f>
        <v>OK</v>
      </c>
    </row>
    <row r="82" spans="1:14" ht="60.75" customHeight="1">
      <c r="A82" s="302" t="s">
        <v>146</v>
      </c>
      <c r="B82" s="302"/>
      <c r="C82" s="303" t="s">
        <v>147</v>
      </c>
      <c r="D82" s="303"/>
      <c r="E82" s="303"/>
      <c r="F82" s="97" t="s">
        <v>148</v>
      </c>
      <c r="G82" s="98">
        <v>1</v>
      </c>
      <c r="H82" s="88">
        <v>6960160</v>
      </c>
      <c r="I82" s="88">
        <v>6765276</v>
      </c>
      <c r="J82" s="88">
        <f t="shared" si="4"/>
        <v>6765276</v>
      </c>
      <c r="K82" s="133">
        <f t="shared" si="5"/>
        <v>-194884</v>
      </c>
      <c r="L82" s="134">
        <f t="shared" si="6"/>
        <v>0.97200006896393187</v>
      </c>
      <c r="N82" t="str">
        <f t="shared" si="7"/>
        <v>OK</v>
      </c>
    </row>
    <row r="83" spans="1:14" ht="60.75" customHeight="1">
      <c r="A83" s="302" t="s">
        <v>149</v>
      </c>
      <c r="B83" s="302"/>
      <c r="C83" s="303" t="s">
        <v>210</v>
      </c>
      <c r="D83" s="303"/>
      <c r="E83" s="303"/>
      <c r="F83" s="97" t="s">
        <v>113</v>
      </c>
      <c r="G83" s="98">
        <v>150</v>
      </c>
      <c r="H83" s="88">
        <v>96339</v>
      </c>
      <c r="I83" s="88">
        <v>93642</v>
      </c>
      <c r="J83" s="88">
        <f t="shared" si="4"/>
        <v>14046300</v>
      </c>
      <c r="K83" s="133">
        <f t="shared" si="5"/>
        <v>-2697</v>
      </c>
      <c r="L83" s="134">
        <f t="shared" si="6"/>
        <v>0.97200510696602627</v>
      </c>
      <c r="N83" t="str">
        <f t="shared" si="7"/>
        <v>OK</v>
      </c>
    </row>
    <row r="84" spans="1:14" ht="60.75" customHeight="1">
      <c r="A84" s="302" t="s">
        <v>151</v>
      </c>
      <c r="B84" s="302"/>
      <c r="C84" s="303" t="s">
        <v>211</v>
      </c>
      <c r="D84" s="303"/>
      <c r="E84" s="303"/>
      <c r="F84" s="97" t="s">
        <v>98</v>
      </c>
      <c r="G84" s="98">
        <v>37.5</v>
      </c>
      <c r="H84" s="88">
        <v>95199</v>
      </c>
      <c r="I84" s="88">
        <v>92533</v>
      </c>
      <c r="J84" s="88">
        <f t="shared" si="4"/>
        <v>3469988</v>
      </c>
      <c r="K84" s="133">
        <f t="shared" si="5"/>
        <v>-2666</v>
      </c>
      <c r="L84" s="134">
        <f t="shared" si="6"/>
        <v>0.97199550415445546</v>
      </c>
      <c r="N84" t="str">
        <f t="shared" si="7"/>
        <v>OK</v>
      </c>
    </row>
    <row r="85" spans="1:14" ht="60.75" customHeight="1">
      <c r="A85" s="302" t="s">
        <v>99</v>
      </c>
      <c r="B85" s="302"/>
      <c r="C85" s="303" t="s">
        <v>153</v>
      </c>
      <c r="D85" s="303"/>
      <c r="E85" s="303"/>
      <c r="F85" s="97" t="s">
        <v>95</v>
      </c>
      <c r="G85" s="98">
        <v>121</v>
      </c>
      <c r="H85" s="88">
        <v>203925</v>
      </c>
      <c r="I85" s="88">
        <v>198215</v>
      </c>
      <c r="J85" s="88">
        <f t="shared" si="4"/>
        <v>23984015</v>
      </c>
      <c r="K85" s="133">
        <f t="shared" si="5"/>
        <v>-5710</v>
      </c>
      <c r="L85" s="134">
        <f t="shared" si="6"/>
        <v>0.97199950962363613</v>
      </c>
      <c r="N85" t="str">
        <f t="shared" si="7"/>
        <v>OK</v>
      </c>
    </row>
    <row r="86" spans="1:14" ht="60.75" customHeight="1">
      <c r="A86" s="302" t="s">
        <v>101</v>
      </c>
      <c r="B86" s="302"/>
      <c r="C86" s="303" t="s">
        <v>154</v>
      </c>
      <c r="D86" s="303"/>
      <c r="E86" s="303"/>
      <c r="F86" s="97" t="s">
        <v>95</v>
      </c>
      <c r="G86" s="98">
        <v>145</v>
      </c>
      <c r="H86" s="88">
        <v>186288</v>
      </c>
      <c r="I86" s="88">
        <v>181072</v>
      </c>
      <c r="J86" s="88">
        <f t="shared" si="4"/>
        <v>26255440</v>
      </c>
      <c r="K86" s="133">
        <f t="shared" si="5"/>
        <v>-5216</v>
      </c>
      <c r="L86" s="134">
        <f t="shared" si="6"/>
        <v>0.97200034355406684</v>
      </c>
      <c r="N86" t="str">
        <f t="shared" si="7"/>
        <v>OK</v>
      </c>
    </row>
    <row r="87" spans="1:14" ht="60.75" customHeight="1">
      <c r="A87" s="302" t="s">
        <v>103</v>
      </c>
      <c r="B87" s="302"/>
      <c r="C87" s="303" t="s">
        <v>212</v>
      </c>
      <c r="D87" s="303"/>
      <c r="E87" s="303"/>
      <c r="F87" s="97" t="s">
        <v>98</v>
      </c>
      <c r="G87" s="98">
        <v>40</v>
      </c>
      <c r="H87" s="88">
        <v>240790</v>
      </c>
      <c r="I87" s="88">
        <v>234048</v>
      </c>
      <c r="J87" s="88">
        <f t="shared" si="4"/>
        <v>9361920</v>
      </c>
      <c r="K87" s="133">
        <f t="shared" si="5"/>
        <v>-6742</v>
      </c>
      <c r="L87" s="134">
        <f t="shared" si="6"/>
        <v>0.97200049835956648</v>
      </c>
      <c r="N87" t="str">
        <f t="shared" si="7"/>
        <v>OK</v>
      </c>
    </row>
    <row r="88" spans="1:14" ht="60.75" customHeight="1">
      <c r="A88" s="302" t="s">
        <v>116</v>
      </c>
      <c r="B88" s="302"/>
      <c r="C88" s="303" t="s">
        <v>213</v>
      </c>
      <c r="D88" s="303"/>
      <c r="E88" s="303"/>
      <c r="F88" s="97" t="s">
        <v>98</v>
      </c>
      <c r="G88" s="98">
        <v>5</v>
      </c>
      <c r="H88" s="88">
        <v>161174</v>
      </c>
      <c r="I88" s="88">
        <v>156661</v>
      </c>
      <c r="J88" s="88">
        <f t="shared" si="4"/>
        <v>783305</v>
      </c>
      <c r="K88" s="133">
        <f t="shared" si="5"/>
        <v>-4513</v>
      </c>
      <c r="L88" s="134">
        <f t="shared" si="6"/>
        <v>0.97199920582724264</v>
      </c>
      <c r="N88" t="str">
        <f t="shared" si="7"/>
        <v>OK</v>
      </c>
    </row>
    <row r="89" spans="1:14" ht="60.75" customHeight="1">
      <c r="A89" s="302" t="s">
        <v>124</v>
      </c>
      <c r="B89" s="302"/>
      <c r="C89" s="303" t="s">
        <v>214</v>
      </c>
      <c r="D89" s="303"/>
      <c r="E89" s="303"/>
      <c r="F89" s="97" t="s">
        <v>98</v>
      </c>
      <c r="G89" s="98">
        <v>888.84</v>
      </c>
      <c r="H89" s="88">
        <v>116086</v>
      </c>
      <c r="I89" s="88">
        <v>112836</v>
      </c>
      <c r="J89" s="88">
        <f t="shared" si="4"/>
        <v>100293150</v>
      </c>
      <c r="K89" s="133">
        <f t="shared" si="5"/>
        <v>-3250</v>
      </c>
      <c r="L89" s="134">
        <f t="shared" si="6"/>
        <v>0.97200351463570112</v>
      </c>
      <c r="N89" t="str">
        <f t="shared" si="7"/>
        <v>OK</v>
      </c>
    </row>
    <row r="90" spans="1:14" ht="60.75" customHeight="1">
      <c r="A90" s="302" t="s">
        <v>136</v>
      </c>
      <c r="B90" s="302"/>
      <c r="C90" s="303" t="s">
        <v>215</v>
      </c>
      <c r="D90" s="303"/>
      <c r="E90" s="303"/>
      <c r="F90" s="97" t="s">
        <v>98</v>
      </c>
      <c r="G90" s="98">
        <v>888.84</v>
      </c>
      <c r="H90" s="88">
        <v>194913</v>
      </c>
      <c r="I90" s="88">
        <v>189455</v>
      </c>
      <c r="J90" s="88">
        <f t="shared" si="4"/>
        <v>168395182</v>
      </c>
      <c r="K90" s="133">
        <f t="shared" si="5"/>
        <v>-5458</v>
      </c>
      <c r="L90" s="134">
        <f t="shared" si="6"/>
        <v>0.97199776310456465</v>
      </c>
      <c r="N90" t="str">
        <f t="shared" si="7"/>
        <v>OK</v>
      </c>
    </row>
    <row r="91" spans="1:14" ht="60.75" customHeight="1">
      <c r="A91" s="302" t="s">
        <v>140</v>
      </c>
      <c r="B91" s="302"/>
      <c r="C91" s="303" t="s">
        <v>159</v>
      </c>
      <c r="D91" s="303"/>
      <c r="E91" s="303"/>
      <c r="F91" s="97" t="s">
        <v>95</v>
      </c>
      <c r="G91" s="98">
        <v>1800</v>
      </c>
      <c r="H91" s="88">
        <v>20382</v>
      </c>
      <c r="I91" s="88">
        <v>19811</v>
      </c>
      <c r="J91" s="88">
        <f t="shared" si="4"/>
        <v>35659800</v>
      </c>
      <c r="K91" s="133">
        <f t="shared" si="5"/>
        <v>-571</v>
      </c>
      <c r="L91" s="134">
        <f t="shared" si="6"/>
        <v>0.97198508487881463</v>
      </c>
      <c r="N91" t="str">
        <f t="shared" si="7"/>
        <v>OK</v>
      </c>
    </row>
    <row r="92" spans="1:14" ht="60.75" customHeight="1">
      <c r="A92" s="302" t="s">
        <v>160</v>
      </c>
      <c r="B92" s="302"/>
      <c r="C92" s="303" t="s">
        <v>161</v>
      </c>
      <c r="D92" s="303"/>
      <c r="E92" s="303"/>
      <c r="F92" s="97" t="s">
        <v>95</v>
      </c>
      <c r="G92" s="98">
        <v>50</v>
      </c>
      <c r="H92" s="88">
        <v>226317</v>
      </c>
      <c r="I92" s="88">
        <v>219980</v>
      </c>
      <c r="J92" s="88">
        <f t="shared" si="4"/>
        <v>10999000</v>
      </c>
      <c r="K92" s="133">
        <f t="shared" si="5"/>
        <v>-6337</v>
      </c>
      <c r="L92" s="134">
        <f t="shared" si="6"/>
        <v>0.97199945209595395</v>
      </c>
      <c r="N92" t="str">
        <f t="shared" si="7"/>
        <v>OK</v>
      </c>
    </row>
    <row r="93" spans="1:14" ht="60.75" customHeight="1">
      <c r="A93" s="302" t="s">
        <v>162</v>
      </c>
      <c r="B93" s="302"/>
      <c r="C93" s="303" t="s">
        <v>216</v>
      </c>
      <c r="D93" s="303"/>
      <c r="E93" s="303"/>
      <c r="F93" s="97" t="s">
        <v>113</v>
      </c>
      <c r="G93" s="98">
        <v>180</v>
      </c>
      <c r="H93" s="88">
        <v>151650</v>
      </c>
      <c r="I93" s="88">
        <v>147404</v>
      </c>
      <c r="J93" s="88">
        <f t="shared" si="4"/>
        <v>26532720</v>
      </c>
      <c r="K93" s="133">
        <f t="shared" si="5"/>
        <v>-4246</v>
      </c>
      <c r="L93" s="134">
        <f t="shared" si="6"/>
        <v>0.97200131882624463</v>
      </c>
      <c r="N93" t="str">
        <f t="shared" si="7"/>
        <v>OK</v>
      </c>
    </row>
    <row r="94" spans="1:14" ht="60.75" customHeight="1">
      <c r="A94" s="302" t="s">
        <v>164</v>
      </c>
      <c r="B94" s="302"/>
      <c r="C94" s="303" t="s">
        <v>217</v>
      </c>
      <c r="D94" s="303"/>
      <c r="E94" s="303"/>
      <c r="F94" s="97" t="s">
        <v>113</v>
      </c>
      <c r="G94" s="98">
        <v>60</v>
      </c>
      <c r="H94" s="88">
        <v>170847</v>
      </c>
      <c r="I94" s="88">
        <v>166063</v>
      </c>
      <c r="J94" s="88">
        <f t="shared" si="4"/>
        <v>9963780</v>
      </c>
      <c r="K94" s="133">
        <f t="shared" si="5"/>
        <v>-4784</v>
      </c>
      <c r="L94" s="134">
        <f t="shared" si="6"/>
        <v>0.97199833769396005</v>
      </c>
      <c r="N94" t="str">
        <f t="shared" si="7"/>
        <v>OK</v>
      </c>
    </row>
    <row r="95" spans="1:14" ht="60.75" customHeight="1">
      <c r="A95" s="302" t="s">
        <v>166</v>
      </c>
      <c r="B95" s="302"/>
      <c r="C95" s="303" t="s">
        <v>218</v>
      </c>
      <c r="D95" s="303"/>
      <c r="E95" s="303"/>
      <c r="F95" s="97" t="s">
        <v>113</v>
      </c>
      <c r="G95" s="98">
        <v>42</v>
      </c>
      <c r="H95" s="88">
        <v>308438</v>
      </c>
      <c r="I95" s="88">
        <v>299802</v>
      </c>
      <c r="J95" s="88">
        <f t="shared" si="4"/>
        <v>12591684</v>
      </c>
      <c r="K95" s="133">
        <f t="shared" si="5"/>
        <v>-8636</v>
      </c>
      <c r="L95" s="134">
        <f t="shared" si="6"/>
        <v>0.9720008559256641</v>
      </c>
      <c r="N95" t="str">
        <f t="shared" si="7"/>
        <v>OK</v>
      </c>
    </row>
    <row r="96" spans="1:14" ht="60.75" customHeight="1">
      <c r="A96" s="302" t="s">
        <v>168</v>
      </c>
      <c r="B96" s="302"/>
      <c r="C96" s="303" t="s">
        <v>219</v>
      </c>
      <c r="D96" s="303"/>
      <c r="E96" s="303"/>
      <c r="F96" s="97" t="s">
        <v>113</v>
      </c>
      <c r="G96" s="98">
        <v>88</v>
      </c>
      <c r="H96" s="88">
        <v>106167</v>
      </c>
      <c r="I96" s="88">
        <v>103194</v>
      </c>
      <c r="J96" s="88">
        <f t="shared" si="4"/>
        <v>9081072</v>
      </c>
      <c r="K96" s="133">
        <f t="shared" si="5"/>
        <v>-2973</v>
      </c>
      <c r="L96" s="134">
        <f t="shared" si="6"/>
        <v>0.9719969482042442</v>
      </c>
      <c r="N96" t="str">
        <f t="shared" si="7"/>
        <v>OK</v>
      </c>
    </row>
    <row r="97" spans="1:14" ht="60.75" customHeight="1">
      <c r="A97" s="302" t="s">
        <v>220</v>
      </c>
      <c r="B97" s="302"/>
      <c r="C97" s="303" t="s">
        <v>169</v>
      </c>
      <c r="D97" s="303"/>
      <c r="E97" s="303"/>
      <c r="F97" s="97" t="s">
        <v>113</v>
      </c>
      <c r="G97" s="98">
        <v>22</v>
      </c>
      <c r="H97" s="88">
        <v>215408</v>
      </c>
      <c r="I97" s="88">
        <v>209377</v>
      </c>
      <c r="J97" s="88">
        <f t="shared" si="4"/>
        <v>4606294</v>
      </c>
      <c r="K97" s="133">
        <f t="shared" si="5"/>
        <v>-6031</v>
      </c>
      <c r="L97" s="134">
        <f t="shared" si="6"/>
        <v>0.97200196835772112</v>
      </c>
      <c r="N97" t="str">
        <f t="shared" si="7"/>
        <v>OK</v>
      </c>
    </row>
    <row r="98" spans="1:14" ht="60.75" customHeight="1">
      <c r="A98" s="302" t="s">
        <v>172</v>
      </c>
      <c r="B98" s="302"/>
      <c r="C98" s="303" t="s">
        <v>173</v>
      </c>
      <c r="D98" s="303"/>
      <c r="E98" s="303"/>
      <c r="F98" s="97" t="s">
        <v>113</v>
      </c>
      <c r="G98" s="98">
        <v>14</v>
      </c>
      <c r="H98" s="88">
        <v>226550</v>
      </c>
      <c r="I98" s="88">
        <v>220207</v>
      </c>
      <c r="J98" s="88">
        <f t="shared" si="4"/>
        <v>3082898</v>
      </c>
      <c r="K98" s="133">
        <f t="shared" si="5"/>
        <v>-6343</v>
      </c>
      <c r="L98" s="134">
        <f t="shared" si="6"/>
        <v>0.97200176561465457</v>
      </c>
      <c r="N98" t="str">
        <f t="shared" si="7"/>
        <v>OK</v>
      </c>
    </row>
    <row r="99" spans="1:14" ht="60.75" customHeight="1">
      <c r="A99" s="302" t="s">
        <v>174</v>
      </c>
      <c r="B99" s="302"/>
      <c r="C99" s="303" t="s">
        <v>221</v>
      </c>
      <c r="D99" s="303"/>
      <c r="E99" s="303"/>
      <c r="F99" s="97" t="s">
        <v>113</v>
      </c>
      <c r="G99" s="98">
        <v>11</v>
      </c>
      <c r="H99" s="88">
        <v>203875</v>
      </c>
      <c r="I99" s="88">
        <v>198167</v>
      </c>
      <c r="J99" s="88">
        <f t="shared" si="4"/>
        <v>2179837</v>
      </c>
      <c r="K99" s="133">
        <f t="shared" si="5"/>
        <v>-5708</v>
      </c>
      <c r="L99" s="134">
        <f t="shared" si="6"/>
        <v>0.97200245248313921</v>
      </c>
      <c r="N99" t="str">
        <f t="shared" si="7"/>
        <v>OK</v>
      </c>
    </row>
    <row r="100" spans="1:14" ht="60.75" customHeight="1">
      <c r="A100" s="302" t="s">
        <v>176</v>
      </c>
      <c r="B100" s="302"/>
      <c r="C100" s="303" t="s">
        <v>222</v>
      </c>
      <c r="D100" s="303"/>
      <c r="E100" s="303"/>
      <c r="F100" s="97" t="s">
        <v>113</v>
      </c>
      <c r="G100" s="98">
        <v>23</v>
      </c>
      <c r="H100" s="88">
        <v>178332</v>
      </c>
      <c r="I100" s="88">
        <v>173339</v>
      </c>
      <c r="J100" s="88">
        <f t="shared" si="4"/>
        <v>3986797</v>
      </c>
      <c r="K100" s="133">
        <f t="shared" si="5"/>
        <v>-4993</v>
      </c>
      <c r="L100" s="134">
        <f t="shared" si="6"/>
        <v>0.97200165982549402</v>
      </c>
      <c r="N100" t="str">
        <f t="shared" si="7"/>
        <v>OK</v>
      </c>
    </row>
    <row r="101" spans="1:14" ht="60.75" customHeight="1">
      <c r="A101" s="302" t="s">
        <v>178</v>
      </c>
      <c r="B101" s="302"/>
      <c r="C101" s="303" t="s">
        <v>223</v>
      </c>
      <c r="D101" s="303"/>
      <c r="E101" s="303"/>
      <c r="F101" s="97" t="s">
        <v>95</v>
      </c>
      <c r="G101" s="98">
        <v>150</v>
      </c>
      <c r="H101" s="88">
        <v>16471</v>
      </c>
      <c r="I101" s="88">
        <v>16010</v>
      </c>
      <c r="J101" s="88">
        <f t="shared" si="4"/>
        <v>2401500</v>
      </c>
      <c r="K101" s="133">
        <f t="shared" si="5"/>
        <v>-461</v>
      </c>
      <c r="L101" s="134">
        <f t="shared" si="6"/>
        <v>0.97201141400036428</v>
      </c>
      <c r="N101" t="str">
        <f t="shared" si="7"/>
        <v>OK</v>
      </c>
    </row>
    <row r="102" spans="1:14" ht="60.75" customHeight="1">
      <c r="A102" s="302" t="s">
        <v>181</v>
      </c>
      <c r="B102" s="302"/>
      <c r="C102" s="303" t="s">
        <v>224</v>
      </c>
      <c r="D102" s="303"/>
      <c r="E102" s="303"/>
      <c r="F102" s="97" t="s">
        <v>95</v>
      </c>
      <c r="G102" s="98">
        <v>50</v>
      </c>
      <c r="H102" s="88">
        <v>159622</v>
      </c>
      <c r="I102" s="88">
        <v>155153</v>
      </c>
      <c r="J102" s="88">
        <f t="shared" si="4"/>
        <v>7757650</v>
      </c>
      <c r="K102" s="133">
        <f t="shared" si="5"/>
        <v>-4469</v>
      </c>
      <c r="L102" s="134">
        <f t="shared" si="6"/>
        <v>0.97200260615704603</v>
      </c>
      <c r="N102" t="str">
        <f t="shared" si="7"/>
        <v>OK</v>
      </c>
    </row>
    <row r="103" spans="1:14" ht="60.75" customHeight="1">
      <c r="A103" s="302" t="s">
        <v>183</v>
      </c>
      <c r="B103" s="302"/>
      <c r="C103" s="303" t="s">
        <v>225</v>
      </c>
      <c r="D103" s="303"/>
      <c r="E103" s="303"/>
      <c r="F103" s="97" t="s">
        <v>95</v>
      </c>
      <c r="G103" s="98">
        <v>120</v>
      </c>
      <c r="H103" s="88">
        <v>326273</v>
      </c>
      <c r="I103" s="88">
        <v>317137</v>
      </c>
      <c r="J103" s="88">
        <f t="shared" si="4"/>
        <v>38056440</v>
      </c>
      <c r="K103" s="133">
        <f t="shared" si="5"/>
        <v>-9136</v>
      </c>
      <c r="L103" s="134">
        <f t="shared" si="6"/>
        <v>0.97199890888918172</v>
      </c>
      <c r="N103" t="str">
        <f t="shared" si="7"/>
        <v>OK</v>
      </c>
    </row>
    <row r="104" spans="1:14" ht="60.75" customHeight="1">
      <c r="A104" s="302" t="s">
        <v>185</v>
      </c>
      <c r="B104" s="302"/>
      <c r="C104" s="303" t="s">
        <v>226</v>
      </c>
      <c r="D104" s="303"/>
      <c r="E104" s="303"/>
      <c r="F104" s="97" t="s">
        <v>113</v>
      </c>
      <c r="G104" s="98">
        <v>1</v>
      </c>
      <c r="H104" s="88">
        <v>3554535</v>
      </c>
      <c r="I104" s="88">
        <v>3455008</v>
      </c>
      <c r="J104" s="88">
        <f t="shared" si="4"/>
        <v>3455008</v>
      </c>
      <c r="K104" s="133">
        <f t="shared" si="5"/>
        <v>-99527</v>
      </c>
      <c r="L104" s="134">
        <f t="shared" si="6"/>
        <v>0.97199999437338502</v>
      </c>
      <c r="N104" t="str">
        <f t="shared" si="7"/>
        <v>OK</v>
      </c>
    </row>
    <row r="105" spans="1:14" ht="60.75" customHeight="1">
      <c r="A105" s="302" t="s">
        <v>187</v>
      </c>
      <c r="B105" s="302"/>
      <c r="C105" s="303" t="s">
        <v>227</v>
      </c>
      <c r="D105" s="303"/>
      <c r="E105" s="303"/>
      <c r="F105" s="97" t="s">
        <v>95</v>
      </c>
      <c r="G105" s="98">
        <v>3.22</v>
      </c>
      <c r="H105" s="88">
        <v>1454712</v>
      </c>
      <c r="I105" s="88">
        <v>1413980</v>
      </c>
      <c r="J105" s="88">
        <f t="shared" si="4"/>
        <v>4553016</v>
      </c>
      <c r="K105" s="133">
        <f t="shared" si="5"/>
        <v>-40732</v>
      </c>
      <c r="L105" s="134">
        <f t="shared" si="6"/>
        <v>0.97199995600503741</v>
      </c>
      <c r="N105" t="str">
        <f t="shared" si="7"/>
        <v>OK</v>
      </c>
    </row>
    <row r="106" spans="1:14" ht="60.75" customHeight="1">
      <c r="A106" s="302" t="s">
        <v>189</v>
      </c>
      <c r="B106" s="302"/>
      <c r="C106" s="303" t="s">
        <v>228</v>
      </c>
      <c r="D106" s="303"/>
      <c r="E106" s="303"/>
      <c r="F106" s="97" t="s">
        <v>113</v>
      </c>
      <c r="G106" s="98">
        <v>1</v>
      </c>
      <c r="H106" s="88">
        <v>2638957</v>
      </c>
      <c r="I106" s="88">
        <v>2565066</v>
      </c>
      <c r="J106" s="88">
        <f t="shared" si="4"/>
        <v>2565066</v>
      </c>
      <c r="K106" s="133">
        <f t="shared" si="5"/>
        <v>-73891</v>
      </c>
      <c r="L106" s="134">
        <f t="shared" si="6"/>
        <v>0.97199992269673208</v>
      </c>
      <c r="N106" t="str">
        <f t="shared" si="7"/>
        <v>OK</v>
      </c>
    </row>
    <row r="107" spans="1:14" ht="60.75" customHeight="1">
      <c r="A107" s="302" t="s">
        <v>195</v>
      </c>
      <c r="B107" s="302"/>
      <c r="C107" s="303" t="s">
        <v>229</v>
      </c>
      <c r="D107" s="303"/>
      <c r="E107" s="303"/>
      <c r="F107" s="97" t="s">
        <v>98</v>
      </c>
      <c r="G107" s="98">
        <v>279.83999999999997</v>
      </c>
      <c r="H107" s="88">
        <v>879575</v>
      </c>
      <c r="I107" s="88">
        <v>854947</v>
      </c>
      <c r="J107" s="88">
        <f t="shared" si="4"/>
        <v>239248368</v>
      </c>
      <c r="K107" s="133">
        <f t="shared" si="5"/>
        <v>-24628</v>
      </c>
      <c r="L107" s="134">
        <f t="shared" si="6"/>
        <v>0.97200011369127137</v>
      </c>
      <c r="N107" t="str">
        <f t="shared" si="7"/>
        <v>OK</v>
      </c>
    </row>
    <row r="108" spans="1:14" ht="60.75" customHeight="1">
      <c r="A108" s="302" t="s">
        <v>230</v>
      </c>
      <c r="B108" s="302"/>
      <c r="C108" s="303" t="s">
        <v>231</v>
      </c>
      <c r="D108" s="303"/>
      <c r="E108" s="303"/>
      <c r="F108" s="97" t="s">
        <v>98</v>
      </c>
      <c r="G108" s="98">
        <v>40</v>
      </c>
      <c r="H108" s="88">
        <v>882113</v>
      </c>
      <c r="I108" s="88">
        <v>857414</v>
      </c>
      <c r="J108" s="88">
        <f t="shared" si="4"/>
        <v>34296560</v>
      </c>
      <c r="K108" s="133">
        <f t="shared" si="5"/>
        <v>-24699</v>
      </c>
      <c r="L108" s="134">
        <f t="shared" si="6"/>
        <v>0.9720001859172237</v>
      </c>
      <c r="N108" t="str">
        <f t="shared" si="7"/>
        <v>OK</v>
      </c>
    </row>
    <row r="109" spans="1:14" ht="60.75" customHeight="1">
      <c r="A109" s="302" t="s">
        <v>232</v>
      </c>
      <c r="B109" s="302"/>
      <c r="C109" s="303" t="s">
        <v>233</v>
      </c>
      <c r="D109" s="303"/>
      <c r="E109" s="303"/>
      <c r="F109" s="97" t="s">
        <v>98</v>
      </c>
      <c r="G109" s="98">
        <v>8</v>
      </c>
      <c r="H109" s="88">
        <v>1651657</v>
      </c>
      <c r="I109" s="88">
        <v>1605411</v>
      </c>
      <c r="J109" s="88">
        <f t="shared" si="4"/>
        <v>12843288</v>
      </c>
      <c r="K109" s="133">
        <f t="shared" si="5"/>
        <v>-46246</v>
      </c>
      <c r="L109" s="134">
        <f t="shared" si="6"/>
        <v>0.97200023975922356</v>
      </c>
      <c r="N109" t="str">
        <f t="shared" si="7"/>
        <v>OK</v>
      </c>
    </row>
    <row r="110" spans="1:14" ht="60.75" customHeight="1">
      <c r="A110" s="302" t="s">
        <v>234</v>
      </c>
      <c r="B110" s="302"/>
      <c r="C110" s="303" t="s">
        <v>235</v>
      </c>
      <c r="D110" s="303"/>
      <c r="E110" s="303"/>
      <c r="F110" s="97" t="s">
        <v>95</v>
      </c>
      <c r="G110" s="98">
        <v>60</v>
      </c>
      <c r="H110" s="88">
        <v>84894</v>
      </c>
      <c r="I110" s="88">
        <v>82517</v>
      </c>
      <c r="J110" s="88">
        <f t="shared" si="4"/>
        <v>4951020</v>
      </c>
      <c r="K110" s="133">
        <f t="shared" si="5"/>
        <v>-2377</v>
      </c>
      <c r="L110" s="134">
        <f t="shared" si="6"/>
        <v>0.97200037694065544</v>
      </c>
      <c r="N110" t="str">
        <f t="shared" si="7"/>
        <v>OK</v>
      </c>
    </row>
    <row r="111" spans="1:14" ht="60.75" customHeight="1">
      <c r="A111" s="302" t="s">
        <v>236</v>
      </c>
      <c r="B111" s="302"/>
      <c r="C111" s="303" t="s">
        <v>237</v>
      </c>
      <c r="D111" s="303"/>
      <c r="E111" s="303"/>
      <c r="F111" s="97" t="s">
        <v>113</v>
      </c>
      <c r="G111" s="98">
        <v>46</v>
      </c>
      <c r="H111" s="88">
        <v>142900</v>
      </c>
      <c r="I111" s="88">
        <v>138899</v>
      </c>
      <c r="J111" s="88">
        <f t="shared" si="4"/>
        <v>6389354</v>
      </c>
      <c r="K111" s="133">
        <f t="shared" si="5"/>
        <v>-4001</v>
      </c>
      <c r="L111" s="134">
        <f t="shared" si="6"/>
        <v>0.97200139958012599</v>
      </c>
      <c r="N111" t="str">
        <f t="shared" si="7"/>
        <v>OK</v>
      </c>
    </row>
    <row r="112" spans="1:14" ht="60.75" customHeight="1">
      <c r="A112" s="302" t="s">
        <v>197</v>
      </c>
      <c r="B112" s="302"/>
      <c r="C112" s="303" t="s">
        <v>238</v>
      </c>
      <c r="D112" s="303"/>
      <c r="E112" s="303"/>
      <c r="F112" s="97" t="s">
        <v>113</v>
      </c>
      <c r="G112" s="98">
        <v>1</v>
      </c>
      <c r="H112" s="88">
        <v>1176585</v>
      </c>
      <c r="I112" s="88">
        <v>1143641</v>
      </c>
      <c r="J112" s="88">
        <f t="shared" si="4"/>
        <v>1143641</v>
      </c>
      <c r="K112" s="133">
        <f t="shared" si="5"/>
        <v>-32944</v>
      </c>
      <c r="L112" s="134">
        <f t="shared" si="6"/>
        <v>0.97200032296859129</v>
      </c>
      <c r="N112" t="str">
        <f t="shared" si="7"/>
        <v>OK</v>
      </c>
    </row>
    <row r="113" spans="1:14" ht="60.75" customHeight="1">
      <c r="A113" s="302" t="s">
        <v>199</v>
      </c>
      <c r="B113" s="302"/>
      <c r="C113" s="303" t="s">
        <v>239</v>
      </c>
      <c r="D113" s="303"/>
      <c r="E113" s="303"/>
      <c r="F113" s="97" t="s">
        <v>95</v>
      </c>
      <c r="G113" s="98">
        <v>30</v>
      </c>
      <c r="H113" s="88">
        <v>363800</v>
      </c>
      <c r="I113" s="88">
        <v>353614</v>
      </c>
      <c r="J113" s="88">
        <f t="shared" si="4"/>
        <v>10608420</v>
      </c>
      <c r="K113" s="133">
        <f t="shared" si="5"/>
        <v>-10186</v>
      </c>
      <c r="L113" s="134">
        <f t="shared" si="6"/>
        <v>0.97200109950522262</v>
      </c>
      <c r="N113" t="str">
        <f t="shared" si="7"/>
        <v>OK</v>
      </c>
    </row>
    <row r="114" spans="1:14" ht="60.75" customHeight="1">
      <c r="A114" s="302" t="s">
        <v>240</v>
      </c>
      <c r="B114" s="302"/>
      <c r="C114" s="303" t="s">
        <v>241</v>
      </c>
      <c r="D114" s="303"/>
      <c r="E114" s="303"/>
      <c r="F114" s="94" t="s">
        <v>98</v>
      </c>
      <c r="G114" s="95">
        <v>509.69</v>
      </c>
      <c r="H114" s="88">
        <v>33664</v>
      </c>
      <c r="I114" s="88">
        <v>32721</v>
      </c>
      <c r="J114" s="88">
        <f t="shared" si="4"/>
        <v>16677566</v>
      </c>
      <c r="K114" s="133">
        <f t="shared" si="5"/>
        <v>-943</v>
      </c>
      <c r="L114" s="134">
        <f t="shared" si="6"/>
        <v>0.97198788022813687</v>
      </c>
      <c r="N114" t="str">
        <f t="shared" si="7"/>
        <v>OK</v>
      </c>
    </row>
    <row r="115" spans="1:14" ht="60.75" customHeight="1">
      <c r="A115" s="302" t="s">
        <v>242</v>
      </c>
      <c r="B115" s="302"/>
      <c r="C115" s="303" t="s">
        <v>243</v>
      </c>
      <c r="D115" s="303"/>
      <c r="E115" s="303"/>
      <c r="F115" s="94" t="s">
        <v>98</v>
      </c>
      <c r="G115" s="95">
        <v>100</v>
      </c>
      <c r="H115" s="88">
        <v>40123</v>
      </c>
      <c r="I115" s="88">
        <v>39000</v>
      </c>
      <c r="J115" s="88">
        <f t="shared" si="4"/>
        <v>3900000</v>
      </c>
      <c r="K115" s="133">
        <f t="shared" si="5"/>
        <v>-1123</v>
      </c>
      <c r="L115" s="134">
        <f t="shared" si="6"/>
        <v>0.97201106597213571</v>
      </c>
      <c r="N115" t="str">
        <f t="shared" si="7"/>
        <v>OK</v>
      </c>
    </row>
    <row r="116" spans="1:14" ht="60.75" customHeight="1">
      <c r="A116" s="302" t="s">
        <v>244</v>
      </c>
      <c r="B116" s="302"/>
      <c r="C116" s="303" t="s">
        <v>245</v>
      </c>
      <c r="D116" s="303"/>
      <c r="E116" s="303"/>
      <c r="F116" s="94" t="s">
        <v>98</v>
      </c>
      <c r="G116" s="95">
        <v>40</v>
      </c>
      <c r="H116" s="88">
        <v>38208</v>
      </c>
      <c r="I116" s="88">
        <v>37138</v>
      </c>
      <c r="J116" s="88">
        <f t="shared" si="4"/>
        <v>1485520</v>
      </c>
      <c r="K116" s="133">
        <f t="shared" si="5"/>
        <v>-1070</v>
      </c>
      <c r="L116" s="134">
        <f t="shared" si="6"/>
        <v>0.97199539363484089</v>
      </c>
      <c r="N116" t="str">
        <f t="shared" si="7"/>
        <v>OK</v>
      </c>
    </row>
    <row r="117" spans="1:14" ht="60.75" customHeight="1">
      <c r="A117" s="302" t="s">
        <v>246</v>
      </c>
      <c r="B117" s="302"/>
      <c r="C117" s="303" t="s">
        <v>247</v>
      </c>
      <c r="D117" s="303"/>
      <c r="E117" s="303"/>
      <c r="F117" s="94" t="s">
        <v>98</v>
      </c>
      <c r="G117" s="95">
        <v>25</v>
      </c>
      <c r="H117" s="88">
        <v>38208</v>
      </c>
      <c r="I117" s="88">
        <v>37138</v>
      </c>
      <c r="J117" s="88">
        <f t="shared" si="4"/>
        <v>928450</v>
      </c>
      <c r="K117" s="133">
        <f t="shared" si="5"/>
        <v>-1070</v>
      </c>
      <c r="L117" s="134">
        <f t="shared" si="6"/>
        <v>0.97199539363484089</v>
      </c>
      <c r="N117" t="str">
        <f t="shared" si="7"/>
        <v>OK</v>
      </c>
    </row>
    <row r="118" spans="1:14" ht="60.75" customHeight="1">
      <c r="A118" s="304" t="s">
        <v>248</v>
      </c>
      <c r="B118" s="305"/>
      <c r="C118" s="305"/>
      <c r="D118" s="305"/>
      <c r="E118" s="305"/>
      <c r="F118" s="305"/>
      <c r="G118" s="305"/>
      <c r="H118" s="305"/>
      <c r="I118" s="306"/>
      <c r="J118" s="101">
        <f>SUM(J79:J117)</f>
        <v>925773052</v>
      </c>
      <c r="K118" s="133">
        <f t="shared" si="5"/>
        <v>0</v>
      </c>
      <c r="L118" s="134" t="e">
        <f t="shared" si="6"/>
        <v>#DIV/0!</v>
      </c>
      <c r="N118" t="str">
        <f t="shared" si="7"/>
        <v xml:space="preserve"> </v>
      </c>
    </row>
    <row r="119" spans="1:14" ht="60.75" customHeight="1">
      <c r="A119" s="302" t="s">
        <v>93</v>
      </c>
      <c r="B119" s="302"/>
      <c r="C119" s="303" t="s">
        <v>249</v>
      </c>
      <c r="D119" s="303"/>
      <c r="E119" s="303"/>
      <c r="F119" s="94" t="s">
        <v>98</v>
      </c>
      <c r="G119" s="95">
        <v>860</v>
      </c>
      <c r="H119" s="88">
        <v>38338</v>
      </c>
      <c r="I119" s="88">
        <v>37265</v>
      </c>
      <c r="J119" s="88">
        <f t="shared" si="4"/>
        <v>32047900</v>
      </c>
      <c r="K119" s="133">
        <f t="shared" si="5"/>
        <v>-1073</v>
      </c>
      <c r="L119" s="134">
        <f t="shared" si="6"/>
        <v>0.97201210287443263</v>
      </c>
      <c r="N119" t="str">
        <f t="shared" si="7"/>
        <v>OK</v>
      </c>
    </row>
    <row r="120" spans="1:14" ht="60.75" customHeight="1">
      <c r="A120" s="302" t="s">
        <v>96</v>
      </c>
      <c r="B120" s="302"/>
      <c r="C120" s="303" t="s">
        <v>150</v>
      </c>
      <c r="D120" s="303"/>
      <c r="E120" s="303"/>
      <c r="F120" s="94" t="s">
        <v>113</v>
      </c>
      <c r="G120" s="95">
        <v>180</v>
      </c>
      <c r="H120" s="88">
        <v>96339</v>
      </c>
      <c r="I120" s="88">
        <v>93642</v>
      </c>
      <c r="J120" s="88">
        <f t="shared" si="4"/>
        <v>16855560</v>
      </c>
      <c r="K120" s="133">
        <f t="shared" si="5"/>
        <v>-2697</v>
      </c>
      <c r="L120" s="134">
        <f t="shared" si="6"/>
        <v>0.97200510696602627</v>
      </c>
      <c r="N120" t="str">
        <f t="shared" si="7"/>
        <v>OK</v>
      </c>
    </row>
    <row r="121" spans="1:14" ht="60.75" customHeight="1">
      <c r="A121" s="302" t="s">
        <v>145</v>
      </c>
      <c r="B121" s="302"/>
      <c r="C121" s="303" t="s">
        <v>152</v>
      </c>
      <c r="D121" s="303"/>
      <c r="E121" s="303"/>
      <c r="F121" s="94" t="s">
        <v>98</v>
      </c>
      <c r="G121" s="102">
        <v>4</v>
      </c>
      <c r="H121" s="88">
        <v>95199</v>
      </c>
      <c r="I121" s="88">
        <v>92533</v>
      </c>
      <c r="J121" s="88">
        <f t="shared" si="4"/>
        <v>370132</v>
      </c>
      <c r="K121" s="133">
        <f t="shared" si="5"/>
        <v>-2666</v>
      </c>
      <c r="L121" s="134">
        <f t="shared" si="6"/>
        <v>0.97199550415445546</v>
      </c>
      <c r="N121" t="str">
        <f t="shared" si="7"/>
        <v>OK</v>
      </c>
    </row>
    <row r="122" spans="1:14" ht="60.75" customHeight="1">
      <c r="A122" s="302" t="s">
        <v>99</v>
      </c>
      <c r="B122" s="302"/>
      <c r="C122" s="303" t="s">
        <v>250</v>
      </c>
      <c r="D122" s="303"/>
      <c r="E122" s="303"/>
      <c r="F122" s="94" t="s">
        <v>98</v>
      </c>
      <c r="G122" s="95">
        <v>860</v>
      </c>
      <c r="H122" s="88">
        <v>130620</v>
      </c>
      <c r="I122" s="88">
        <v>126963</v>
      </c>
      <c r="J122" s="88">
        <f t="shared" si="4"/>
        <v>109188180</v>
      </c>
      <c r="K122" s="133">
        <f t="shared" si="5"/>
        <v>-3657</v>
      </c>
      <c r="L122" s="134">
        <f t="shared" si="6"/>
        <v>0.97200275608635733</v>
      </c>
      <c r="N122" t="str">
        <f t="shared" si="7"/>
        <v>OK</v>
      </c>
    </row>
    <row r="123" spans="1:14" ht="60.75" customHeight="1">
      <c r="A123" s="302" t="s">
        <v>116</v>
      </c>
      <c r="B123" s="302"/>
      <c r="C123" s="303" t="s">
        <v>158</v>
      </c>
      <c r="D123" s="303"/>
      <c r="E123" s="303"/>
      <c r="F123" s="94" t="s">
        <v>98</v>
      </c>
      <c r="G123" s="95">
        <v>860</v>
      </c>
      <c r="H123" s="88">
        <v>194913</v>
      </c>
      <c r="I123" s="88">
        <v>189455</v>
      </c>
      <c r="J123" s="88">
        <f t="shared" si="4"/>
        <v>162931300</v>
      </c>
      <c r="K123" s="133">
        <f t="shared" si="5"/>
        <v>-5458</v>
      </c>
      <c r="L123" s="134">
        <f t="shared" si="6"/>
        <v>0.97199776310456465</v>
      </c>
      <c r="N123" t="str">
        <f t="shared" si="7"/>
        <v>OK</v>
      </c>
    </row>
    <row r="124" spans="1:14" ht="60.75" customHeight="1">
      <c r="A124" s="302" t="s">
        <v>124</v>
      </c>
      <c r="B124" s="302"/>
      <c r="C124" s="303" t="s">
        <v>167</v>
      </c>
      <c r="D124" s="303"/>
      <c r="E124" s="303"/>
      <c r="F124" s="94" t="s">
        <v>113</v>
      </c>
      <c r="G124" s="95">
        <v>20</v>
      </c>
      <c r="H124" s="88">
        <v>319533</v>
      </c>
      <c r="I124" s="88">
        <v>310586</v>
      </c>
      <c r="J124" s="88">
        <f t="shared" si="4"/>
        <v>6211720</v>
      </c>
      <c r="K124" s="133">
        <f t="shared" si="5"/>
        <v>-8947</v>
      </c>
      <c r="L124" s="134">
        <f t="shared" si="6"/>
        <v>0.97199976215289186</v>
      </c>
      <c r="N124" t="str">
        <f t="shared" si="7"/>
        <v>OK</v>
      </c>
    </row>
    <row r="125" spans="1:14" ht="60.75" customHeight="1">
      <c r="A125" s="302" t="s">
        <v>126</v>
      </c>
      <c r="B125" s="302"/>
      <c r="C125" s="303" t="s">
        <v>169</v>
      </c>
      <c r="D125" s="303"/>
      <c r="E125" s="303"/>
      <c r="F125" s="94" t="s">
        <v>113</v>
      </c>
      <c r="G125" s="95">
        <v>20</v>
      </c>
      <c r="H125" s="88">
        <v>233891</v>
      </c>
      <c r="I125" s="88">
        <v>227342</v>
      </c>
      <c r="J125" s="88">
        <f t="shared" si="4"/>
        <v>4546840</v>
      </c>
      <c r="K125" s="133">
        <f t="shared" si="5"/>
        <v>-6549</v>
      </c>
      <c r="L125" s="134">
        <f t="shared" si="6"/>
        <v>0.97199977767421575</v>
      </c>
      <c r="N125" t="str">
        <f t="shared" si="7"/>
        <v>OK</v>
      </c>
    </row>
    <row r="126" spans="1:14" ht="60.75" customHeight="1">
      <c r="A126" s="302" t="s">
        <v>128</v>
      </c>
      <c r="B126" s="302"/>
      <c r="C126" s="303" t="s">
        <v>251</v>
      </c>
      <c r="D126" s="303"/>
      <c r="E126" s="303"/>
      <c r="F126" s="94" t="s">
        <v>113</v>
      </c>
      <c r="G126" s="95">
        <v>113</v>
      </c>
      <c r="H126" s="88">
        <v>98830</v>
      </c>
      <c r="I126" s="88">
        <v>96063</v>
      </c>
      <c r="J126" s="88">
        <f t="shared" si="4"/>
        <v>10855119</v>
      </c>
      <c r="K126" s="133">
        <f t="shared" si="5"/>
        <v>-2767</v>
      </c>
      <c r="L126" s="134">
        <f t="shared" si="6"/>
        <v>0.97200242841242535</v>
      </c>
      <c r="N126" t="str">
        <f t="shared" si="7"/>
        <v>OK</v>
      </c>
    </row>
    <row r="127" spans="1:14" ht="60.75" customHeight="1">
      <c r="A127" s="302" t="s">
        <v>130</v>
      </c>
      <c r="B127" s="302"/>
      <c r="C127" s="303" t="s">
        <v>173</v>
      </c>
      <c r="D127" s="303"/>
      <c r="E127" s="303"/>
      <c r="F127" s="94" t="s">
        <v>113</v>
      </c>
      <c r="G127" s="95">
        <v>8</v>
      </c>
      <c r="H127" s="88">
        <v>215750</v>
      </c>
      <c r="I127" s="88">
        <v>209709</v>
      </c>
      <c r="J127" s="88">
        <f t="shared" si="4"/>
        <v>1677672</v>
      </c>
      <c r="K127" s="133">
        <f t="shared" si="5"/>
        <v>-6041</v>
      </c>
      <c r="L127" s="134">
        <f t="shared" si="6"/>
        <v>0.97199999999999998</v>
      </c>
      <c r="N127" t="str">
        <f t="shared" si="7"/>
        <v>OK</v>
      </c>
    </row>
    <row r="128" spans="1:14" ht="60.75" customHeight="1">
      <c r="A128" s="302" t="s">
        <v>132</v>
      </c>
      <c r="B128" s="302"/>
      <c r="C128" s="303" t="s">
        <v>175</v>
      </c>
      <c r="D128" s="303"/>
      <c r="E128" s="303"/>
      <c r="F128" s="94" t="s">
        <v>113</v>
      </c>
      <c r="G128" s="95">
        <v>4</v>
      </c>
      <c r="H128" s="88">
        <v>200830</v>
      </c>
      <c r="I128" s="88">
        <v>195207</v>
      </c>
      <c r="J128" s="88">
        <f t="shared" si="4"/>
        <v>780828</v>
      </c>
      <c r="K128" s="133">
        <f t="shared" si="5"/>
        <v>-5623</v>
      </c>
      <c r="L128" s="134">
        <f t="shared" si="6"/>
        <v>0.97200119504058158</v>
      </c>
      <c r="N128" t="str">
        <f t="shared" si="7"/>
        <v>OK</v>
      </c>
    </row>
    <row r="129" spans="1:14" ht="60.75" customHeight="1">
      <c r="A129" s="302" t="s">
        <v>136</v>
      </c>
      <c r="B129" s="302"/>
      <c r="C129" s="303" t="s">
        <v>196</v>
      </c>
      <c r="D129" s="303"/>
      <c r="E129" s="303"/>
      <c r="F129" s="94" t="s">
        <v>113</v>
      </c>
      <c r="G129" s="95">
        <v>1</v>
      </c>
      <c r="H129" s="88">
        <v>1025000</v>
      </c>
      <c r="I129" s="88">
        <v>996300</v>
      </c>
      <c r="J129" s="88">
        <f t="shared" si="4"/>
        <v>996300</v>
      </c>
      <c r="K129" s="133">
        <f t="shared" si="5"/>
        <v>-28700</v>
      </c>
      <c r="L129" s="134">
        <f t="shared" si="6"/>
        <v>0.97199999999999998</v>
      </c>
      <c r="N129" t="str">
        <f t="shared" si="7"/>
        <v>OK</v>
      </c>
    </row>
    <row r="130" spans="1:14" ht="60.75" customHeight="1">
      <c r="A130" s="302" t="s">
        <v>140</v>
      </c>
      <c r="B130" s="302"/>
      <c r="C130" s="303" t="s">
        <v>198</v>
      </c>
      <c r="D130" s="303"/>
      <c r="E130" s="303"/>
      <c r="F130" s="94" t="s">
        <v>98</v>
      </c>
      <c r="G130" s="95">
        <v>880</v>
      </c>
      <c r="H130" s="88">
        <v>35833</v>
      </c>
      <c r="I130" s="88">
        <v>34830</v>
      </c>
      <c r="J130" s="88">
        <f t="shared" si="4"/>
        <v>30650400</v>
      </c>
      <c r="K130" s="133">
        <f t="shared" si="5"/>
        <v>-1003</v>
      </c>
      <c r="L130" s="134">
        <f t="shared" si="6"/>
        <v>0.97200904194457627</v>
      </c>
      <c r="N130" t="str">
        <f t="shared" si="7"/>
        <v>OK</v>
      </c>
    </row>
    <row r="131" spans="1:14" ht="60.75" customHeight="1">
      <c r="A131" s="296" t="s">
        <v>252</v>
      </c>
      <c r="B131" s="297"/>
      <c r="C131" s="297"/>
      <c r="D131" s="297"/>
      <c r="E131" s="297"/>
      <c r="F131" s="297"/>
      <c r="G131" s="297"/>
      <c r="H131" s="297"/>
      <c r="I131" s="298"/>
      <c r="J131" s="104">
        <f>SUM(J119:J130)</f>
        <v>377111951</v>
      </c>
    </row>
    <row r="132" spans="1:14" ht="60.75" customHeight="1">
      <c r="A132" s="299" t="s">
        <v>253</v>
      </c>
      <c r="B132" s="300"/>
      <c r="C132" s="300"/>
      <c r="D132" s="300"/>
      <c r="E132" s="300"/>
      <c r="F132" s="300"/>
      <c r="G132" s="300"/>
      <c r="H132" s="301"/>
      <c r="I132" s="105">
        <f>+ROUND(J132*10%,0)</f>
        <v>378511979</v>
      </c>
      <c r="J132" s="104">
        <f>+J118+J78+J73+J39+J131</f>
        <v>3785119794</v>
      </c>
    </row>
    <row r="133" spans="1:14" ht="41.25" customHeight="1">
      <c r="A133" s="286" t="s">
        <v>254</v>
      </c>
      <c r="B133" s="287"/>
      <c r="C133" s="287"/>
      <c r="D133" s="288"/>
      <c r="E133" s="106">
        <v>0.12</v>
      </c>
      <c r="F133" s="289"/>
      <c r="G133" s="290"/>
      <c r="H133" s="291"/>
      <c r="I133" s="108">
        <f>+ROUND($I$132*F133,0)</f>
        <v>0</v>
      </c>
      <c r="J133" s="108">
        <f>J132*E133</f>
        <v>454214375.27999997</v>
      </c>
      <c r="K133" s="135">
        <f>+F133-E133</f>
        <v>-0.12</v>
      </c>
      <c r="L133" s="134">
        <f>F133/E133</f>
        <v>0</v>
      </c>
    </row>
    <row r="134" spans="1:14" ht="35.25" customHeight="1">
      <c r="A134" s="286" t="s">
        <v>255</v>
      </c>
      <c r="B134" s="287"/>
      <c r="C134" s="287"/>
      <c r="D134" s="288"/>
      <c r="E134" s="106">
        <v>0.03</v>
      </c>
      <c r="F134" s="289"/>
      <c r="G134" s="290"/>
      <c r="H134" s="291"/>
      <c r="I134" s="108">
        <f t="shared" ref="I134:I135" si="8">+ROUND($I$132*F134,0)</f>
        <v>0</v>
      </c>
      <c r="J134" s="108">
        <f>J132*E134</f>
        <v>113553593.81999999</v>
      </c>
      <c r="K134" s="135">
        <f t="shared" ref="K134:K135" si="9">+F134-E134</f>
        <v>-0.03</v>
      </c>
      <c r="L134" s="134">
        <f t="shared" ref="L134:L135" si="10">F134/E134</f>
        <v>0</v>
      </c>
    </row>
    <row r="135" spans="1:14" ht="31.5" customHeight="1">
      <c r="A135" s="286" t="s">
        <v>256</v>
      </c>
      <c r="B135" s="287"/>
      <c r="C135" s="287"/>
      <c r="D135" s="288"/>
      <c r="E135" s="106">
        <v>7.0000000000000007E-2</v>
      </c>
      <c r="F135" s="289"/>
      <c r="G135" s="290"/>
      <c r="H135" s="291"/>
      <c r="I135" s="108">
        <f t="shared" si="8"/>
        <v>0</v>
      </c>
      <c r="J135" s="108">
        <f>J132*E135</f>
        <v>264958385.58000001</v>
      </c>
      <c r="K135" s="135">
        <f t="shared" si="9"/>
        <v>-7.0000000000000007E-2</v>
      </c>
      <c r="L135" s="134">
        <f t="shared" si="10"/>
        <v>0</v>
      </c>
    </row>
    <row r="136" spans="1:14" ht="33.75" customHeight="1">
      <c r="A136" s="286" t="s">
        <v>257</v>
      </c>
      <c r="B136" s="287"/>
      <c r="C136" s="287"/>
      <c r="D136" s="288"/>
      <c r="E136" s="289">
        <v>0.19</v>
      </c>
      <c r="F136" s="290"/>
      <c r="G136" s="290"/>
      <c r="H136" s="291"/>
      <c r="I136" s="108">
        <f>+ROUND(I135*E136,0)</f>
        <v>0</v>
      </c>
      <c r="J136" s="108">
        <f>+ROUND(J135*E136,0)</f>
        <v>50342093</v>
      </c>
      <c r="K136" s="135"/>
      <c r="L136" s="134"/>
    </row>
    <row r="137" spans="1:14" ht="42" customHeight="1">
      <c r="A137" s="292" t="s">
        <v>258</v>
      </c>
      <c r="B137" s="293"/>
      <c r="C137" s="293"/>
      <c r="D137" s="293"/>
      <c r="E137" s="293"/>
      <c r="F137" s="293"/>
      <c r="G137" s="293"/>
      <c r="H137" s="294"/>
      <c r="I137" s="109">
        <f>SUM(I132:I136)</f>
        <v>378511979</v>
      </c>
      <c r="J137" s="109">
        <f>SUM(J132:J136)</f>
        <v>4668188241.6799994</v>
      </c>
    </row>
    <row r="138" spans="1:14" ht="60.75" customHeight="1">
      <c r="A138" s="295" t="s">
        <v>259</v>
      </c>
      <c r="B138" s="295"/>
      <c r="C138" s="295"/>
      <c r="D138" s="295"/>
      <c r="E138" s="295"/>
      <c r="F138" s="295"/>
      <c r="G138" s="295"/>
      <c r="H138" s="295"/>
      <c r="I138" s="295"/>
      <c r="J138" s="111">
        <f>+I137+J137</f>
        <v>5046700220.6799994</v>
      </c>
      <c r="K138" s="133">
        <f>J138-'[3]CONSOLIDADO FINANCIERO'!L7</f>
        <v>-236231745.32000065</v>
      </c>
      <c r="L138" s="183">
        <f>+J138/'CONSOLIDADO FINANCIERO'!L7</f>
        <v>0.95528396980306662</v>
      </c>
    </row>
    <row r="139" spans="1:14" ht="15.75" customHeight="1" thickBot="1"/>
    <row r="140" spans="1:14" ht="215.25" customHeight="1" thickBot="1">
      <c r="A140" s="282" t="s">
        <v>260</v>
      </c>
      <c r="B140" s="283"/>
      <c r="C140" s="283"/>
      <c r="D140" s="283"/>
      <c r="E140" s="283"/>
      <c r="F140" s="283"/>
      <c r="G140" s="283"/>
      <c r="H140" s="283"/>
      <c r="I140" s="283"/>
      <c r="J140" s="283"/>
      <c r="K140" s="283"/>
      <c r="L140" s="283"/>
      <c r="M140" s="284"/>
    </row>
    <row r="141" spans="1:14" ht="2.25" customHeight="1" thickBot="1">
      <c r="A141" s="112"/>
      <c r="B141" s="112"/>
      <c r="C141" s="112"/>
      <c r="D141" s="112"/>
      <c r="E141" s="112"/>
      <c r="F141" s="113"/>
      <c r="G141" s="113"/>
      <c r="H141" s="113"/>
      <c r="I141" s="113"/>
      <c r="J141" s="113"/>
      <c r="K141" s="113"/>
      <c r="L141" s="113"/>
      <c r="M141" s="113"/>
    </row>
    <row r="142" spans="1:14" ht="93.75" customHeight="1" thickBot="1">
      <c r="A142" s="114"/>
      <c r="B142" s="115"/>
      <c r="C142" s="116"/>
      <c r="D142" s="116"/>
      <c r="E142" s="117"/>
      <c r="F142" s="117"/>
      <c r="G142" s="117"/>
      <c r="H142" s="117"/>
      <c r="I142" s="117"/>
      <c r="J142" s="117"/>
      <c r="K142" s="117"/>
      <c r="L142" s="117"/>
      <c r="M142" s="118"/>
    </row>
    <row r="143" spans="1:14" ht="16.5" customHeight="1">
      <c r="A143" s="119"/>
      <c r="B143" s="393" t="s">
        <v>310</v>
      </c>
      <c r="C143" s="393"/>
      <c r="D143" s="393"/>
      <c r="E143" s="122"/>
      <c r="F143" s="112"/>
      <c r="G143" s="112"/>
      <c r="H143" s="112"/>
      <c r="I143" s="112"/>
      <c r="J143" s="112"/>
      <c r="K143" s="112"/>
      <c r="L143" s="112"/>
      <c r="M143" s="123"/>
    </row>
    <row r="144" spans="1:14" ht="17.25" thickBot="1">
      <c r="A144" s="124"/>
      <c r="B144" s="369" t="s">
        <v>311</v>
      </c>
      <c r="C144" s="369"/>
      <c r="D144" s="369"/>
      <c r="E144" s="127"/>
      <c r="F144" s="128"/>
      <c r="G144" s="128"/>
      <c r="H144" s="128"/>
      <c r="I144" s="128"/>
      <c r="J144" s="128"/>
      <c r="K144" s="128"/>
      <c r="L144" s="128"/>
      <c r="M144" s="129"/>
    </row>
    <row r="145" spans="1:7">
      <c r="A145" s="130"/>
      <c r="C145" s="131"/>
      <c r="D145" s="131"/>
      <c r="E145" s="131"/>
      <c r="F145" s="131"/>
      <c r="G145" s="131"/>
    </row>
  </sheetData>
  <sheetProtection algorithmName="SHA-512" hashValue="OMInsgljPH41Ct4etys4GDzT3jbbbL7GXMbZUpdbBTEssOWOBSY0DyueeELwfjlk141ceqPBqV+Rlbq26SHadA==" saltValue="MpRjL6Zg/ENQRIW64sW92w==" spinCount="100000" sheet="1" objects="1" scenarios="1"/>
  <mergeCells count="263">
    <mergeCell ref="A8:D8"/>
    <mergeCell ref="E8:J8"/>
    <mergeCell ref="A9:D9"/>
    <mergeCell ref="E9:J9"/>
    <mergeCell ref="A10:D10"/>
    <mergeCell ref="E10:J10"/>
    <mergeCell ref="A1:D4"/>
    <mergeCell ref="E1:J4"/>
    <mergeCell ref="A5:J5"/>
    <mergeCell ref="A6:D6"/>
    <mergeCell ref="E6:J6"/>
    <mergeCell ref="A7:D7"/>
    <mergeCell ref="E7:J7"/>
    <mergeCell ref="A11:D11"/>
    <mergeCell ref="E11:J11"/>
    <mergeCell ref="A12:J12"/>
    <mergeCell ref="A14:B15"/>
    <mergeCell ref="C14:E15"/>
    <mergeCell ref="F14:F15"/>
    <mergeCell ref="G14:G15"/>
    <mergeCell ref="H14:H15"/>
    <mergeCell ref="I14:J14"/>
    <mergeCell ref="A19:B19"/>
    <mergeCell ref="C19:E19"/>
    <mergeCell ref="A20:B20"/>
    <mergeCell ref="C20:E20"/>
    <mergeCell ref="A21:B21"/>
    <mergeCell ref="C21:E21"/>
    <mergeCell ref="A16:B16"/>
    <mergeCell ref="C16:E16"/>
    <mergeCell ref="A17:B17"/>
    <mergeCell ref="C17:E17"/>
    <mergeCell ref="A18:B18"/>
    <mergeCell ref="C18:E18"/>
    <mergeCell ref="A25:B25"/>
    <mergeCell ref="C25:E25"/>
    <mergeCell ref="A26:B26"/>
    <mergeCell ref="C26:E26"/>
    <mergeCell ref="A27:B27"/>
    <mergeCell ref="C27:E27"/>
    <mergeCell ref="A22:B22"/>
    <mergeCell ref="C22:E22"/>
    <mergeCell ref="A23:B23"/>
    <mergeCell ref="C23:E23"/>
    <mergeCell ref="A24:B24"/>
    <mergeCell ref="C24:E24"/>
    <mergeCell ref="A31:B31"/>
    <mergeCell ref="C31:E31"/>
    <mergeCell ref="A32:B32"/>
    <mergeCell ref="C32:E32"/>
    <mergeCell ref="A33:B33"/>
    <mergeCell ref="C33:E33"/>
    <mergeCell ref="A28:B28"/>
    <mergeCell ref="C28:E28"/>
    <mergeCell ref="A29:B29"/>
    <mergeCell ref="C29:E29"/>
    <mergeCell ref="A30:B30"/>
    <mergeCell ref="C30:E30"/>
    <mergeCell ref="A37:B37"/>
    <mergeCell ref="C37:E37"/>
    <mergeCell ref="A38:B38"/>
    <mergeCell ref="C38:E38"/>
    <mergeCell ref="A39:I39"/>
    <mergeCell ref="A40:B40"/>
    <mergeCell ref="C40:E40"/>
    <mergeCell ref="A34:B34"/>
    <mergeCell ref="C34:E34"/>
    <mergeCell ref="A35:B35"/>
    <mergeCell ref="C35:E35"/>
    <mergeCell ref="A36:B36"/>
    <mergeCell ref="C36:E36"/>
    <mergeCell ref="A44:B44"/>
    <mergeCell ref="C44:E44"/>
    <mergeCell ref="A45:B45"/>
    <mergeCell ref="C45:E45"/>
    <mergeCell ref="A46:B46"/>
    <mergeCell ref="C46:E46"/>
    <mergeCell ref="A41:B41"/>
    <mergeCell ref="C41:E41"/>
    <mergeCell ref="A42:B42"/>
    <mergeCell ref="C42:E42"/>
    <mergeCell ref="A43:B43"/>
    <mergeCell ref="C43:E43"/>
    <mergeCell ref="A50:B50"/>
    <mergeCell ref="C50:E50"/>
    <mergeCell ref="A51:B51"/>
    <mergeCell ref="C51:E51"/>
    <mergeCell ref="A52:B52"/>
    <mergeCell ref="C52:E52"/>
    <mergeCell ref="A47:B47"/>
    <mergeCell ref="C47:E47"/>
    <mergeCell ref="A48:B48"/>
    <mergeCell ref="C48:E48"/>
    <mergeCell ref="A49:B49"/>
    <mergeCell ref="C49:E49"/>
    <mergeCell ref="A56:B56"/>
    <mergeCell ref="C56:E56"/>
    <mergeCell ref="A57:B57"/>
    <mergeCell ref="C57:E57"/>
    <mergeCell ref="A58:B58"/>
    <mergeCell ref="C58:E58"/>
    <mergeCell ref="A53:B53"/>
    <mergeCell ref="C53:E53"/>
    <mergeCell ref="A54:B54"/>
    <mergeCell ref="C54:E54"/>
    <mergeCell ref="A55:B55"/>
    <mergeCell ref="C55:E55"/>
    <mergeCell ref="A62:B62"/>
    <mergeCell ref="C62:E62"/>
    <mergeCell ref="A63:B63"/>
    <mergeCell ref="C63:E63"/>
    <mergeCell ref="A64:B64"/>
    <mergeCell ref="C64:E64"/>
    <mergeCell ref="A59:B59"/>
    <mergeCell ref="C59:E59"/>
    <mergeCell ref="A60:B60"/>
    <mergeCell ref="C60:E60"/>
    <mergeCell ref="A61:B61"/>
    <mergeCell ref="C61:E61"/>
    <mergeCell ref="A68:B68"/>
    <mergeCell ref="C68:E68"/>
    <mergeCell ref="A69:B69"/>
    <mergeCell ref="C69:E69"/>
    <mergeCell ref="A70:B70"/>
    <mergeCell ref="C70:E70"/>
    <mergeCell ref="A65:B65"/>
    <mergeCell ref="C65:E65"/>
    <mergeCell ref="A66:B66"/>
    <mergeCell ref="C66:E66"/>
    <mergeCell ref="A67:B67"/>
    <mergeCell ref="C67:E67"/>
    <mergeCell ref="A75:B75"/>
    <mergeCell ref="C75:E75"/>
    <mergeCell ref="A76:B76"/>
    <mergeCell ref="C76:E76"/>
    <mergeCell ref="A77:B77"/>
    <mergeCell ref="C77:E77"/>
    <mergeCell ref="A71:B71"/>
    <mergeCell ref="C71:E71"/>
    <mergeCell ref="A72:B72"/>
    <mergeCell ref="C72:E72"/>
    <mergeCell ref="A73:I73"/>
    <mergeCell ref="A74:B74"/>
    <mergeCell ref="C74:E74"/>
    <mergeCell ref="A82:B82"/>
    <mergeCell ref="C82:E82"/>
    <mergeCell ref="A83:B83"/>
    <mergeCell ref="C83:E83"/>
    <mergeCell ref="A84:B84"/>
    <mergeCell ref="C84:E84"/>
    <mergeCell ref="A78:I78"/>
    <mergeCell ref="A79:B79"/>
    <mergeCell ref="C79:E79"/>
    <mergeCell ref="A80:B80"/>
    <mergeCell ref="C80:E80"/>
    <mergeCell ref="A81:B81"/>
    <mergeCell ref="C81:E81"/>
    <mergeCell ref="A88:B88"/>
    <mergeCell ref="C88:E88"/>
    <mergeCell ref="A89:B89"/>
    <mergeCell ref="C89:E89"/>
    <mergeCell ref="A90:B90"/>
    <mergeCell ref="C90:E90"/>
    <mergeCell ref="A85:B85"/>
    <mergeCell ref="C85:E85"/>
    <mergeCell ref="A86:B86"/>
    <mergeCell ref="C86:E86"/>
    <mergeCell ref="A87:B87"/>
    <mergeCell ref="C87:E87"/>
    <mergeCell ref="A94:B94"/>
    <mergeCell ref="C94:E94"/>
    <mergeCell ref="A95:B95"/>
    <mergeCell ref="C95:E95"/>
    <mergeCell ref="A96:B96"/>
    <mergeCell ref="C96:E96"/>
    <mergeCell ref="A91:B91"/>
    <mergeCell ref="C91:E91"/>
    <mergeCell ref="A92:B92"/>
    <mergeCell ref="C92:E92"/>
    <mergeCell ref="A93:B93"/>
    <mergeCell ref="C93:E93"/>
    <mergeCell ref="A100:B100"/>
    <mergeCell ref="C100:E100"/>
    <mergeCell ref="A101:B101"/>
    <mergeCell ref="C101:E101"/>
    <mergeCell ref="A102:B102"/>
    <mergeCell ref="C102:E102"/>
    <mergeCell ref="A97:B97"/>
    <mergeCell ref="C97:E97"/>
    <mergeCell ref="A98:B98"/>
    <mergeCell ref="C98:E98"/>
    <mergeCell ref="A99:B99"/>
    <mergeCell ref="C99:E99"/>
    <mergeCell ref="A106:B106"/>
    <mergeCell ref="C106:E106"/>
    <mergeCell ref="A107:B107"/>
    <mergeCell ref="C107:E107"/>
    <mergeCell ref="A108:B108"/>
    <mergeCell ref="C108:E108"/>
    <mergeCell ref="A103:B103"/>
    <mergeCell ref="C103:E103"/>
    <mergeCell ref="A104:B104"/>
    <mergeCell ref="C104:E104"/>
    <mergeCell ref="A105:B105"/>
    <mergeCell ref="C105:E105"/>
    <mergeCell ref="A112:B112"/>
    <mergeCell ref="C112:E112"/>
    <mergeCell ref="A113:B113"/>
    <mergeCell ref="C113:E113"/>
    <mergeCell ref="A114:B114"/>
    <mergeCell ref="C114:E114"/>
    <mergeCell ref="A109:B109"/>
    <mergeCell ref="C109:E109"/>
    <mergeCell ref="A110:B110"/>
    <mergeCell ref="C110:E110"/>
    <mergeCell ref="A111:B111"/>
    <mergeCell ref="C111:E111"/>
    <mergeCell ref="A118:I118"/>
    <mergeCell ref="A119:B119"/>
    <mergeCell ref="C119:E119"/>
    <mergeCell ref="A120:B120"/>
    <mergeCell ref="C120:E120"/>
    <mergeCell ref="A121:B121"/>
    <mergeCell ref="C121:E121"/>
    <mergeCell ref="A115:B115"/>
    <mergeCell ref="C115:E115"/>
    <mergeCell ref="A116:B116"/>
    <mergeCell ref="C116:E116"/>
    <mergeCell ref="A117:B117"/>
    <mergeCell ref="C117:E117"/>
    <mergeCell ref="A125:B125"/>
    <mergeCell ref="C125:E125"/>
    <mergeCell ref="A126:B126"/>
    <mergeCell ref="C126:E126"/>
    <mergeCell ref="A127:B127"/>
    <mergeCell ref="C127:E127"/>
    <mergeCell ref="A122:B122"/>
    <mergeCell ref="C122:E122"/>
    <mergeCell ref="A123:B123"/>
    <mergeCell ref="C123:E123"/>
    <mergeCell ref="A124:B124"/>
    <mergeCell ref="C124:E124"/>
    <mergeCell ref="A131:I131"/>
    <mergeCell ref="A132:H132"/>
    <mergeCell ref="A133:D133"/>
    <mergeCell ref="F133:H133"/>
    <mergeCell ref="A134:D134"/>
    <mergeCell ref="F134:H134"/>
    <mergeCell ref="A128:B128"/>
    <mergeCell ref="C128:E128"/>
    <mergeCell ref="A129:B129"/>
    <mergeCell ref="C129:E129"/>
    <mergeCell ref="A130:B130"/>
    <mergeCell ref="C130:E130"/>
    <mergeCell ref="A140:M140"/>
    <mergeCell ref="B143:D143"/>
    <mergeCell ref="B144:D144"/>
    <mergeCell ref="A135:D135"/>
    <mergeCell ref="F135:H135"/>
    <mergeCell ref="A136:D136"/>
    <mergeCell ref="E136:H136"/>
    <mergeCell ref="A137:H137"/>
    <mergeCell ref="A138:I138"/>
  </mergeCells>
  <conditionalFormatting sqref="K16:K130">
    <cfRule type="cellIs" dxfId="154" priority="18" operator="greaterThan">
      <formula>0</formula>
    </cfRule>
    <cfRule type="cellIs" dxfId="153" priority="19" operator="lessThan">
      <formula>0</formula>
    </cfRule>
    <cfRule type="cellIs" dxfId="152" priority="20" operator="lessThan">
      <formula>0</formula>
    </cfRule>
  </conditionalFormatting>
  <conditionalFormatting sqref="K133:K136">
    <cfRule type="cellIs" dxfId="151" priority="13" operator="greaterThan">
      <formula>0</formula>
    </cfRule>
    <cfRule type="cellIs" dxfId="150" priority="14" operator="lessThan">
      <formula>0</formula>
    </cfRule>
    <cfRule type="cellIs" dxfId="149" priority="15" operator="lessThan">
      <formula>0</formula>
    </cfRule>
  </conditionalFormatting>
  <conditionalFormatting sqref="K138">
    <cfRule type="cellIs" dxfId="148" priority="3" operator="greaterThan">
      <formula>0</formula>
    </cfRule>
    <cfRule type="cellIs" dxfId="147" priority="4" operator="lessThan">
      <formula>0</formula>
    </cfRule>
    <cfRule type="cellIs" dxfId="146" priority="5" operator="lessThan">
      <formula>0</formula>
    </cfRule>
  </conditionalFormatting>
  <conditionalFormatting sqref="L16:L130">
    <cfRule type="cellIs" dxfId="145" priority="16" operator="greaterThan">
      <formula>0.8</formula>
    </cfRule>
    <cfRule type="cellIs" dxfId="144" priority="17" operator="lessThan">
      <formula>0.8</formula>
    </cfRule>
  </conditionalFormatting>
  <conditionalFormatting sqref="L133:L136">
    <cfRule type="cellIs" dxfId="143" priority="11" operator="greaterThan">
      <formula>0.8</formula>
    </cfRule>
    <cfRule type="cellIs" dxfId="142" priority="12" operator="lessThan">
      <formula>0.8</formula>
    </cfRule>
  </conditionalFormatting>
  <conditionalFormatting sqref="L138">
    <cfRule type="cellIs" dxfId="141" priority="1" operator="greaterThan">
      <formula>0.8</formula>
    </cfRule>
    <cfRule type="cellIs" dxfId="140" priority="2" operator="lessThan">
      <formula>0.8</formula>
    </cfRule>
  </conditionalFormatting>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2CA53-FF30-4573-9D9B-462111CC557C}">
  <sheetPr>
    <tabColor rgb="FF92D050"/>
    <pageSetUpPr fitToPage="1"/>
  </sheetPr>
  <dimension ref="A1:AZ48"/>
  <sheetViews>
    <sheetView topLeftCell="C35" zoomScale="55" zoomScaleNormal="55" zoomScaleSheetLayoutView="50" workbookViewId="0">
      <selection activeCell="L31" sqref="L31:L44"/>
    </sheetView>
  </sheetViews>
  <sheetFormatPr baseColWidth="10" defaultColWidth="11.42578125" defaultRowHeight="16.5"/>
  <cols>
    <col min="1" max="1" width="16" style="2" customWidth="1"/>
    <col min="2" max="2" width="25.42578125" style="2" customWidth="1"/>
    <col min="3" max="3" width="43.42578125" style="2" customWidth="1"/>
    <col min="4" max="4" width="24.42578125" style="2" customWidth="1"/>
    <col min="5" max="5" width="26.140625" style="2" customWidth="1"/>
    <col min="6" max="8" width="32.42578125" style="2" customWidth="1"/>
    <col min="9" max="9" width="33.85546875" style="2" customWidth="1"/>
    <col min="10" max="10" width="23.28515625" style="2" customWidth="1"/>
    <col min="11" max="11" width="28.42578125" style="2" customWidth="1"/>
    <col min="12" max="12" width="33.28515625" style="2" customWidth="1"/>
    <col min="13" max="13" width="11.42578125" style="3" hidden="1" customWidth="1"/>
    <col min="14" max="14" width="15.7109375" style="14" hidden="1" customWidth="1"/>
    <col min="15" max="15" width="41.7109375" style="14" hidden="1" customWidth="1"/>
    <col min="16" max="16" width="23.28515625" style="14" hidden="1" customWidth="1"/>
    <col min="17" max="17" width="0" style="14" hidden="1" customWidth="1"/>
    <col min="18" max="18" width="11.42578125" style="2"/>
    <col min="19" max="19" width="53.7109375" style="2" customWidth="1"/>
    <col min="20" max="16384" width="11.42578125" style="2"/>
  </cols>
  <sheetData>
    <row r="1" spans="1:17" ht="89.25" customHeight="1" thickBot="1">
      <c r="A1" s="1">
        <v>7</v>
      </c>
      <c r="C1" s="214" t="s">
        <v>29</v>
      </c>
      <c r="D1" s="215"/>
      <c r="E1" s="215"/>
      <c r="F1" s="215"/>
      <c r="G1" s="215"/>
      <c r="H1" s="215"/>
      <c r="I1" s="215"/>
      <c r="J1" s="215"/>
      <c r="K1" s="216"/>
      <c r="L1" s="39"/>
      <c r="N1" s="3"/>
      <c r="O1" s="3"/>
      <c r="P1" s="3"/>
      <c r="Q1" s="3"/>
    </row>
    <row r="2" spans="1:17" ht="16.5" customHeight="1" thickBot="1">
      <c r="A2" s="4"/>
      <c r="B2" s="5"/>
      <c r="C2" s="5"/>
      <c r="D2" s="5"/>
      <c r="E2" s="5"/>
      <c r="F2" s="5"/>
      <c r="G2" s="5"/>
      <c r="H2" s="5"/>
      <c r="I2" s="5"/>
      <c r="J2" s="5"/>
      <c r="K2" s="5"/>
      <c r="L2" s="5"/>
      <c r="N2" s="3"/>
      <c r="O2" s="3"/>
      <c r="P2" s="3"/>
      <c r="Q2" s="3"/>
    </row>
    <row r="3" spans="1:17" ht="49.5" customHeight="1" thickBot="1">
      <c r="A3" s="4"/>
      <c r="B3" s="4"/>
      <c r="C3" s="6" t="s">
        <v>2</v>
      </c>
      <c r="D3" s="209" t="str">
        <f>+'CONSOLIDADO FINANCIERO'!L5</f>
        <v>REALIZAR LAS REPARACIONES LOCATIVAS DE LA INFRAESTRUCTURA FÍSICA DE LA SEDE PRINCIPAL - CNA DEL FONDO NACIONAL DEL AHORRO S.A.</v>
      </c>
      <c r="E3" s="209"/>
      <c r="F3" s="209"/>
      <c r="G3" s="209"/>
      <c r="H3" s="209"/>
      <c r="I3" s="209"/>
      <c r="J3" s="209"/>
      <c r="K3" s="210"/>
      <c r="L3" s="40"/>
      <c r="N3" s="3"/>
      <c r="O3" s="3"/>
      <c r="P3" s="3"/>
      <c r="Q3" s="3"/>
    </row>
    <row r="4" spans="1:17" ht="36.75" customHeight="1">
      <c r="A4" s="4"/>
      <c r="B4" s="4"/>
      <c r="C4" s="7" t="s">
        <v>4</v>
      </c>
      <c r="D4" s="209" t="str">
        <f>+'CONSOLIDADO FINANCIERO'!D6</f>
        <v>FNA-VGHA-CP-015-2024</v>
      </c>
      <c r="E4" s="209"/>
      <c r="F4" s="209"/>
      <c r="G4" s="209"/>
      <c r="H4" s="209"/>
      <c r="I4" s="209"/>
      <c r="J4" s="209"/>
      <c r="K4" s="210"/>
      <c r="L4" s="40"/>
      <c r="N4" s="3"/>
      <c r="O4" s="3"/>
      <c r="P4" s="3"/>
      <c r="Q4" s="3"/>
    </row>
    <row r="5" spans="1:17" ht="48.75" customHeight="1" thickBot="1">
      <c r="A5" s="4"/>
      <c r="B5" s="4"/>
      <c r="C5" s="8" t="s">
        <v>30</v>
      </c>
      <c r="D5" s="397" t="s">
        <v>312</v>
      </c>
      <c r="E5" s="397"/>
      <c r="F5" s="397"/>
      <c r="G5" s="397"/>
      <c r="H5" s="397"/>
      <c r="I5" s="397"/>
      <c r="J5" s="397"/>
      <c r="K5" s="398"/>
      <c r="L5" s="40"/>
      <c r="N5" s="3"/>
      <c r="O5" s="3"/>
      <c r="P5" s="3"/>
      <c r="Q5" s="3"/>
    </row>
    <row r="6" spans="1:17" ht="16.5" customHeight="1" thickBot="1">
      <c r="A6" s="4"/>
      <c r="B6" s="4"/>
      <c r="C6" s="9"/>
      <c r="D6" s="10"/>
      <c r="E6" s="10"/>
      <c r="F6" s="10"/>
      <c r="G6" s="10"/>
      <c r="H6" s="10"/>
      <c r="I6" s="10"/>
      <c r="J6" s="10"/>
      <c r="K6" s="10"/>
      <c r="L6" s="40"/>
      <c r="N6" s="3"/>
      <c r="O6" s="3"/>
      <c r="P6" s="3"/>
      <c r="Q6" s="3"/>
    </row>
    <row r="7" spans="1:17" ht="60" customHeight="1" thickBot="1">
      <c r="A7" s="4"/>
      <c r="B7" s="4"/>
      <c r="C7" s="224" t="s">
        <v>31</v>
      </c>
      <c r="D7" s="225"/>
      <c r="E7" s="225"/>
      <c r="F7" s="225"/>
      <c r="G7" s="225"/>
      <c r="H7" s="225"/>
      <c r="I7" s="225"/>
      <c r="J7" s="225"/>
      <c r="K7" s="226"/>
      <c r="L7" s="40"/>
      <c r="N7" s="3"/>
      <c r="O7" s="3"/>
      <c r="P7" s="3"/>
      <c r="Q7" s="3"/>
    </row>
    <row r="8" spans="1:17" ht="42.75" customHeight="1" thickBot="1">
      <c r="A8" s="4"/>
      <c r="B8" s="4"/>
      <c r="C8" s="227" t="s">
        <v>313</v>
      </c>
      <c r="D8" s="228"/>
      <c r="E8" s="228"/>
      <c r="F8" s="228"/>
      <c r="G8" s="228"/>
      <c r="H8" s="228"/>
      <c r="I8" s="228"/>
      <c r="J8" s="228"/>
      <c r="K8" s="229"/>
      <c r="L8" s="40"/>
      <c r="N8" s="3"/>
      <c r="O8" s="3"/>
      <c r="P8" s="3"/>
      <c r="Q8" s="3"/>
    </row>
    <row r="9" spans="1:17" ht="36.75" customHeight="1">
      <c r="A9" s="4"/>
      <c r="B9" s="4"/>
      <c r="C9" s="6" t="s">
        <v>33</v>
      </c>
      <c r="D9" s="234">
        <v>45643</v>
      </c>
      <c r="E9" s="234"/>
      <c r="F9" s="234"/>
      <c r="G9" s="234"/>
      <c r="H9" s="234"/>
      <c r="I9" s="234"/>
      <c r="J9" s="235"/>
      <c r="K9" s="236"/>
      <c r="L9" s="40"/>
      <c r="N9" s="3"/>
      <c r="O9" s="3"/>
      <c r="P9" s="3"/>
      <c r="Q9" s="3"/>
    </row>
    <row r="10" spans="1:17" ht="36.75" customHeight="1" thickBot="1">
      <c r="A10" s="4"/>
      <c r="B10" s="4"/>
      <c r="C10" s="7" t="s">
        <v>34</v>
      </c>
      <c r="D10" s="230">
        <v>45642</v>
      </c>
      <c r="E10" s="230"/>
      <c r="F10" s="230"/>
      <c r="G10" s="230"/>
      <c r="H10" s="230"/>
      <c r="I10" s="230"/>
      <c r="J10" s="237" t="str">
        <f>IF(D10&gt;=O10,"CUMPLE","NO CUMPLE")</f>
        <v>CUMPLE</v>
      </c>
      <c r="K10" s="238"/>
      <c r="L10" s="41" t="s">
        <v>35</v>
      </c>
      <c r="M10" s="42">
        <f>IF(J10="CUMPLE",0,1)</f>
        <v>0</v>
      </c>
      <c r="N10" s="13">
        <f ca="1">+TODAY()-30</f>
        <v>45622</v>
      </c>
      <c r="O10" s="12">
        <f>+D9-30</f>
        <v>45613</v>
      </c>
      <c r="P10" s="3" t="s">
        <v>36</v>
      </c>
      <c r="Q10" s="3"/>
    </row>
    <row r="11" spans="1:17" ht="36.75" customHeight="1" thickBot="1">
      <c r="A11" s="4"/>
      <c r="B11" s="4"/>
      <c r="C11" s="7" t="s">
        <v>37</v>
      </c>
      <c r="D11" s="230">
        <v>45397</v>
      </c>
      <c r="E11" s="230"/>
      <c r="F11" s="230"/>
      <c r="G11" s="230"/>
      <c r="H11" s="230"/>
      <c r="I11" s="230"/>
      <c r="J11" s="237" t="str">
        <f>IF(D10&gt;=O11,"CUMPLE","NO CUMPLE")</f>
        <v>CUMPLE</v>
      </c>
      <c r="K11" s="238"/>
      <c r="L11" s="41" t="s">
        <v>35</v>
      </c>
      <c r="M11" s="11">
        <f>IF(J11="CUMPLE",0,1)</f>
        <v>0</v>
      </c>
      <c r="N11" s="3"/>
      <c r="O11" s="13">
        <f>+D11+15</f>
        <v>45412</v>
      </c>
      <c r="P11" s="3" t="s">
        <v>38</v>
      </c>
      <c r="Q11" s="3"/>
    </row>
    <row r="12" spans="1:17" s="14" customFormat="1" ht="41.25" customHeight="1" thickBot="1">
      <c r="A12" s="4"/>
      <c r="B12" s="4"/>
      <c r="C12" s="8" t="s">
        <v>39</v>
      </c>
      <c r="D12" s="230">
        <v>45291</v>
      </c>
      <c r="E12" s="230"/>
      <c r="F12" s="230"/>
      <c r="G12" s="230"/>
      <c r="H12" s="230"/>
      <c r="I12" s="230"/>
      <c r="J12" s="231" t="str">
        <f>IF(D10&gt;=O12,"CUMPLE","NO CUMPLE")</f>
        <v>CUMPLE</v>
      </c>
      <c r="K12" s="232"/>
      <c r="L12" s="41" t="s">
        <v>35</v>
      </c>
      <c r="M12" s="11">
        <f>IF(J12="CUMPLE",0,1)</f>
        <v>0</v>
      </c>
      <c r="N12" s="3"/>
      <c r="O12" s="13">
        <f>+D12+15</f>
        <v>45306</v>
      </c>
      <c r="P12" s="3"/>
      <c r="Q12" s="3"/>
    </row>
    <row r="13" spans="1:17" ht="31.5" customHeight="1" thickBot="1">
      <c r="A13" s="4"/>
      <c r="B13" s="4"/>
      <c r="C13" s="233"/>
      <c r="D13" s="233"/>
      <c r="E13" s="233"/>
      <c r="F13" s="233"/>
      <c r="G13" s="233"/>
      <c r="H13" s="233"/>
      <c r="I13" s="233"/>
      <c r="J13" s="233"/>
      <c r="K13" s="233"/>
      <c r="L13" s="41"/>
      <c r="N13" s="3"/>
      <c r="O13" s="3"/>
      <c r="P13" s="3"/>
      <c r="Q13" s="3"/>
    </row>
    <row r="14" spans="1:17" ht="37.5" customHeight="1" thickBot="1">
      <c r="A14" s="4"/>
      <c r="B14" s="4"/>
      <c r="C14" s="227" t="s">
        <v>314</v>
      </c>
      <c r="D14" s="228"/>
      <c r="E14" s="228"/>
      <c r="F14" s="228"/>
      <c r="G14" s="228"/>
      <c r="H14" s="228"/>
      <c r="I14" s="228"/>
      <c r="J14" s="228"/>
      <c r="K14" s="229"/>
      <c r="L14" s="41"/>
      <c r="N14" s="3"/>
      <c r="O14" s="3"/>
      <c r="P14" s="3"/>
      <c r="Q14" s="3"/>
    </row>
    <row r="15" spans="1:17" ht="36.75" customHeight="1">
      <c r="A15" s="4"/>
      <c r="B15" s="4"/>
      <c r="C15" s="6" t="s">
        <v>33</v>
      </c>
      <c r="D15" s="234">
        <v>45643</v>
      </c>
      <c r="E15" s="234"/>
      <c r="F15" s="234"/>
      <c r="G15" s="234"/>
      <c r="H15" s="234"/>
      <c r="I15" s="234"/>
      <c r="J15" s="235"/>
      <c r="K15" s="236"/>
      <c r="L15" s="41"/>
      <c r="N15" s="3"/>
      <c r="O15" s="3"/>
      <c r="P15" s="3"/>
      <c r="Q15" s="3"/>
    </row>
    <row r="16" spans="1:17" ht="36.75" customHeight="1">
      <c r="A16" s="4"/>
      <c r="B16" s="4"/>
      <c r="C16" s="7" t="s">
        <v>34</v>
      </c>
      <c r="D16" s="239">
        <v>45642</v>
      </c>
      <c r="E16" s="239"/>
      <c r="F16" s="239"/>
      <c r="G16" s="239"/>
      <c r="H16" s="239"/>
      <c r="I16" s="239"/>
      <c r="J16" s="237" t="str">
        <f>IF(D16&gt;=O16,"CUMPLE","NO CUMPLE")</f>
        <v>CUMPLE</v>
      </c>
      <c r="K16" s="238"/>
      <c r="L16" s="41" t="s">
        <v>35</v>
      </c>
      <c r="M16" s="11">
        <f>IF(J16="CUMPLE",0,1)</f>
        <v>0</v>
      </c>
      <c r="N16" s="3"/>
      <c r="O16" s="12">
        <f>+D15-30</f>
        <v>45613</v>
      </c>
      <c r="P16" s="3" t="s">
        <v>36</v>
      </c>
      <c r="Q16" s="3"/>
    </row>
    <row r="17" spans="1:19" ht="36.75" customHeight="1">
      <c r="A17" s="4"/>
      <c r="B17" s="4"/>
      <c r="C17" s="7" t="s">
        <v>37</v>
      </c>
      <c r="D17" s="239">
        <v>45406</v>
      </c>
      <c r="E17" s="239"/>
      <c r="F17" s="239"/>
      <c r="G17" s="239"/>
      <c r="H17" s="239"/>
      <c r="I17" s="239"/>
      <c r="J17" s="237" t="str">
        <f>IF(D16&gt;=O17,"CUMPLE","NO CUMPLE")</f>
        <v>CUMPLE</v>
      </c>
      <c r="K17" s="238"/>
      <c r="L17" s="41" t="s">
        <v>35</v>
      </c>
      <c r="M17" s="11">
        <f>IF(J17="CUMPLE",0,1)</f>
        <v>0</v>
      </c>
      <c r="N17" s="3"/>
      <c r="O17" s="13">
        <f>+D17+15</f>
        <v>45421</v>
      </c>
      <c r="P17" s="3" t="s">
        <v>38</v>
      </c>
      <c r="Q17" s="3"/>
    </row>
    <row r="18" spans="1:19" s="14" customFormat="1" ht="36" customHeight="1" thickBot="1">
      <c r="A18" s="4"/>
      <c r="B18" s="4"/>
      <c r="C18" s="8" t="s">
        <v>39</v>
      </c>
      <c r="D18" s="230">
        <v>45291</v>
      </c>
      <c r="E18" s="230"/>
      <c r="F18" s="230"/>
      <c r="G18" s="230"/>
      <c r="H18" s="230"/>
      <c r="I18" s="230"/>
      <c r="J18" s="231" t="str">
        <f>IF(D16&gt;=O18,"CUMPLE","NO CUMPLE")</f>
        <v>CUMPLE</v>
      </c>
      <c r="K18" s="232"/>
      <c r="L18" s="41" t="s">
        <v>35</v>
      </c>
      <c r="M18" s="11">
        <f>IF(J18="CUMPLE",0,1)</f>
        <v>0</v>
      </c>
      <c r="N18" s="3"/>
      <c r="O18" s="13">
        <f>+D18+15</f>
        <v>45306</v>
      </c>
      <c r="P18" s="3"/>
      <c r="Q18" s="3"/>
    </row>
    <row r="19" spans="1:19" ht="13.5" customHeight="1" thickBot="1">
      <c r="B19" s="4"/>
      <c r="C19" s="15"/>
      <c r="D19" s="16"/>
      <c r="E19" s="16"/>
      <c r="F19" s="17"/>
      <c r="G19" s="16"/>
      <c r="H19" s="16"/>
      <c r="I19" s="16"/>
      <c r="J19" s="18"/>
      <c r="K19" s="19"/>
      <c r="L19" s="40"/>
      <c r="M19" s="11"/>
      <c r="N19" s="3"/>
      <c r="O19" s="3"/>
      <c r="P19" s="3"/>
      <c r="Q19" s="3"/>
    </row>
    <row r="20" spans="1:19" ht="39.75" customHeight="1" thickBot="1">
      <c r="A20" s="4"/>
      <c r="B20" s="4"/>
      <c r="C20" s="224" t="s">
        <v>315</v>
      </c>
      <c r="D20" s="225"/>
      <c r="E20" s="225"/>
      <c r="F20" s="225"/>
      <c r="G20" s="225"/>
      <c r="H20" s="225"/>
      <c r="I20" s="225"/>
      <c r="J20" s="225"/>
      <c r="K20" s="226"/>
      <c r="L20" s="41"/>
      <c r="N20" s="3"/>
      <c r="O20" s="3"/>
      <c r="P20" s="3"/>
      <c r="Q20" s="3"/>
    </row>
    <row r="21" spans="1:19" ht="5.0999999999999996" customHeight="1" thickBot="1">
      <c r="A21" s="4"/>
      <c r="B21" s="4"/>
      <c r="C21" s="9"/>
      <c r="D21" s="10"/>
      <c r="E21" s="10"/>
      <c r="F21" s="10"/>
      <c r="G21" s="10"/>
      <c r="H21" s="10"/>
      <c r="I21" s="10"/>
      <c r="J21" s="10"/>
      <c r="K21" s="10"/>
      <c r="L21" s="41"/>
      <c r="N21" s="3"/>
      <c r="O21" s="3"/>
      <c r="P21" s="3"/>
      <c r="Q21" s="3"/>
    </row>
    <row r="22" spans="1:19" ht="36.75" customHeight="1">
      <c r="A22" s="4"/>
      <c r="B22" s="4"/>
      <c r="C22" s="6" t="s">
        <v>33</v>
      </c>
      <c r="D22" s="234">
        <v>45643</v>
      </c>
      <c r="E22" s="234"/>
      <c r="F22" s="234"/>
      <c r="G22" s="234"/>
      <c r="H22" s="234"/>
      <c r="I22" s="234"/>
      <c r="J22" s="235"/>
      <c r="K22" s="236"/>
      <c r="L22" s="41"/>
      <c r="N22" s="3"/>
      <c r="O22" s="3"/>
      <c r="P22" s="3"/>
      <c r="Q22" s="3"/>
    </row>
    <row r="23" spans="1:19" ht="36.75" customHeight="1">
      <c r="A23" s="4"/>
      <c r="B23" s="4"/>
      <c r="C23" s="7" t="s">
        <v>34</v>
      </c>
      <c r="D23" s="239">
        <v>45629</v>
      </c>
      <c r="E23" s="239"/>
      <c r="F23" s="239"/>
      <c r="G23" s="239"/>
      <c r="H23" s="239"/>
      <c r="I23" s="239"/>
      <c r="J23" s="237" t="str">
        <f>IF(D23&gt;=O23,"CUMPLE","NO CUMPLE")</f>
        <v>CUMPLE</v>
      </c>
      <c r="K23" s="238"/>
      <c r="L23" s="41" t="s">
        <v>35</v>
      </c>
      <c r="M23" s="11">
        <f>IF(J23="CUMPLE",0,1)</f>
        <v>0</v>
      </c>
      <c r="N23" s="3"/>
      <c r="O23" s="12">
        <f>+D22-30</f>
        <v>45613</v>
      </c>
      <c r="P23" s="3" t="s">
        <v>36</v>
      </c>
      <c r="Q23" s="3"/>
    </row>
    <row r="24" spans="1:19" ht="36.75" customHeight="1">
      <c r="A24" s="4"/>
      <c r="B24" s="4"/>
      <c r="C24" s="7" t="s">
        <v>37</v>
      </c>
      <c r="D24" s="239">
        <v>45384</v>
      </c>
      <c r="E24" s="239"/>
      <c r="F24" s="239"/>
      <c r="G24" s="239"/>
      <c r="H24" s="239"/>
      <c r="I24" s="239"/>
      <c r="J24" s="237" t="str">
        <f>IF(D23&gt;=O24,"CUMPLE","NO CUMPLE")</f>
        <v>CUMPLE</v>
      </c>
      <c r="K24" s="238"/>
      <c r="L24" s="41" t="s">
        <v>35</v>
      </c>
      <c r="M24" s="11">
        <f>IF(J24="CUMPLE",0,1)</f>
        <v>0</v>
      </c>
      <c r="N24" s="3"/>
      <c r="O24" s="13">
        <f>+D24+15</f>
        <v>45399</v>
      </c>
      <c r="P24" s="3" t="s">
        <v>38</v>
      </c>
      <c r="Q24" s="3"/>
    </row>
    <row r="25" spans="1:19" s="14" customFormat="1" ht="36" customHeight="1" thickBot="1">
      <c r="A25" s="4"/>
      <c r="B25" s="4"/>
      <c r="C25" s="8" t="s">
        <v>39</v>
      </c>
      <c r="D25" s="230">
        <v>45291</v>
      </c>
      <c r="E25" s="230"/>
      <c r="F25" s="230"/>
      <c r="G25" s="230"/>
      <c r="H25" s="230"/>
      <c r="I25" s="230"/>
      <c r="J25" s="231" t="str">
        <f>IF(D23&gt;=O25,"CUMPLE","NO CUMPLE")</f>
        <v>CUMPLE</v>
      </c>
      <c r="K25" s="232"/>
      <c r="L25" s="41" t="s">
        <v>35</v>
      </c>
      <c r="M25" s="11">
        <f>IF(J25="CUMPLE",0,1)</f>
        <v>0</v>
      </c>
      <c r="N25" s="3"/>
      <c r="O25" s="13">
        <f>+D25+15</f>
        <v>45306</v>
      </c>
      <c r="P25" s="3"/>
      <c r="Q25" s="3"/>
    </row>
    <row r="26" spans="1:19" ht="13.5" customHeight="1" thickBot="1">
      <c r="B26" s="4"/>
      <c r="C26" s="15"/>
      <c r="D26" s="16"/>
      <c r="E26" s="16"/>
      <c r="F26" s="17"/>
      <c r="G26" s="16"/>
      <c r="H26" s="16"/>
      <c r="I26" s="16"/>
      <c r="J26" s="18"/>
      <c r="K26" s="19"/>
      <c r="L26" s="40"/>
      <c r="M26" s="11"/>
      <c r="N26" s="3"/>
      <c r="O26" s="3"/>
      <c r="P26" s="3"/>
      <c r="Q26" s="3"/>
    </row>
    <row r="27" spans="1:19" ht="39" customHeight="1" thickBot="1">
      <c r="A27" s="4"/>
      <c r="B27" s="5"/>
      <c r="C27" s="241" t="s">
        <v>40</v>
      </c>
      <c r="D27" s="242"/>
      <c r="E27" s="242"/>
      <c r="F27" s="243"/>
      <c r="G27" s="242"/>
      <c r="H27" s="242"/>
      <c r="I27" s="242"/>
      <c r="J27" s="242"/>
      <c r="K27" s="244"/>
      <c r="L27" s="5"/>
      <c r="N27" s="3"/>
      <c r="O27" s="3"/>
      <c r="P27" s="3"/>
      <c r="Q27" s="3"/>
    </row>
    <row r="28" spans="1:19" ht="7.5" customHeight="1">
      <c r="A28" s="4"/>
      <c r="B28" s="5"/>
      <c r="C28" s="5"/>
      <c r="D28" s="5"/>
      <c r="E28" s="5"/>
      <c r="F28" s="20"/>
      <c r="G28" s="5"/>
      <c r="H28" s="5"/>
      <c r="I28" s="5"/>
      <c r="J28" s="5"/>
      <c r="K28" s="21"/>
      <c r="L28" s="5"/>
      <c r="N28" s="3"/>
      <c r="O28" s="3"/>
      <c r="P28" s="3"/>
      <c r="Q28" s="3"/>
    </row>
    <row r="29" spans="1:19" s="24" customFormat="1" ht="93.75" customHeight="1">
      <c r="A29" s="245" t="s">
        <v>41</v>
      </c>
      <c r="B29" s="245" t="s">
        <v>42</v>
      </c>
      <c r="C29" s="245" t="s">
        <v>43</v>
      </c>
      <c r="D29" s="245" t="s">
        <v>44</v>
      </c>
      <c r="E29" s="245" t="s">
        <v>45</v>
      </c>
      <c r="F29" s="23" t="str">
        <f>C8</f>
        <v>GCI GRUPO DE CONSTRUCCIONES E INGENIERIA SAS ZOMAC   NIT:901.340.726-5</v>
      </c>
      <c r="G29" s="22" t="str">
        <f>C14</f>
        <v>INDUSTRIAS Y TRANSPORTE SAS ZESE - INTRASP SAS ZESE   NIT: 901.598.212-1</v>
      </c>
      <c r="H29" s="22" t="str">
        <f>C20</f>
        <v>GEOESTRUCTURAL E INGENIERIA S.A.S.  NIT:901.490.779 - 8</v>
      </c>
      <c r="I29" s="245" t="s">
        <v>46</v>
      </c>
      <c r="J29" s="245" t="s">
        <v>47</v>
      </c>
      <c r="K29" s="245" t="s">
        <v>48</v>
      </c>
      <c r="L29" s="246" t="s">
        <v>49</v>
      </c>
      <c r="M29" s="3"/>
      <c r="N29" s="3"/>
      <c r="O29" s="3"/>
      <c r="P29" s="3"/>
      <c r="Q29" s="3"/>
    </row>
    <row r="30" spans="1:19" s="24" customFormat="1" ht="27" customHeight="1">
      <c r="A30" s="245"/>
      <c r="B30" s="245"/>
      <c r="C30" s="245"/>
      <c r="D30" s="245"/>
      <c r="E30" s="245"/>
      <c r="F30" s="25">
        <v>0.6</v>
      </c>
      <c r="G30" s="26">
        <v>0.3</v>
      </c>
      <c r="H30" s="26">
        <v>0.1</v>
      </c>
      <c r="I30" s="245"/>
      <c r="J30" s="245"/>
      <c r="K30" s="245"/>
      <c r="L30" s="246"/>
      <c r="M30" s="3"/>
      <c r="N30" s="3"/>
      <c r="O30" s="3"/>
      <c r="P30" s="3"/>
      <c r="Q30" s="3"/>
    </row>
    <row r="31" spans="1:19" ht="33" customHeight="1">
      <c r="A31" s="247">
        <v>4.3</v>
      </c>
      <c r="B31" s="248" t="s">
        <v>316</v>
      </c>
      <c r="C31" s="249" t="s">
        <v>52</v>
      </c>
      <c r="D31" s="278">
        <f>'[3]CONSOLIDADO FINANCIERO'!L7*25%</f>
        <v>1320732991.5</v>
      </c>
      <c r="E31" s="27" t="s">
        <v>53</v>
      </c>
      <c r="F31" s="74">
        <v>5338952820</v>
      </c>
      <c r="G31" s="74">
        <v>14197701444</v>
      </c>
      <c r="H31" s="74">
        <v>6686113657</v>
      </c>
      <c r="I31" s="251">
        <f>(F31-F32)+(G31-G32)+(H31-H32)</f>
        <v>21764520045</v>
      </c>
      <c r="J31" s="252" t="str">
        <f>IF(I31&gt;=D31,"CUMPLE","NO CUMPLE")</f>
        <v>CUMPLE</v>
      </c>
      <c r="K31" s="253" t="s">
        <v>54</v>
      </c>
      <c r="L31" s="254" t="s">
        <v>295</v>
      </c>
      <c r="M31" s="367">
        <f>IF(J31="CUMPLE",0,1)</f>
        <v>0</v>
      </c>
      <c r="N31" s="29"/>
      <c r="O31" s="3"/>
      <c r="P31" s="3"/>
      <c r="Q31" s="3"/>
      <c r="S31" s="46"/>
    </row>
    <row r="32" spans="1:19" ht="33" customHeight="1">
      <c r="A32" s="247"/>
      <c r="B32" s="248"/>
      <c r="C32" s="249"/>
      <c r="D32" s="278"/>
      <c r="E32" s="27" t="s">
        <v>56</v>
      </c>
      <c r="F32" s="74">
        <v>742661553</v>
      </c>
      <c r="G32" s="74">
        <v>10212424</v>
      </c>
      <c r="H32" s="74">
        <v>3705373899</v>
      </c>
      <c r="I32" s="251"/>
      <c r="J32" s="252"/>
      <c r="K32" s="253"/>
      <c r="L32" s="255"/>
      <c r="M32" s="367"/>
      <c r="N32" s="3"/>
      <c r="O32" s="3"/>
      <c r="P32" s="3"/>
      <c r="Q32" s="3"/>
      <c r="S32" s="46"/>
    </row>
    <row r="33" spans="1:52" ht="33" customHeight="1">
      <c r="A33" s="247">
        <v>4.3</v>
      </c>
      <c r="B33" s="248" t="str">
        <f>B31</f>
        <v>4.1.3.1 CAPACIDAD FINANCIERA</v>
      </c>
      <c r="C33" s="249" t="s">
        <v>10</v>
      </c>
      <c r="D33" s="262">
        <v>1.9</v>
      </c>
      <c r="E33" s="27" t="s">
        <v>53</v>
      </c>
      <c r="F33" s="75">
        <f>+F31</f>
        <v>5338952820</v>
      </c>
      <c r="G33" s="75">
        <f>G31</f>
        <v>14197701444</v>
      </c>
      <c r="H33" s="75">
        <f>H31</f>
        <v>6686113657</v>
      </c>
      <c r="I33" s="263">
        <f>+((F33*F30)+(G33*G30)+(H33*H30))/((F34*F30)+(G34*G30)+(H34*H30))</f>
        <v>9.9259190153327506</v>
      </c>
      <c r="J33" s="264" t="str">
        <f>IF(I33&gt;=D33,"CUMPLE","NO CUMPLE")</f>
        <v>CUMPLE</v>
      </c>
      <c r="K33" s="253" t="s">
        <v>54</v>
      </c>
      <c r="L33" s="255"/>
      <c r="M33" s="367">
        <f>IF(J33="CUMPLE",0,1)</f>
        <v>0</v>
      </c>
      <c r="N33" s="3"/>
      <c r="O33" s="3"/>
      <c r="P33" s="3"/>
      <c r="Q33" s="3"/>
      <c r="S33" s="46"/>
    </row>
    <row r="34" spans="1:52" ht="33" customHeight="1">
      <c r="A34" s="247"/>
      <c r="B34" s="248"/>
      <c r="C34" s="249"/>
      <c r="D34" s="262"/>
      <c r="E34" s="27" t="s">
        <v>56</v>
      </c>
      <c r="F34" s="75">
        <f>+F32</f>
        <v>742661553</v>
      </c>
      <c r="G34" s="75">
        <f>G32</f>
        <v>10212424</v>
      </c>
      <c r="H34" s="75">
        <f>H32</f>
        <v>3705373899</v>
      </c>
      <c r="I34" s="263"/>
      <c r="J34" s="264"/>
      <c r="K34" s="257"/>
      <c r="L34" s="255"/>
      <c r="M34" s="367"/>
      <c r="N34" s="3"/>
      <c r="O34" s="3"/>
      <c r="P34" s="3"/>
      <c r="Q34" s="3"/>
    </row>
    <row r="35" spans="1:52" ht="33" customHeight="1">
      <c r="A35" s="247">
        <v>4.3</v>
      </c>
      <c r="B35" s="248" t="str">
        <f>B33</f>
        <v>4.1.3.1 CAPACIDAD FINANCIERA</v>
      </c>
      <c r="C35" s="249" t="s">
        <v>11</v>
      </c>
      <c r="D35" s="267">
        <v>0.6</v>
      </c>
      <c r="E35" s="30" t="s">
        <v>57</v>
      </c>
      <c r="F35" s="74">
        <v>742661553</v>
      </c>
      <c r="G35" s="74">
        <v>10212424</v>
      </c>
      <c r="H35" s="181">
        <v>8424954090</v>
      </c>
      <c r="I35" s="268">
        <f>((F35*F30)+(G35*G30)+(H35*H30))/((F36*F30)+(G36*G30)+(H36*H30))</f>
        <v>0.15257669211829109</v>
      </c>
      <c r="J35" s="264" t="str">
        <f>IF(I35&lt;=D35,"CUMPLE","NO CUMPLE")</f>
        <v>CUMPLE</v>
      </c>
      <c r="K35" s="253" t="s">
        <v>54</v>
      </c>
      <c r="L35" s="255"/>
      <c r="M35" s="367">
        <f>IF(J35="CUMPLE",0,1)</f>
        <v>0</v>
      </c>
      <c r="N35" s="3"/>
      <c r="O35" s="3"/>
      <c r="P35" s="3"/>
      <c r="Q35" s="3"/>
    </row>
    <row r="36" spans="1:52" ht="33" customHeight="1">
      <c r="A36" s="247"/>
      <c r="B36" s="248"/>
      <c r="C36" s="249"/>
      <c r="D36" s="267"/>
      <c r="E36" s="30" t="s">
        <v>58</v>
      </c>
      <c r="F36" s="74">
        <v>5338952820</v>
      </c>
      <c r="G36" s="74">
        <v>14197701444</v>
      </c>
      <c r="H36" s="181">
        <v>9996593378</v>
      </c>
      <c r="I36" s="268"/>
      <c r="J36" s="264"/>
      <c r="K36" s="257"/>
      <c r="L36" s="255"/>
      <c r="M36" s="367"/>
      <c r="N36" s="3"/>
      <c r="O36" s="3"/>
      <c r="P36" s="3"/>
      <c r="Q36" s="3"/>
    </row>
    <row r="37" spans="1:52" s="32" customFormat="1" ht="27.75" customHeight="1">
      <c r="A37" s="247">
        <v>4.3</v>
      </c>
      <c r="B37" s="248" t="str">
        <f>B35</f>
        <v>4.1.3.1 CAPACIDAD FINANCIERA</v>
      </c>
      <c r="C37" s="249" t="s">
        <v>12</v>
      </c>
      <c r="D37" s="265">
        <v>1.49</v>
      </c>
      <c r="E37" s="30" t="s">
        <v>59</v>
      </c>
      <c r="F37" s="75">
        <v>2955760114</v>
      </c>
      <c r="G37" s="75">
        <v>6380717480</v>
      </c>
      <c r="H37" s="75">
        <v>2299480839</v>
      </c>
      <c r="I37" s="266">
        <f>((F37*F30)+(G37*G30)+(H37*H30))/((F38*F30)+(G38*G30)+(H38*H30))</f>
        <v>267.71228901976133</v>
      </c>
      <c r="J37" s="264" t="str">
        <f>IF(I37&gt;=D37,"CUMPLE","NO CUMPLE")</f>
        <v>CUMPLE</v>
      </c>
      <c r="K37" s="258" t="s">
        <v>54</v>
      </c>
      <c r="L37" s="255"/>
      <c r="M37" s="367">
        <f>IF(J37="CUMPLE",0,1)</f>
        <v>0</v>
      </c>
      <c r="N37" s="31"/>
      <c r="O37" s="31"/>
      <c r="P37" s="31"/>
      <c r="Q37" s="31"/>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row>
    <row r="38" spans="1:52" s="32" customFormat="1" ht="27.75" customHeight="1">
      <c r="A38" s="247"/>
      <c r="B38" s="248"/>
      <c r="C38" s="249"/>
      <c r="D38" s="265"/>
      <c r="E38" s="30" t="s">
        <v>60</v>
      </c>
      <c r="F38" s="74">
        <v>24324308</v>
      </c>
      <c r="G38" s="74">
        <v>0</v>
      </c>
      <c r="H38" s="181">
        <v>391080</v>
      </c>
      <c r="I38" s="266"/>
      <c r="J38" s="264"/>
      <c r="K38" s="258"/>
      <c r="L38" s="255"/>
      <c r="M38" s="367"/>
      <c r="N38" s="31"/>
      <c r="O38" s="31"/>
      <c r="P38" s="31"/>
      <c r="Q38" s="31"/>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row>
    <row r="39" spans="1:52" s="34" customFormat="1" ht="33" customHeight="1">
      <c r="A39" s="247">
        <v>4.3</v>
      </c>
      <c r="B39" s="248" t="s">
        <v>317</v>
      </c>
      <c r="C39" s="269" t="s">
        <v>13</v>
      </c>
      <c r="D39" s="270">
        <v>0.11</v>
      </c>
      <c r="E39" s="30" t="s">
        <v>63</v>
      </c>
      <c r="F39" s="75">
        <f>F37</f>
        <v>2955760114</v>
      </c>
      <c r="G39" s="75">
        <f>G37</f>
        <v>6380717480</v>
      </c>
      <c r="H39" s="75">
        <f>H37</f>
        <v>2299480839</v>
      </c>
      <c r="I39" s="271">
        <f>((F39*F30)+(G39*G30)+(H39*H30))/((F40*F30)+(G40*G30)+(H40*H30))</f>
        <v>0.54630011365087572</v>
      </c>
      <c r="J39" s="264" t="str">
        <f>IF(I39&gt;=D39,"CUMPLE","NO CUMPLE")</f>
        <v>CUMPLE</v>
      </c>
      <c r="K39" s="258" t="s">
        <v>54</v>
      </c>
      <c r="L39" s="255"/>
      <c r="M39" s="367">
        <f>IF(J39="CUMPLE",0,1)</f>
        <v>0</v>
      </c>
      <c r="N39" s="3"/>
      <c r="O39" s="3"/>
      <c r="P39" s="3"/>
      <c r="Q39" s="3"/>
    </row>
    <row r="40" spans="1:52" s="34" customFormat="1" ht="33" customHeight="1">
      <c r="A40" s="247"/>
      <c r="B40" s="248"/>
      <c r="C40" s="269"/>
      <c r="D40" s="270"/>
      <c r="E40" s="30" t="s">
        <v>64</v>
      </c>
      <c r="F40" s="74">
        <v>4596291267</v>
      </c>
      <c r="G40" s="74">
        <v>14187489020</v>
      </c>
      <c r="H40" s="181">
        <v>1571639288</v>
      </c>
      <c r="I40" s="271"/>
      <c r="J40" s="264"/>
      <c r="K40" s="258"/>
      <c r="L40" s="255"/>
      <c r="M40" s="367"/>
      <c r="N40" s="3"/>
      <c r="O40" s="3"/>
      <c r="P40" s="3"/>
      <c r="Q40" s="3"/>
    </row>
    <row r="41" spans="1:52" s="34" customFormat="1" ht="33" customHeight="1">
      <c r="A41" s="247">
        <v>4.3</v>
      </c>
      <c r="B41" s="248" t="str">
        <f>+B39</f>
        <v>4.1.3.2 capacidad Organizacional</v>
      </c>
      <c r="C41" s="269" t="s">
        <v>65</v>
      </c>
      <c r="D41" s="270">
        <v>0.05</v>
      </c>
      <c r="E41" s="30" t="s">
        <v>63</v>
      </c>
      <c r="F41" s="75">
        <f>F39</f>
        <v>2955760114</v>
      </c>
      <c r="G41" s="75">
        <f>G39</f>
        <v>6380717480</v>
      </c>
      <c r="H41" s="75">
        <v>2299480839</v>
      </c>
      <c r="I41" s="271">
        <f>((F41*F30)+(G41*G30)+(H41*H30))/((F42*F30)+(G42*G30)+(H42*H30))</f>
        <v>0.4629474494061786</v>
      </c>
      <c r="J41" s="264" t="str">
        <f>IF(I41&gt;=D41,"CUMPLE","NO CUMPLE")</f>
        <v>CUMPLE</v>
      </c>
      <c r="K41" s="258" t="s">
        <v>54</v>
      </c>
      <c r="L41" s="255"/>
      <c r="M41" s="367">
        <f>IF(J41="CUMPLE",0,1)</f>
        <v>0</v>
      </c>
      <c r="N41" s="3"/>
      <c r="O41" s="3"/>
      <c r="P41" s="3"/>
      <c r="Q41" s="3"/>
    </row>
    <row r="42" spans="1:52" s="34" customFormat="1" ht="33" customHeight="1">
      <c r="A42" s="247"/>
      <c r="B42" s="248"/>
      <c r="C42" s="269"/>
      <c r="D42" s="270"/>
      <c r="E42" s="30" t="s">
        <v>66</v>
      </c>
      <c r="F42" s="75">
        <f>F36</f>
        <v>5338952820</v>
      </c>
      <c r="G42" s="75">
        <f>G36</f>
        <v>14197701444</v>
      </c>
      <c r="H42" s="75">
        <f>H36</f>
        <v>9996593378</v>
      </c>
      <c r="I42" s="271"/>
      <c r="J42" s="264"/>
      <c r="K42" s="258"/>
      <c r="L42" s="255"/>
      <c r="M42" s="367"/>
      <c r="N42" s="3"/>
      <c r="O42" s="3"/>
      <c r="P42" s="3"/>
      <c r="Q42" s="3"/>
    </row>
    <row r="43" spans="1:52" s="37" customFormat="1" ht="27.75" customHeight="1">
      <c r="A43" s="247">
        <v>4.3</v>
      </c>
      <c r="B43" s="248" t="str">
        <f>B31</f>
        <v>4.1.3.1 CAPACIDAD FINANCIERA</v>
      </c>
      <c r="C43" s="249" t="s">
        <v>67</v>
      </c>
      <c r="D43" s="278">
        <f>'[3]CONSOLIDADO FINANCIERO'!L7*30%</f>
        <v>1584879589.8</v>
      </c>
      <c r="E43" s="30" t="s">
        <v>66</v>
      </c>
      <c r="F43" s="75">
        <f>F42</f>
        <v>5338952820</v>
      </c>
      <c r="G43" s="75">
        <f>G42</f>
        <v>14197701444</v>
      </c>
      <c r="H43" s="75">
        <f>H42</f>
        <v>9996593378</v>
      </c>
      <c r="I43" s="279">
        <f>(F43-F44)+(G43-G44)+(H43-H44)</f>
        <v>20355419575</v>
      </c>
      <c r="J43" s="252" t="str">
        <f>IF(I43&gt;=D43,"CUMPLE","NO CUMPLE")</f>
        <v>CUMPLE</v>
      </c>
      <c r="K43" s="259" t="s">
        <v>54</v>
      </c>
      <c r="L43" s="255"/>
      <c r="M43" s="367">
        <f>IF(J43="CUMPLE",0,1)</f>
        <v>0</v>
      </c>
      <c r="N43" s="36"/>
      <c r="O43" s="31"/>
      <c r="P43" s="31"/>
      <c r="Q43" s="31"/>
    </row>
    <row r="44" spans="1:52" s="37" customFormat="1" ht="27.75" customHeight="1" thickBot="1">
      <c r="A44" s="247"/>
      <c r="B44" s="248"/>
      <c r="C44" s="249"/>
      <c r="D44" s="278"/>
      <c r="E44" s="44" t="s">
        <v>68</v>
      </c>
      <c r="F44" s="76">
        <f>F35</f>
        <v>742661553</v>
      </c>
      <c r="G44" s="76">
        <f>G35</f>
        <v>10212424</v>
      </c>
      <c r="H44" s="75">
        <f>H35</f>
        <v>8424954090</v>
      </c>
      <c r="I44" s="280"/>
      <c r="J44" s="281"/>
      <c r="K44" s="260"/>
      <c r="L44" s="256"/>
      <c r="M44" s="367"/>
      <c r="N44" s="31"/>
      <c r="O44" s="31"/>
      <c r="P44" s="31"/>
      <c r="Q44" s="31"/>
    </row>
    <row r="45" spans="1:52" ht="34.5" customHeight="1" thickBot="1">
      <c r="A45" s="4"/>
      <c r="B45" s="4"/>
      <c r="C45" s="4"/>
      <c r="D45" s="4"/>
      <c r="E45" s="272" t="s">
        <v>69</v>
      </c>
      <c r="F45" s="273"/>
      <c r="G45" s="274"/>
      <c r="H45" s="38"/>
      <c r="I45" s="275" t="str">
        <f>IF(M45&gt;0,"NO CUMPLE","CUMPLE")</f>
        <v>CUMPLE</v>
      </c>
      <c r="J45" s="276"/>
      <c r="K45" s="277"/>
      <c r="L45" s="4"/>
      <c r="M45" s="45">
        <f>M43+M41+M39+M37+M35+M33+M31+M10+M11+M12</f>
        <v>0</v>
      </c>
      <c r="N45" s="3"/>
      <c r="O45" s="3"/>
      <c r="P45" s="3"/>
      <c r="Q45" s="3"/>
    </row>
    <row r="46" spans="1:52">
      <c r="A46" s="4"/>
      <c r="B46" s="4"/>
      <c r="C46" s="4"/>
      <c r="D46" s="4"/>
      <c r="E46" s="38"/>
      <c r="F46" s="38"/>
      <c r="G46" s="38"/>
      <c r="H46" s="38"/>
      <c r="I46" s="38"/>
      <c r="J46" s="38"/>
      <c r="K46" s="38"/>
      <c r="L46" s="4"/>
      <c r="N46" s="3"/>
      <c r="O46" s="3"/>
      <c r="P46" s="3"/>
      <c r="Q46" s="3"/>
    </row>
    <row r="47" spans="1:52">
      <c r="A47" s="4"/>
      <c r="B47" s="4"/>
      <c r="C47" s="4"/>
      <c r="D47" s="4"/>
      <c r="E47" s="4"/>
      <c r="F47" s="4"/>
      <c r="G47" s="4"/>
      <c r="H47" s="4"/>
      <c r="I47" s="4"/>
      <c r="J47" s="4"/>
      <c r="K47" s="4"/>
      <c r="L47" s="4"/>
      <c r="N47" s="3"/>
      <c r="O47" s="3"/>
      <c r="P47" s="3"/>
      <c r="Q47" s="3"/>
    </row>
    <row r="48" spans="1:52">
      <c r="A48" s="4"/>
      <c r="B48" s="4"/>
      <c r="C48" s="4"/>
      <c r="D48" s="4"/>
      <c r="E48" s="4"/>
      <c r="F48" s="4"/>
      <c r="G48" s="4"/>
      <c r="H48" s="4"/>
      <c r="I48" s="4"/>
      <c r="J48" s="4"/>
      <c r="K48" s="4"/>
      <c r="L48" s="4"/>
      <c r="N48" s="3"/>
      <c r="O48" s="3"/>
      <c r="P48" s="3"/>
      <c r="Q48" s="3"/>
    </row>
  </sheetData>
  <sheetProtection algorithmName="SHA-512" hashValue="+qAd/W9QL895m/9bMWW3jISAXiOxFTTE0O5w6wciZBQAeyBmmIPHqbiiaDHKWHklbXtwBIXPU5zlKUj77U2RFA==" saltValue="XrlHwPSG3ClORN15reG0ew==" spinCount="100000" sheet="1" objects="1" scenarios="1"/>
  <mergeCells count="102">
    <mergeCell ref="C1:K1"/>
    <mergeCell ref="D3:K3"/>
    <mergeCell ref="D4:K4"/>
    <mergeCell ref="D5:K5"/>
    <mergeCell ref="C7:K7"/>
    <mergeCell ref="C8:K8"/>
    <mergeCell ref="D12:I12"/>
    <mergeCell ref="J12:K12"/>
    <mergeCell ref="C13:K13"/>
    <mergeCell ref="C14:K14"/>
    <mergeCell ref="D15:I15"/>
    <mergeCell ref="J15:K15"/>
    <mergeCell ref="D9:I9"/>
    <mergeCell ref="J9:K9"/>
    <mergeCell ref="D10:I10"/>
    <mergeCell ref="J10:K10"/>
    <mergeCell ref="D11:I11"/>
    <mergeCell ref="J11:K11"/>
    <mergeCell ref="C20:K20"/>
    <mergeCell ref="D22:I22"/>
    <mergeCell ref="J22:K22"/>
    <mergeCell ref="D23:I23"/>
    <mergeCell ref="J23:K23"/>
    <mergeCell ref="D24:I24"/>
    <mergeCell ref="J24:K24"/>
    <mergeCell ref="D16:I16"/>
    <mergeCell ref="J16:K16"/>
    <mergeCell ref="D17:I17"/>
    <mergeCell ref="J17:K17"/>
    <mergeCell ref="D18:I18"/>
    <mergeCell ref="J18:K18"/>
    <mergeCell ref="D25:I25"/>
    <mergeCell ref="J25:K25"/>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4"/>
    <mergeCell ref="K35:K36"/>
    <mergeCell ref="K39:K40"/>
    <mergeCell ref="K43:K44"/>
    <mergeCell ref="M31:M32"/>
    <mergeCell ref="A33:A34"/>
    <mergeCell ref="B33:B34"/>
    <mergeCell ref="C33:C34"/>
    <mergeCell ref="D33:D34"/>
    <mergeCell ref="I33:I34"/>
    <mergeCell ref="J33:J34"/>
    <mergeCell ref="K33:K34"/>
    <mergeCell ref="M33:M34"/>
    <mergeCell ref="M35:M36"/>
    <mergeCell ref="A37:A38"/>
    <mergeCell ref="B37:B38"/>
    <mergeCell ref="C37:C38"/>
    <mergeCell ref="D37:D38"/>
    <mergeCell ref="I37:I38"/>
    <mergeCell ref="J37:J38"/>
    <mergeCell ref="K37:K38"/>
    <mergeCell ref="M37:M38"/>
    <mergeCell ref="A35:A36"/>
    <mergeCell ref="B35:B36"/>
    <mergeCell ref="C35:C36"/>
    <mergeCell ref="D35:D36"/>
    <mergeCell ref="I35:I36"/>
    <mergeCell ref="J35:J36"/>
    <mergeCell ref="M39:M40"/>
    <mergeCell ref="A41:A42"/>
    <mergeCell ref="B41:B42"/>
    <mergeCell ref="C41:C42"/>
    <mergeCell ref="D41:D42"/>
    <mergeCell ref="I41:I42"/>
    <mergeCell ref="J41:J42"/>
    <mergeCell ref="K41:K42"/>
    <mergeCell ref="M41:M42"/>
    <mergeCell ref="A39:A40"/>
    <mergeCell ref="B39:B40"/>
    <mergeCell ref="C39:C40"/>
    <mergeCell ref="D39:D40"/>
    <mergeCell ref="I39:I40"/>
    <mergeCell ref="J39:J40"/>
    <mergeCell ref="M43:M44"/>
    <mergeCell ref="E45:G45"/>
    <mergeCell ref="I45:K45"/>
    <mergeCell ref="A43:A44"/>
    <mergeCell ref="B43:B44"/>
    <mergeCell ref="C43:C44"/>
    <mergeCell ref="D43:D44"/>
    <mergeCell ref="I43:I44"/>
    <mergeCell ref="J43:J44"/>
  </mergeCells>
  <conditionalFormatting sqref="J10:J12">
    <cfRule type="cellIs" dxfId="139" priority="11" operator="equal">
      <formula>"CUMPLE"</formula>
    </cfRule>
  </conditionalFormatting>
  <conditionalFormatting sqref="J16:J18">
    <cfRule type="cellIs" dxfId="138" priority="2" operator="equal">
      <formula>"CUMPLE"</formula>
    </cfRule>
  </conditionalFormatting>
  <conditionalFormatting sqref="J23:J25">
    <cfRule type="cellIs" dxfId="137" priority="1" operator="equal">
      <formula>"CUMPLE"</formula>
    </cfRule>
  </conditionalFormatting>
  <conditionalFormatting sqref="J31:J44">
    <cfRule type="cellIs" dxfId="136" priority="6" operator="equal">
      <formula>"CUMPLE"</formula>
    </cfRule>
    <cfRule type="cellIs" dxfId="135" priority="7" operator="equal">
      <formula>"NO CUMPLE"</formula>
    </cfRule>
  </conditionalFormatting>
  <conditionalFormatting sqref="J19:K19">
    <cfRule type="cellIs" dxfId="134" priority="10" operator="equal">
      <formula>"CUMPLE"</formula>
    </cfRule>
  </conditionalFormatting>
  <conditionalFormatting sqref="J26:K26">
    <cfRule type="cellIs" dxfId="133" priority="3" operator="equal">
      <formula>"CUMPLE"</formula>
    </cfRule>
  </conditionalFormatting>
  <conditionalFormatting sqref="K31">
    <cfRule type="cellIs" dxfId="132" priority="20" operator="equal">
      <formula>"CUMPLE"</formula>
    </cfRule>
    <cfRule type="cellIs" dxfId="131" priority="21" operator="equal">
      <formula>"NO CUMPLE"</formula>
    </cfRule>
  </conditionalFormatting>
  <conditionalFormatting sqref="K33 K35 K39 K41">
    <cfRule type="cellIs" dxfId="130" priority="16" operator="equal">
      <formula>"CUMPLE"</formula>
    </cfRule>
    <cfRule type="cellIs" dxfId="129" priority="17" operator="equal">
      <formula>"NO CUMPLE"</formula>
    </cfRule>
  </conditionalFormatting>
  <conditionalFormatting sqref="K37">
    <cfRule type="cellIs" dxfId="128" priority="4" operator="equal">
      <formula>"CUMPLE"</formula>
    </cfRule>
    <cfRule type="cellIs" dxfId="127" priority="5" operator="equal">
      <formula>"NO CUMPLE"</formula>
    </cfRule>
  </conditionalFormatting>
  <conditionalFormatting sqref="K43">
    <cfRule type="cellIs" dxfId="126" priority="8" operator="equal">
      <formula>"CUMPLE"</formula>
    </cfRule>
    <cfRule type="cellIs" dxfId="125" priority="9" operator="equal">
      <formula>"NO CUMPLE"</formula>
    </cfRule>
  </conditionalFormatting>
  <conditionalFormatting sqref="M10:M12">
    <cfRule type="cellIs" dxfId="124" priority="14" operator="equal">
      <formula>"CUMPLE"</formula>
    </cfRule>
    <cfRule type="cellIs" dxfId="123" priority="15" operator="equal">
      <formula>"NO CUMPLE"</formula>
    </cfRule>
  </conditionalFormatting>
  <conditionalFormatting sqref="M16:M19 M23:M26">
    <cfRule type="cellIs" dxfId="122" priority="12" operator="equal">
      <formula>"CUMPLE"</formula>
    </cfRule>
    <cfRule type="cellIs" dxfId="121" priority="13" operator="equal">
      <formula>"NO CUMPLE"</formula>
    </cfRule>
  </conditionalFormatting>
  <conditionalFormatting sqref="M31 M33 M35 M37 M39 M41 M43">
    <cfRule type="cellIs" dxfId="120" priority="18" operator="equal">
      <formula>"CUMPLE"</formula>
    </cfRule>
    <cfRule type="cellIs" dxfId="119" priority="19" operator="equal">
      <formula>"NO CUMPLE"</formula>
    </cfRule>
  </conditionalFormatting>
  <pageMargins left="0.70866141732283472" right="0.70866141732283472" top="0.74803149606299213" bottom="0.74803149606299213" header="0.31496062992125984" footer="0.31496062992125984"/>
  <pageSetup scale="33" fitToHeight="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1C1E8-D17B-458F-ACC6-A03CEB690E40}">
  <sheetPr>
    <tabColor rgb="FF92D050"/>
  </sheetPr>
  <dimension ref="A1:BN148"/>
  <sheetViews>
    <sheetView showGridLines="0" topLeftCell="A12" zoomScale="70" zoomScaleNormal="70" zoomScaleSheetLayoutView="50" workbookViewId="0">
      <selection activeCell="K15" sqref="K15"/>
    </sheetView>
  </sheetViews>
  <sheetFormatPr baseColWidth="10" defaultColWidth="11.42578125" defaultRowHeight="15"/>
  <cols>
    <col min="2" max="2" width="10.5703125" customWidth="1"/>
    <col min="3" max="3" width="8" customWidth="1"/>
    <col min="4" max="4" width="23.85546875" bestFit="1" customWidth="1"/>
    <col min="5" max="5" width="64.140625" customWidth="1"/>
    <col min="6" max="6" width="19.140625" bestFit="1" customWidth="1"/>
    <col min="7" max="7" width="13.7109375" bestFit="1" customWidth="1"/>
    <col min="8" max="8" width="27" customWidth="1"/>
    <col min="9" max="9" width="32.140625" customWidth="1"/>
    <col min="10" max="10" width="35.42578125" customWidth="1"/>
    <col min="11" max="11" width="22" customWidth="1"/>
    <col min="12" max="12" width="23.5703125" customWidth="1"/>
    <col min="13" max="13" width="7.42578125" customWidth="1"/>
    <col min="14" max="14" width="20.7109375" customWidth="1"/>
    <col min="15" max="15" width="10.5703125" customWidth="1"/>
    <col min="16" max="16" width="20.7109375" customWidth="1"/>
    <col min="17" max="17" width="19.28515625" customWidth="1"/>
    <col min="18" max="18" width="20.28515625" customWidth="1"/>
    <col min="19" max="19" width="20.85546875" customWidth="1"/>
    <col min="20" max="20" width="22" customWidth="1"/>
    <col min="21" max="21" width="20.140625" bestFit="1" customWidth="1"/>
    <col min="22" max="22" width="18.5703125" bestFit="1" customWidth="1"/>
  </cols>
  <sheetData>
    <row r="1" spans="1:66" ht="15" customHeight="1">
      <c r="A1" s="330"/>
      <c r="B1" s="331"/>
      <c r="C1" s="331"/>
      <c r="D1" s="332"/>
      <c r="E1" s="339" t="s">
        <v>70</v>
      </c>
      <c r="F1" s="340"/>
      <c r="G1" s="340"/>
      <c r="H1" s="340"/>
      <c r="I1" s="340"/>
      <c r="J1" s="341"/>
    </row>
    <row r="2" spans="1:66">
      <c r="A2" s="333"/>
      <c r="B2" s="334"/>
      <c r="C2" s="334"/>
      <c r="D2" s="335"/>
      <c r="E2" s="342"/>
      <c r="F2" s="343"/>
      <c r="G2" s="343"/>
      <c r="H2" s="343"/>
      <c r="I2" s="343"/>
      <c r="J2" s="344"/>
    </row>
    <row r="3" spans="1:66">
      <c r="A3" s="333"/>
      <c r="B3" s="334"/>
      <c r="C3" s="334"/>
      <c r="D3" s="335"/>
      <c r="E3" s="342"/>
      <c r="F3" s="343"/>
      <c r="G3" s="343"/>
      <c r="H3" s="343"/>
      <c r="I3" s="343"/>
      <c r="J3" s="344"/>
    </row>
    <row r="4" spans="1:66" ht="38.25" customHeight="1" thickBot="1">
      <c r="A4" s="336"/>
      <c r="B4" s="337"/>
      <c r="C4" s="337"/>
      <c r="D4" s="338"/>
      <c r="E4" s="345"/>
      <c r="F4" s="346"/>
      <c r="G4" s="346"/>
      <c r="H4" s="346"/>
      <c r="I4" s="346"/>
      <c r="J4" s="347"/>
    </row>
    <row r="5" spans="1:66" ht="42" customHeight="1" thickBot="1">
      <c r="A5" s="348" t="s">
        <v>71</v>
      </c>
      <c r="B5" s="349"/>
      <c r="C5" s="349"/>
      <c r="D5" s="349"/>
      <c r="E5" s="349"/>
      <c r="F5" s="349"/>
      <c r="G5" s="349"/>
      <c r="H5" s="349"/>
      <c r="I5" s="349"/>
      <c r="J5" s="349"/>
    </row>
    <row r="6" spans="1:66" ht="34.5" customHeight="1" thickBot="1">
      <c r="A6" s="317" t="s">
        <v>72</v>
      </c>
      <c r="B6" s="318"/>
      <c r="C6" s="318"/>
      <c r="D6" s="319"/>
      <c r="E6" s="329" t="s">
        <v>318</v>
      </c>
      <c r="F6" s="321"/>
      <c r="G6" s="321"/>
      <c r="H6" s="321"/>
      <c r="I6" s="321"/>
      <c r="J6" s="322"/>
    </row>
    <row r="7" spans="1:66" ht="53.25" customHeight="1" thickBot="1">
      <c r="A7" s="317" t="s">
        <v>73</v>
      </c>
      <c r="B7" s="318"/>
      <c r="C7" s="318"/>
      <c r="D7" s="319"/>
      <c r="E7" s="350" t="s">
        <v>74</v>
      </c>
      <c r="F7" s="351"/>
      <c r="G7" s="351"/>
      <c r="H7" s="351"/>
      <c r="I7" s="351"/>
      <c r="J7" s="352"/>
    </row>
    <row r="8" spans="1:66" ht="27" customHeight="1" thickBot="1">
      <c r="A8" s="317" t="s">
        <v>75</v>
      </c>
      <c r="B8" s="318"/>
      <c r="C8" s="318"/>
      <c r="D8" s="319"/>
      <c r="E8" s="329"/>
      <c r="F8" s="321"/>
      <c r="G8" s="321"/>
      <c r="H8" s="321"/>
      <c r="I8" s="321"/>
      <c r="J8" s="322"/>
    </row>
    <row r="9" spans="1:66" ht="27" customHeight="1" thickBot="1">
      <c r="A9" s="317" t="s">
        <v>77</v>
      </c>
      <c r="B9" s="318"/>
      <c r="C9" s="318"/>
      <c r="D9" s="319"/>
      <c r="E9" s="329"/>
      <c r="F9" s="321"/>
      <c r="G9" s="321"/>
      <c r="H9" s="321"/>
      <c r="I9" s="321"/>
      <c r="J9" s="322"/>
    </row>
    <row r="10" spans="1:66" ht="27" customHeight="1" thickBot="1">
      <c r="A10" s="317" t="s">
        <v>79</v>
      </c>
      <c r="B10" s="318"/>
      <c r="C10" s="318"/>
      <c r="D10" s="319"/>
      <c r="E10" s="329"/>
      <c r="F10" s="321"/>
      <c r="G10" s="321"/>
      <c r="H10" s="321"/>
      <c r="I10" s="321"/>
      <c r="J10" s="322"/>
    </row>
    <row r="11" spans="1:66" ht="27" customHeight="1" thickBot="1">
      <c r="A11" s="317" t="s">
        <v>81</v>
      </c>
      <c r="B11" s="318"/>
      <c r="C11" s="318"/>
      <c r="D11" s="319"/>
      <c r="E11" s="320"/>
      <c r="F11" s="321"/>
      <c r="G11" s="321"/>
      <c r="H11" s="321"/>
      <c r="I11" s="321"/>
      <c r="J11" s="322"/>
    </row>
    <row r="12" spans="1:66" ht="225.75" customHeight="1" thickBot="1">
      <c r="A12" s="323" t="s">
        <v>82</v>
      </c>
      <c r="B12" s="324"/>
      <c r="C12" s="324"/>
      <c r="D12" s="324"/>
      <c r="E12" s="324"/>
      <c r="F12" s="324"/>
      <c r="G12" s="324"/>
      <c r="H12" s="324"/>
      <c r="I12" s="324"/>
      <c r="J12" s="325"/>
    </row>
    <row r="13" spans="1:66" ht="12.75" customHeight="1"/>
    <row r="14" spans="1:66" ht="48" customHeight="1">
      <c r="A14" s="326" t="s">
        <v>83</v>
      </c>
      <c r="B14" s="326"/>
      <c r="C14" s="326" t="s">
        <v>84</v>
      </c>
      <c r="D14" s="326"/>
      <c r="E14" s="326"/>
      <c r="F14" s="327" t="s">
        <v>85</v>
      </c>
      <c r="G14" s="327" t="s">
        <v>86</v>
      </c>
      <c r="H14" s="327" t="s">
        <v>87</v>
      </c>
      <c r="I14" s="328" t="s">
        <v>88</v>
      </c>
      <c r="J14" s="328"/>
      <c r="BN14" s="84"/>
    </row>
    <row r="15" spans="1:66" ht="48.75" customHeight="1">
      <c r="A15" s="326"/>
      <c r="B15" s="326"/>
      <c r="C15" s="326"/>
      <c r="D15" s="326"/>
      <c r="E15" s="326"/>
      <c r="F15" s="327"/>
      <c r="G15" s="327"/>
      <c r="H15" s="327"/>
      <c r="I15" s="85" t="s">
        <v>89</v>
      </c>
      <c r="J15" s="85" t="s">
        <v>90</v>
      </c>
      <c r="K15" s="132" t="s">
        <v>91</v>
      </c>
      <c r="L15" s="173" t="s">
        <v>296</v>
      </c>
      <c r="BN15" s="84"/>
    </row>
    <row r="16" spans="1:66" ht="60.75" customHeight="1">
      <c r="A16" s="310" t="s">
        <v>93</v>
      </c>
      <c r="B16" s="310"/>
      <c r="C16" s="303" t="s">
        <v>94</v>
      </c>
      <c r="D16" s="303"/>
      <c r="E16" s="303"/>
      <c r="F16" s="86" t="s">
        <v>95</v>
      </c>
      <c r="G16" s="87">
        <v>2000</v>
      </c>
      <c r="H16" s="88">
        <v>16341</v>
      </c>
      <c r="I16" s="88">
        <v>15813.19</v>
      </c>
      <c r="J16" s="88">
        <v>31626371</v>
      </c>
      <c r="K16" s="133">
        <f>I16-H16</f>
        <v>-527.80999999999949</v>
      </c>
      <c r="L16" s="134">
        <f>I16/H16</f>
        <v>0.96770026314179058</v>
      </c>
      <c r="M16" s="182"/>
      <c r="N16" s="182" t="str">
        <f>+IF(I16&lt;H16,"OK",IF(I16=0," "))</f>
        <v>OK</v>
      </c>
      <c r="BN16" s="89"/>
    </row>
    <row r="17" spans="1:66" ht="60.75" customHeight="1">
      <c r="A17" s="310" t="s">
        <v>96</v>
      </c>
      <c r="B17" s="310"/>
      <c r="C17" s="303" t="s">
        <v>97</v>
      </c>
      <c r="D17" s="303"/>
      <c r="E17" s="303"/>
      <c r="F17" s="86" t="s">
        <v>98</v>
      </c>
      <c r="G17" s="87">
        <v>300</v>
      </c>
      <c r="H17" s="88">
        <v>43227</v>
      </c>
      <c r="I17" s="88">
        <v>41830.769999999997</v>
      </c>
      <c r="J17" s="88">
        <v>12549230</v>
      </c>
      <c r="K17" s="133">
        <f t="shared" ref="K17:K80" si="0">I17-H17</f>
        <v>-1396.2300000000032</v>
      </c>
      <c r="L17" s="134">
        <f t="shared" ref="L17:L80" si="1">I17/H17</f>
        <v>0.9677000485807481</v>
      </c>
      <c r="M17" s="182"/>
      <c r="N17" s="182" t="str">
        <f t="shared" ref="N17:N80" si="2">+IF(I17&lt;H17,"OK",IF(I17=0," "))</f>
        <v>OK</v>
      </c>
      <c r="BN17" s="90"/>
    </row>
    <row r="18" spans="1:66" ht="60.75" customHeight="1">
      <c r="A18" s="310" t="s">
        <v>99</v>
      </c>
      <c r="B18" s="310"/>
      <c r="C18" s="303" t="s">
        <v>100</v>
      </c>
      <c r="D18" s="303"/>
      <c r="E18" s="303"/>
      <c r="F18" s="86" t="s">
        <v>98</v>
      </c>
      <c r="G18" s="87">
        <v>2332.42</v>
      </c>
      <c r="H18" s="88">
        <v>30375</v>
      </c>
      <c r="I18" s="88">
        <v>29393.89</v>
      </c>
      <c r="J18" s="88">
        <v>68558891</v>
      </c>
      <c r="K18" s="133">
        <f t="shared" si="0"/>
        <v>-981.11000000000058</v>
      </c>
      <c r="L18" s="134">
        <f t="shared" si="1"/>
        <v>0.96770008230452675</v>
      </c>
      <c r="M18" s="182"/>
      <c r="N18" s="182" t="str">
        <f t="shared" si="2"/>
        <v>OK</v>
      </c>
      <c r="BN18" s="89"/>
    </row>
    <row r="19" spans="1:66" ht="60.75" customHeight="1">
      <c r="A19" s="310" t="s">
        <v>101</v>
      </c>
      <c r="B19" s="310"/>
      <c r="C19" s="303" t="s">
        <v>102</v>
      </c>
      <c r="D19" s="303"/>
      <c r="E19" s="303"/>
      <c r="F19" s="86" t="s">
        <v>98</v>
      </c>
      <c r="G19" s="87">
        <v>2332.42</v>
      </c>
      <c r="H19" s="88">
        <v>64685</v>
      </c>
      <c r="I19" s="88">
        <v>62595.67</v>
      </c>
      <c r="J19" s="88">
        <v>145999403</v>
      </c>
      <c r="K19" s="133">
        <f t="shared" si="0"/>
        <v>-2089.3300000000017</v>
      </c>
      <c r="L19" s="134">
        <f t="shared" si="1"/>
        <v>0.96769993043209401</v>
      </c>
      <c r="M19" s="182"/>
      <c r="N19" s="182" t="str">
        <f t="shared" si="2"/>
        <v>OK</v>
      </c>
      <c r="BN19" s="90"/>
    </row>
    <row r="20" spans="1:66" ht="60.75" customHeight="1">
      <c r="A20" s="310" t="s">
        <v>103</v>
      </c>
      <c r="B20" s="310"/>
      <c r="C20" s="303" t="s">
        <v>104</v>
      </c>
      <c r="D20" s="303"/>
      <c r="E20" s="303"/>
      <c r="F20" s="86" t="s">
        <v>98</v>
      </c>
      <c r="G20" s="87">
        <v>2332.42</v>
      </c>
      <c r="H20" s="88">
        <v>129968</v>
      </c>
      <c r="I20" s="88">
        <v>125770.03</v>
      </c>
      <c r="J20" s="88">
        <v>293348542</v>
      </c>
      <c r="K20" s="133">
        <f t="shared" si="0"/>
        <v>-4197.9700000000012</v>
      </c>
      <c r="L20" s="134">
        <f t="shared" si="1"/>
        <v>0.96769997230087401</v>
      </c>
      <c r="M20" s="182"/>
      <c r="N20" s="182" t="str">
        <f t="shared" si="2"/>
        <v>OK</v>
      </c>
      <c r="BN20" s="90"/>
    </row>
    <row r="21" spans="1:66" ht="60.75" customHeight="1">
      <c r="A21" s="310" t="s">
        <v>105</v>
      </c>
      <c r="B21" s="310"/>
      <c r="C21" s="303" t="s">
        <v>106</v>
      </c>
      <c r="D21" s="303"/>
      <c r="E21" s="303"/>
      <c r="F21" s="86" t="s">
        <v>98</v>
      </c>
      <c r="G21" s="87">
        <v>150</v>
      </c>
      <c r="H21" s="88">
        <v>53922</v>
      </c>
      <c r="I21" s="88">
        <v>52180.32</v>
      </c>
      <c r="J21" s="88">
        <v>7827048</v>
      </c>
      <c r="K21" s="133">
        <f t="shared" si="0"/>
        <v>-1741.6800000000003</v>
      </c>
      <c r="L21" s="134">
        <f t="shared" si="1"/>
        <v>0.96770001112718373</v>
      </c>
      <c r="M21" s="182"/>
      <c r="N21" s="182" t="str">
        <f t="shared" si="2"/>
        <v>OK</v>
      </c>
      <c r="BB21" s="91"/>
      <c r="BC21" s="92"/>
      <c r="BD21" s="91"/>
      <c r="BE21" s="91"/>
      <c r="BF21" s="93"/>
      <c r="BH21" s="91"/>
      <c r="BI21" s="92"/>
      <c r="BJ21" s="91"/>
      <c r="BK21" s="91"/>
      <c r="BL21" s="93"/>
      <c r="BN21" s="90"/>
    </row>
    <row r="22" spans="1:66" ht="60.75" customHeight="1">
      <c r="A22" s="310" t="s">
        <v>107</v>
      </c>
      <c r="B22" s="310"/>
      <c r="C22" s="303" t="s">
        <v>108</v>
      </c>
      <c r="D22" s="303"/>
      <c r="E22" s="303"/>
      <c r="F22" s="86" t="s">
        <v>98</v>
      </c>
      <c r="G22" s="87">
        <v>150</v>
      </c>
      <c r="H22" s="88">
        <v>305942</v>
      </c>
      <c r="I22" s="88">
        <v>296060.07</v>
      </c>
      <c r="J22" s="88">
        <v>44409011</v>
      </c>
      <c r="K22" s="133">
        <f t="shared" si="0"/>
        <v>-9881.929999999993</v>
      </c>
      <c r="L22" s="134">
        <f t="shared" si="1"/>
        <v>0.96769998888678244</v>
      </c>
      <c r="M22" s="182"/>
      <c r="N22" s="182" t="str">
        <f t="shared" si="2"/>
        <v>OK</v>
      </c>
      <c r="BB22" s="91"/>
      <c r="BC22" s="92"/>
      <c r="BD22" s="91"/>
      <c r="BE22" s="91"/>
      <c r="BF22" s="93"/>
      <c r="BH22" s="91"/>
      <c r="BI22" s="92"/>
      <c r="BJ22" s="91"/>
      <c r="BK22" s="91"/>
      <c r="BL22" s="93"/>
      <c r="BN22" s="90"/>
    </row>
    <row r="23" spans="1:66" ht="92.25" customHeight="1">
      <c r="A23" s="310" t="s">
        <v>109</v>
      </c>
      <c r="B23" s="310"/>
      <c r="C23" s="303" t="s">
        <v>110</v>
      </c>
      <c r="D23" s="303"/>
      <c r="E23" s="303"/>
      <c r="F23" s="86" t="s">
        <v>95</v>
      </c>
      <c r="G23" s="87">
        <v>231</v>
      </c>
      <c r="H23" s="88">
        <v>125271</v>
      </c>
      <c r="I23" s="88">
        <v>121224.75</v>
      </c>
      <c r="J23" s="88">
        <v>28002916</v>
      </c>
      <c r="K23" s="133">
        <f t="shared" si="0"/>
        <v>-4046.25</v>
      </c>
      <c r="L23" s="134">
        <f t="shared" si="1"/>
        <v>0.96770002634288865</v>
      </c>
      <c r="M23" s="182"/>
      <c r="N23" s="182" t="str">
        <f t="shared" si="2"/>
        <v>OK</v>
      </c>
      <c r="BB23" s="91"/>
      <c r="BC23" s="92"/>
      <c r="BD23" s="91"/>
      <c r="BE23" s="91"/>
      <c r="BF23" s="93"/>
      <c r="BH23" s="91"/>
      <c r="BI23" s="92"/>
      <c r="BJ23" s="91"/>
      <c r="BK23" s="91"/>
      <c r="BL23" s="93"/>
      <c r="BN23" s="90"/>
    </row>
    <row r="24" spans="1:66" ht="60.75" customHeight="1">
      <c r="A24" s="310" t="s">
        <v>111</v>
      </c>
      <c r="B24" s="310"/>
      <c r="C24" s="303" t="s">
        <v>112</v>
      </c>
      <c r="D24" s="303"/>
      <c r="E24" s="303"/>
      <c r="F24" s="86" t="s">
        <v>113</v>
      </c>
      <c r="G24" s="87">
        <v>50</v>
      </c>
      <c r="H24" s="88">
        <v>88909</v>
      </c>
      <c r="I24" s="88">
        <v>86037.24</v>
      </c>
      <c r="J24" s="88">
        <v>4301862</v>
      </c>
      <c r="K24" s="133">
        <f t="shared" si="0"/>
        <v>-2871.7599999999948</v>
      </c>
      <c r="L24" s="134">
        <f t="shared" si="1"/>
        <v>0.96770000787321875</v>
      </c>
      <c r="M24" s="182"/>
      <c r="N24" s="182" t="str">
        <f t="shared" si="2"/>
        <v>OK</v>
      </c>
      <c r="BB24" s="91"/>
      <c r="BC24" s="92"/>
      <c r="BD24" s="91"/>
      <c r="BE24" s="91"/>
      <c r="BF24" s="93"/>
      <c r="BH24" s="91"/>
      <c r="BI24" s="92"/>
      <c r="BJ24" s="91"/>
      <c r="BK24" s="91"/>
      <c r="BL24" s="93"/>
      <c r="BN24" s="90"/>
    </row>
    <row r="25" spans="1:66" ht="60.75" customHeight="1">
      <c r="A25" s="310" t="s">
        <v>114</v>
      </c>
      <c r="B25" s="310"/>
      <c r="C25" s="303" t="s">
        <v>115</v>
      </c>
      <c r="D25" s="303"/>
      <c r="E25" s="303"/>
      <c r="F25" s="86" t="s">
        <v>113</v>
      </c>
      <c r="G25" s="87">
        <v>50</v>
      </c>
      <c r="H25" s="88">
        <v>97000</v>
      </c>
      <c r="I25" s="88">
        <v>93866.9</v>
      </c>
      <c r="J25" s="88">
        <v>4693345</v>
      </c>
      <c r="K25" s="133">
        <f t="shared" si="0"/>
        <v>-3133.1000000000058</v>
      </c>
      <c r="L25" s="134">
        <f t="shared" si="1"/>
        <v>0.96769999999999989</v>
      </c>
      <c r="M25" s="182"/>
      <c r="N25" s="182" t="str">
        <f t="shared" si="2"/>
        <v>OK</v>
      </c>
      <c r="BB25" s="91"/>
      <c r="BC25" s="92"/>
      <c r="BD25" s="91"/>
      <c r="BE25" s="91"/>
      <c r="BF25" s="93"/>
      <c r="BH25" s="91"/>
      <c r="BI25" s="92"/>
      <c r="BJ25" s="91"/>
      <c r="BK25" s="91"/>
      <c r="BL25" s="93"/>
      <c r="BN25" s="90"/>
    </row>
    <row r="26" spans="1:66" ht="60.75" customHeight="1">
      <c r="A26" s="302" t="s">
        <v>116</v>
      </c>
      <c r="B26" s="302"/>
      <c r="C26" s="303" t="s">
        <v>117</v>
      </c>
      <c r="D26" s="303"/>
      <c r="E26" s="303"/>
      <c r="F26" s="94" t="s">
        <v>98</v>
      </c>
      <c r="G26" s="95">
        <v>80</v>
      </c>
      <c r="H26" s="88">
        <v>38338</v>
      </c>
      <c r="I26" s="88">
        <v>37099.68</v>
      </c>
      <c r="J26" s="88">
        <v>2967975</v>
      </c>
      <c r="K26" s="133">
        <f t="shared" si="0"/>
        <v>-1238.3199999999997</v>
      </c>
      <c r="L26" s="134">
        <f t="shared" si="1"/>
        <v>0.9676999321821691</v>
      </c>
      <c r="M26" s="182"/>
      <c r="N26" s="182" t="str">
        <f t="shared" si="2"/>
        <v>OK</v>
      </c>
    </row>
    <row r="27" spans="1:66" ht="60.75" customHeight="1">
      <c r="A27" s="302" t="s">
        <v>118</v>
      </c>
      <c r="B27" s="302"/>
      <c r="C27" s="303" t="s">
        <v>119</v>
      </c>
      <c r="D27" s="303"/>
      <c r="E27" s="303"/>
      <c r="F27" s="94" t="s">
        <v>98</v>
      </c>
      <c r="G27" s="95">
        <v>1800</v>
      </c>
      <c r="H27" s="88">
        <v>35000</v>
      </c>
      <c r="I27" s="88">
        <v>33869.5</v>
      </c>
      <c r="J27" s="88">
        <v>60965100</v>
      </c>
      <c r="K27" s="133">
        <f t="shared" si="0"/>
        <v>-1130.5</v>
      </c>
      <c r="L27" s="134">
        <f t="shared" si="1"/>
        <v>0.9677</v>
      </c>
      <c r="M27" s="182"/>
      <c r="N27" s="182" t="str">
        <f t="shared" si="2"/>
        <v>OK</v>
      </c>
    </row>
    <row r="28" spans="1:66" ht="60.75" customHeight="1">
      <c r="A28" s="302" t="s">
        <v>120</v>
      </c>
      <c r="B28" s="302"/>
      <c r="C28" s="303" t="s">
        <v>121</v>
      </c>
      <c r="D28" s="303"/>
      <c r="E28" s="303"/>
      <c r="F28" s="94" t="s">
        <v>98</v>
      </c>
      <c r="G28" s="95">
        <v>80</v>
      </c>
      <c r="H28" s="88">
        <v>96707</v>
      </c>
      <c r="I28" s="88">
        <v>93583.360000000001</v>
      </c>
      <c r="J28" s="88">
        <v>7486669</v>
      </c>
      <c r="K28" s="133">
        <f t="shared" si="0"/>
        <v>-3123.6399999999994</v>
      </c>
      <c r="L28" s="134">
        <f t="shared" si="1"/>
        <v>0.96769995967199895</v>
      </c>
      <c r="M28" s="182"/>
      <c r="N28" s="182" t="str">
        <f t="shared" si="2"/>
        <v>OK</v>
      </c>
    </row>
    <row r="29" spans="1:66" ht="60.75" customHeight="1">
      <c r="A29" s="302" t="s">
        <v>122</v>
      </c>
      <c r="B29" s="302"/>
      <c r="C29" s="303" t="s">
        <v>123</v>
      </c>
      <c r="D29" s="303"/>
      <c r="E29" s="303"/>
      <c r="F29" s="94" t="s">
        <v>98</v>
      </c>
      <c r="G29" s="95">
        <v>80</v>
      </c>
      <c r="H29" s="88">
        <v>130500</v>
      </c>
      <c r="I29" s="88">
        <v>126284.85</v>
      </c>
      <c r="J29" s="88">
        <v>10102788</v>
      </c>
      <c r="K29" s="133">
        <f t="shared" si="0"/>
        <v>-4215.1499999999942</v>
      </c>
      <c r="L29" s="134">
        <f t="shared" si="1"/>
        <v>0.9677</v>
      </c>
      <c r="M29" s="182"/>
      <c r="N29" s="182" t="str">
        <f t="shared" si="2"/>
        <v>OK</v>
      </c>
    </row>
    <row r="30" spans="1:66" ht="60.75" customHeight="1">
      <c r="A30" s="310" t="s">
        <v>124</v>
      </c>
      <c r="B30" s="310"/>
      <c r="C30" s="303" t="s">
        <v>125</v>
      </c>
      <c r="D30" s="303"/>
      <c r="E30" s="303"/>
      <c r="F30" s="94" t="s">
        <v>113</v>
      </c>
      <c r="G30" s="95">
        <v>100</v>
      </c>
      <c r="H30" s="88">
        <v>1233196</v>
      </c>
      <c r="I30" s="88">
        <v>1193363.77</v>
      </c>
      <c r="J30" s="88">
        <v>119336377</v>
      </c>
      <c r="K30" s="133">
        <f t="shared" si="0"/>
        <v>-39832.229999999981</v>
      </c>
      <c r="L30" s="134">
        <f t="shared" si="1"/>
        <v>0.96770000064872086</v>
      </c>
      <c r="M30" s="182"/>
      <c r="N30" s="182" t="str">
        <f t="shared" si="2"/>
        <v>OK</v>
      </c>
    </row>
    <row r="31" spans="1:66" ht="60.75" customHeight="1">
      <c r="A31" s="310" t="s">
        <v>126</v>
      </c>
      <c r="B31" s="310"/>
      <c r="C31" s="303" t="s">
        <v>127</v>
      </c>
      <c r="D31" s="303"/>
      <c r="E31" s="303"/>
      <c r="F31" s="94" t="s">
        <v>113</v>
      </c>
      <c r="G31" s="95">
        <v>85</v>
      </c>
      <c r="H31" s="88">
        <v>749188</v>
      </c>
      <c r="I31" s="88">
        <v>724989.23</v>
      </c>
      <c r="J31" s="88">
        <v>61624084</v>
      </c>
      <c r="K31" s="133">
        <f t="shared" si="0"/>
        <v>-24198.770000000019</v>
      </c>
      <c r="L31" s="134">
        <f t="shared" si="1"/>
        <v>0.96770000320346827</v>
      </c>
      <c r="M31" s="182"/>
      <c r="N31" s="182" t="str">
        <f t="shared" si="2"/>
        <v>OK</v>
      </c>
    </row>
    <row r="32" spans="1:66" ht="60.75" customHeight="1">
      <c r="A32" s="310" t="s">
        <v>128</v>
      </c>
      <c r="B32" s="310"/>
      <c r="C32" s="303" t="s">
        <v>129</v>
      </c>
      <c r="D32" s="303"/>
      <c r="E32" s="303"/>
      <c r="F32" s="94" t="s">
        <v>113</v>
      </c>
      <c r="G32" s="95">
        <v>20</v>
      </c>
      <c r="H32" s="88">
        <v>1242026</v>
      </c>
      <c r="I32" s="88">
        <v>1201908.56</v>
      </c>
      <c r="J32" s="88">
        <v>24038171</v>
      </c>
      <c r="K32" s="133">
        <f t="shared" si="0"/>
        <v>-40117.439999999944</v>
      </c>
      <c r="L32" s="134">
        <f t="shared" si="1"/>
        <v>0.96769999983897281</v>
      </c>
      <c r="M32" s="182"/>
      <c r="N32" s="182" t="str">
        <f t="shared" si="2"/>
        <v>OK</v>
      </c>
    </row>
    <row r="33" spans="1:14" ht="60.75" customHeight="1">
      <c r="A33" s="310" t="s">
        <v>130</v>
      </c>
      <c r="B33" s="310"/>
      <c r="C33" s="303" t="s">
        <v>131</v>
      </c>
      <c r="D33" s="303"/>
      <c r="E33" s="303"/>
      <c r="F33" s="94" t="s">
        <v>98</v>
      </c>
      <c r="G33" s="95">
        <v>45</v>
      </c>
      <c r="H33" s="88">
        <v>40656</v>
      </c>
      <c r="I33" s="88">
        <v>39342.81</v>
      </c>
      <c r="J33" s="88">
        <v>1770427</v>
      </c>
      <c r="K33" s="133">
        <f t="shared" si="0"/>
        <v>-1313.1900000000023</v>
      </c>
      <c r="L33" s="134">
        <f t="shared" si="1"/>
        <v>0.96769997048406131</v>
      </c>
      <c r="M33" s="182"/>
      <c r="N33" s="182" t="str">
        <f t="shared" si="2"/>
        <v>OK</v>
      </c>
    </row>
    <row r="34" spans="1:14" ht="60.75" customHeight="1">
      <c r="A34" s="310" t="s">
        <v>132</v>
      </c>
      <c r="B34" s="310"/>
      <c r="C34" s="303" t="s">
        <v>133</v>
      </c>
      <c r="D34" s="303"/>
      <c r="E34" s="303"/>
      <c r="F34" s="94" t="s">
        <v>98</v>
      </c>
      <c r="G34" s="95">
        <v>45</v>
      </c>
      <c r="H34" s="88">
        <v>1032471</v>
      </c>
      <c r="I34" s="88">
        <v>999122.19</v>
      </c>
      <c r="J34" s="88">
        <v>44960498</v>
      </c>
      <c r="K34" s="133">
        <f t="shared" si="0"/>
        <v>-33348.810000000056</v>
      </c>
      <c r="L34" s="134">
        <f t="shared" si="1"/>
        <v>0.96770000319621563</v>
      </c>
      <c r="M34" s="182"/>
      <c r="N34" s="182" t="str">
        <f t="shared" si="2"/>
        <v>OK</v>
      </c>
    </row>
    <row r="35" spans="1:14" ht="60.75" customHeight="1">
      <c r="A35" s="310" t="s">
        <v>134</v>
      </c>
      <c r="B35" s="310"/>
      <c r="C35" s="303" t="s">
        <v>135</v>
      </c>
      <c r="D35" s="303"/>
      <c r="E35" s="303"/>
      <c r="F35" s="94" t="s">
        <v>113</v>
      </c>
      <c r="G35" s="95">
        <v>275</v>
      </c>
      <c r="H35" s="88">
        <v>112609</v>
      </c>
      <c r="I35" s="88">
        <v>108971.73</v>
      </c>
      <c r="J35" s="88">
        <v>29967226</v>
      </c>
      <c r="K35" s="133">
        <f t="shared" si="0"/>
        <v>-3637.2700000000041</v>
      </c>
      <c r="L35" s="134">
        <f t="shared" si="1"/>
        <v>0.96770000621619934</v>
      </c>
      <c r="M35" s="182"/>
      <c r="N35" s="182" t="str">
        <f t="shared" si="2"/>
        <v>OK</v>
      </c>
    </row>
    <row r="36" spans="1:14" ht="60.75" customHeight="1">
      <c r="A36" s="310" t="s">
        <v>136</v>
      </c>
      <c r="B36" s="310"/>
      <c r="C36" s="303" t="s">
        <v>137</v>
      </c>
      <c r="D36" s="303"/>
      <c r="E36" s="303"/>
      <c r="F36" s="94" t="s">
        <v>113</v>
      </c>
      <c r="G36" s="95">
        <v>1</v>
      </c>
      <c r="H36" s="88">
        <v>131148</v>
      </c>
      <c r="I36" s="88">
        <v>126911.92</v>
      </c>
      <c r="J36" s="88">
        <v>126912</v>
      </c>
      <c r="K36" s="133">
        <f t="shared" si="0"/>
        <v>-4236.0800000000017</v>
      </c>
      <c r="L36" s="134">
        <f t="shared" si="1"/>
        <v>0.96770000304998927</v>
      </c>
      <c r="M36" s="182"/>
      <c r="N36" s="182" t="str">
        <f t="shared" si="2"/>
        <v>OK</v>
      </c>
    </row>
    <row r="37" spans="1:14" ht="60.75" customHeight="1">
      <c r="A37" s="310" t="s">
        <v>138</v>
      </c>
      <c r="B37" s="310"/>
      <c r="C37" s="303" t="s">
        <v>139</v>
      </c>
      <c r="D37" s="303"/>
      <c r="E37" s="303"/>
      <c r="F37" s="94" t="s">
        <v>113</v>
      </c>
      <c r="G37" s="95">
        <v>1</v>
      </c>
      <c r="H37" s="88">
        <v>1224745</v>
      </c>
      <c r="I37" s="88">
        <v>1185185.74</v>
      </c>
      <c r="J37" s="88">
        <v>1185186</v>
      </c>
      <c r="K37" s="133">
        <f t="shared" si="0"/>
        <v>-39559.260000000009</v>
      </c>
      <c r="L37" s="134">
        <f t="shared" si="1"/>
        <v>0.96770000285773772</v>
      </c>
      <c r="M37" s="182"/>
      <c r="N37" s="182" t="str">
        <f t="shared" si="2"/>
        <v>OK</v>
      </c>
    </row>
    <row r="38" spans="1:14" ht="60.75" customHeight="1">
      <c r="A38" s="310" t="s">
        <v>140</v>
      </c>
      <c r="B38" s="310"/>
      <c r="C38" s="303" t="s">
        <v>141</v>
      </c>
      <c r="D38" s="303"/>
      <c r="E38" s="303"/>
      <c r="F38" s="94" t="s">
        <v>98</v>
      </c>
      <c r="G38" s="95">
        <v>4500</v>
      </c>
      <c r="H38" s="88">
        <v>34663</v>
      </c>
      <c r="I38" s="88">
        <v>33543.39</v>
      </c>
      <c r="J38" s="88">
        <v>150945233</v>
      </c>
      <c r="K38" s="133">
        <f t="shared" si="0"/>
        <v>-1119.6100000000006</v>
      </c>
      <c r="L38" s="134">
        <f t="shared" si="1"/>
        <v>0.96770014136110549</v>
      </c>
      <c r="M38" s="182"/>
      <c r="N38" s="182" t="str">
        <f t="shared" si="2"/>
        <v>OK</v>
      </c>
    </row>
    <row r="39" spans="1:14" ht="60.75" customHeight="1">
      <c r="A39" s="314" t="s">
        <v>142</v>
      </c>
      <c r="B39" s="315"/>
      <c r="C39" s="315"/>
      <c r="D39" s="315"/>
      <c r="E39" s="315"/>
      <c r="F39" s="315"/>
      <c r="G39" s="315"/>
      <c r="H39" s="315"/>
      <c r="I39" s="316"/>
      <c r="J39" s="96">
        <f>SUM(J16:J38)</f>
        <v>1156793265</v>
      </c>
      <c r="K39" s="133">
        <f t="shared" si="0"/>
        <v>0</v>
      </c>
      <c r="L39" s="134" t="e">
        <f t="shared" si="1"/>
        <v>#DIV/0!</v>
      </c>
      <c r="M39" s="182"/>
      <c r="N39" s="182" t="str">
        <f t="shared" si="2"/>
        <v xml:space="preserve"> </v>
      </c>
    </row>
    <row r="40" spans="1:14" ht="60.75" customHeight="1">
      <c r="A40" s="310" t="s">
        <v>93</v>
      </c>
      <c r="B40" s="310"/>
      <c r="C40" s="303" t="s">
        <v>143</v>
      </c>
      <c r="D40" s="303"/>
      <c r="E40" s="303"/>
      <c r="F40" s="94" t="s">
        <v>98</v>
      </c>
      <c r="G40" s="95">
        <v>250</v>
      </c>
      <c r="H40" s="88">
        <v>49033</v>
      </c>
      <c r="I40" s="88">
        <v>47449.23</v>
      </c>
      <c r="J40" s="88">
        <v>11862309</v>
      </c>
      <c r="K40" s="133">
        <f t="shared" si="0"/>
        <v>-1583.7699999999968</v>
      </c>
      <c r="L40" s="134">
        <f t="shared" si="1"/>
        <v>0.96769991638284425</v>
      </c>
      <c r="M40" s="182"/>
      <c r="N40" s="182" t="str">
        <f t="shared" si="2"/>
        <v>OK</v>
      </c>
    </row>
    <row r="41" spans="1:14" ht="60.75" customHeight="1">
      <c r="A41" s="310" t="s">
        <v>96</v>
      </c>
      <c r="B41" s="310"/>
      <c r="C41" s="303" t="s">
        <v>144</v>
      </c>
      <c r="D41" s="303"/>
      <c r="E41" s="303"/>
      <c r="F41" s="94" t="s">
        <v>98</v>
      </c>
      <c r="G41" s="95">
        <v>61</v>
      </c>
      <c r="H41" s="88">
        <v>50667</v>
      </c>
      <c r="I41" s="88">
        <v>49030.46</v>
      </c>
      <c r="J41" s="88">
        <v>2990858</v>
      </c>
      <c r="K41" s="133">
        <f t="shared" si="0"/>
        <v>-1636.5400000000009</v>
      </c>
      <c r="L41" s="134">
        <f t="shared" si="1"/>
        <v>0.96770008092052029</v>
      </c>
      <c r="M41" s="182"/>
      <c r="N41" s="182" t="str">
        <f t="shared" si="2"/>
        <v>OK</v>
      </c>
    </row>
    <row r="42" spans="1:14" ht="60.75" customHeight="1">
      <c r="A42" s="310" t="s">
        <v>145</v>
      </c>
      <c r="B42" s="310"/>
      <c r="C42" s="303" t="s">
        <v>117</v>
      </c>
      <c r="D42" s="303"/>
      <c r="E42" s="303"/>
      <c r="F42" s="94" t="s">
        <v>98</v>
      </c>
      <c r="G42" s="95">
        <v>1070</v>
      </c>
      <c r="H42" s="88">
        <v>36183</v>
      </c>
      <c r="I42" s="88">
        <v>35014.29</v>
      </c>
      <c r="J42" s="88">
        <v>37465289</v>
      </c>
      <c r="K42" s="133">
        <f t="shared" si="0"/>
        <v>-1168.7099999999991</v>
      </c>
      <c r="L42" s="134">
        <f t="shared" si="1"/>
        <v>0.96770002487355944</v>
      </c>
      <c r="M42" s="182"/>
      <c r="N42" s="182" t="str">
        <f t="shared" si="2"/>
        <v>OK</v>
      </c>
    </row>
    <row r="43" spans="1:14" ht="60.75" customHeight="1">
      <c r="A43" s="310" t="s">
        <v>146</v>
      </c>
      <c r="B43" s="310"/>
      <c r="C43" s="303" t="s">
        <v>147</v>
      </c>
      <c r="D43" s="303"/>
      <c r="E43" s="303"/>
      <c r="F43" s="94" t="s">
        <v>148</v>
      </c>
      <c r="G43" s="95">
        <v>1</v>
      </c>
      <c r="H43" s="88">
        <v>13063210</v>
      </c>
      <c r="I43" s="88">
        <v>12641268.32</v>
      </c>
      <c r="J43" s="88">
        <v>12641268</v>
      </c>
      <c r="K43" s="133">
        <f t="shared" si="0"/>
        <v>-421941.6799999997</v>
      </c>
      <c r="L43" s="134">
        <f t="shared" si="1"/>
        <v>0.96770000022965263</v>
      </c>
      <c r="M43" s="182"/>
      <c r="N43" s="182" t="str">
        <f t="shared" si="2"/>
        <v>OK</v>
      </c>
    </row>
    <row r="44" spans="1:14" ht="60.75" customHeight="1">
      <c r="A44" s="310" t="s">
        <v>149</v>
      </c>
      <c r="B44" s="310"/>
      <c r="C44" s="303" t="s">
        <v>150</v>
      </c>
      <c r="D44" s="303"/>
      <c r="E44" s="303"/>
      <c r="F44" s="94" t="s">
        <v>113</v>
      </c>
      <c r="G44" s="95">
        <v>135</v>
      </c>
      <c r="H44" s="88">
        <v>96339</v>
      </c>
      <c r="I44" s="88">
        <v>93227.25</v>
      </c>
      <c r="J44" s="88">
        <v>12585679</v>
      </c>
      <c r="K44" s="133">
        <f t="shared" si="0"/>
        <v>-3111.75</v>
      </c>
      <c r="L44" s="134">
        <f t="shared" si="1"/>
        <v>0.96769999688599628</v>
      </c>
      <c r="M44" s="182"/>
      <c r="N44" s="182" t="str">
        <f t="shared" si="2"/>
        <v>OK</v>
      </c>
    </row>
    <row r="45" spans="1:14" ht="60.75" customHeight="1">
      <c r="A45" s="310" t="s">
        <v>151</v>
      </c>
      <c r="B45" s="310"/>
      <c r="C45" s="303" t="s">
        <v>152</v>
      </c>
      <c r="D45" s="303"/>
      <c r="E45" s="303"/>
      <c r="F45" s="94" t="s">
        <v>98</v>
      </c>
      <c r="G45" s="95">
        <v>78</v>
      </c>
      <c r="H45" s="88">
        <v>95199</v>
      </c>
      <c r="I45" s="88">
        <v>92124.07</v>
      </c>
      <c r="J45" s="88">
        <v>7185678</v>
      </c>
      <c r="K45" s="133">
        <f t="shared" si="0"/>
        <v>-3074.929999999993</v>
      </c>
      <c r="L45" s="134">
        <f t="shared" si="1"/>
        <v>0.96769997584008238</v>
      </c>
      <c r="M45" s="182"/>
      <c r="N45" s="182" t="str">
        <f t="shared" si="2"/>
        <v>OK</v>
      </c>
    </row>
    <row r="46" spans="1:14" ht="60.75" customHeight="1">
      <c r="A46" s="310" t="s">
        <v>99</v>
      </c>
      <c r="B46" s="310"/>
      <c r="C46" s="303" t="s">
        <v>153</v>
      </c>
      <c r="D46" s="303"/>
      <c r="E46" s="303"/>
      <c r="F46" s="94" t="s">
        <v>95</v>
      </c>
      <c r="G46" s="95">
        <v>100</v>
      </c>
      <c r="H46" s="88">
        <v>203925</v>
      </c>
      <c r="I46" s="88">
        <v>197338.22</v>
      </c>
      <c r="J46" s="88">
        <v>19733822</v>
      </c>
      <c r="K46" s="133">
        <f t="shared" si="0"/>
        <v>-6586.7799999999988</v>
      </c>
      <c r="L46" s="134">
        <f t="shared" si="1"/>
        <v>0.96769998774059096</v>
      </c>
      <c r="M46" s="182"/>
      <c r="N46" s="182" t="str">
        <f t="shared" si="2"/>
        <v>OK</v>
      </c>
    </row>
    <row r="47" spans="1:14" ht="60.75" customHeight="1">
      <c r="A47" s="310" t="s">
        <v>101</v>
      </c>
      <c r="B47" s="310"/>
      <c r="C47" s="303" t="s">
        <v>154</v>
      </c>
      <c r="D47" s="303"/>
      <c r="E47" s="303"/>
      <c r="F47" s="94" t="s">
        <v>95</v>
      </c>
      <c r="G47" s="95">
        <v>130</v>
      </c>
      <c r="H47" s="88">
        <v>186288</v>
      </c>
      <c r="I47" s="88">
        <v>180270.9</v>
      </c>
      <c r="J47" s="88">
        <v>23435217</v>
      </c>
      <c r="K47" s="133">
        <f t="shared" si="0"/>
        <v>-6017.1000000000058</v>
      </c>
      <c r="L47" s="134">
        <f t="shared" si="1"/>
        <v>0.96770001288327745</v>
      </c>
      <c r="M47" s="182"/>
      <c r="N47" s="182" t="str">
        <f t="shared" si="2"/>
        <v>OK</v>
      </c>
    </row>
    <row r="48" spans="1:14" ht="60.75" customHeight="1">
      <c r="A48" s="310" t="s">
        <v>116</v>
      </c>
      <c r="B48" s="310"/>
      <c r="C48" s="303" t="s">
        <v>155</v>
      </c>
      <c r="D48" s="303"/>
      <c r="E48" s="303"/>
      <c r="F48" s="94" t="s">
        <v>98</v>
      </c>
      <c r="G48" s="95">
        <v>30</v>
      </c>
      <c r="H48" s="88">
        <v>205133</v>
      </c>
      <c r="I48" s="88">
        <v>198507.2</v>
      </c>
      <c r="J48" s="88">
        <v>5955216</v>
      </c>
      <c r="K48" s="133">
        <f t="shared" si="0"/>
        <v>-6625.7999999999884</v>
      </c>
      <c r="L48" s="134">
        <f t="shared" si="1"/>
        <v>0.96769998001296731</v>
      </c>
      <c r="M48" s="182"/>
      <c r="N48" s="182" t="str">
        <f t="shared" si="2"/>
        <v>OK</v>
      </c>
    </row>
    <row r="49" spans="1:14" ht="60.75" customHeight="1">
      <c r="A49" s="310" t="s">
        <v>124</v>
      </c>
      <c r="B49" s="310"/>
      <c r="C49" s="303" t="s">
        <v>156</v>
      </c>
      <c r="D49" s="303"/>
      <c r="E49" s="303"/>
      <c r="F49" s="94" t="s">
        <v>98</v>
      </c>
      <c r="G49" s="95">
        <v>1301</v>
      </c>
      <c r="H49" s="88">
        <v>131613</v>
      </c>
      <c r="I49" s="88">
        <v>127361.9</v>
      </c>
      <c r="J49" s="88">
        <v>165697832</v>
      </c>
      <c r="K49" s="133">
        <f t="shared" si="0"/>
        <v>-4251.1000000000058</v>
      </c>
      <c r="L49" s="134">
        <f t="shared" si="1"/>
        <v>0.96769999924019656</v>
      </c>
      <c r="M49" s="182"/>
      <c r="N49" s="182" t="str">
        <f t="shared" si="2"/>
        <v>OK</v>
      </c>
    </row>
    <row r="50" spans="1:14" ht="60.75" customHeight="1">
      <c r="A50" s="310" t="s">
        <v>126</v>
      </c>
      <c r="B50" s="310"/>
      <c r="C50" s="303" t="s">
        <v>157</v>
      </c>
      <c r="D50" s="303"/>
      <c r="E50" s="303"/>
      <c r="F50" s="94" t="s">
        <v>98</v>
      </c>
      <c r="G50" s="95">
        <v>1301</v>
      </c>
      <c r="H50" s="88">
        <v>33384</v>
      </c>
      <c r="I50" s="88">
        <v>32305.7</v>
      </c>
      <c r="J50" s="88">
        <v>42029712</v>
      </c>
      <c r="K50" s="133">
        <f t="shared" si="0"/>
        <v>-1078.2999999999993</v>
      </c>
      <c r="L50" s="134">
        <f t="shared" si="1"/>
        <v>0.9677000958543015</v>
      </c>
      <c r="M50" s="182"/>
      <c r="N50" s="182" t="str">
        <f t="shared" si="2"/>
        <v>OK</v>
      </c>
    </row>
    <row r="51" spans="1:14" ht="60.75" customHeight="1">
      <c r="A51" s="302" t="s">
        <v>136</v>
      </c>
      <c r="B51" s="302"/>
      <c r="C51" s="303" t="s">
        <v>158</v>
      </c>
      <c r="D51" s="303"/>
      <c r="E51" s="303"/>
      <c r="F51" s="97" t="s">
        <v>98</v>
      </c>
      <c r="G51" s="98">
        <v>1070</v>
      </c>
      <c r="H51" s="88">
        <v>194913</v>
      </c>
      <c r="I51" s="88">
        <v>188617.31</v>
      </c>
      <c r="J51" s="88">
        <v>201820522</v>
      </c>
      <c r="K51" s="133">
        <f t="shared" si="0"/>
        <v>-6295.6900000000023</v>
      </c>
      <c r="L51" s="134">
        <f t="shared" si="1"/>
        <v>0.96769999948695062</v>
      </c>
      <c r="M51" s="182"/>
      <c r="N51" s="182" t="str">
        <f t="shared" si="2"/>
        <v>OK</v>
      </c>
    </row>
    <row r="52" spans="1:14" ht="60.75" customHeight="1">
      <c r="A52" s="310" t="s">
        <v>140</v>
      </c>
      <c r="B52" s="310"/>
      <c r="C52" s="303" t="s">
        <v>159</v>
      </c>
      <c r="D52" s="303"/>
      <c r="E52" s="303"/>
      <c r="F52" s="97" t="s">
        <v>95</v>
      </c>
      <c r="G52" s="98">
        <v>2400</v>
      </c>
      <c r="H52" s="88">
        <v>20487</v>
      </c>
      <c r="I52" s="88">
        <v>19825.27</v>
      </c>
      <c r="J52" s="88">
        <v>47580648</v>
      </c>
      <c r="K52" s="133">
        <f t="shared" si="0"/>
        <v>-661.72999999999956</v>
      </c>
      <c r="L52" s="134">
        <f t="shared" si="1"/>
        <v>0.96770000488114416</v>
      </c>
      <c r="M52" s="182"/>
      <c r="N52" s="182" t="str">
        <f t="shared" si="2"/>
        <v>OK</v>
      </c>
    </row>
    <row r="53" spans="1:14" ht="60.75" customHeight="1">
      <c r="A53" s="310" t="s">
        <v>160</v>
      </c>
      <c r="B53" s="310"/>
      <c r="C53" s="303" t="s">
        <v>161</v>
      </c>
      <c r="D53" s="303"/>
      <c r="E53" s="303"/>
      <c r="F53" s="97" t="s">
        <v>95</v>
      </c>
      <c r="G53" s="98">
        <v>200</v>
      </c>
      <c r="H53" s="88">
        <v>373466</v>
      </c>
      <c r="I53" s="88">
        <v>361403.05</v>
      </c>
      <c r="J53" s="88">
        <v>72280610</v>
      </c>
      <c r="K53" s="133">
        <f t="shared" si="0"/>
        <v>-12062.950000000012</v>
      </c>
      <c r="L53" s="134">
        <f t="shared" si="1"/>
        <v>0.96770000481971585</v>
      </c>
      <c r="M53" s="182"/>
      <c r="N53" s="182" t="str">
        <f t="shared" si="2"/>
        <v>OK</v>
      </c>
    </row>
    <row r="54" spans="1:14" ht="60.75" customHeight="1">
      <c r="A54" s="310" t="s">
        <v>162</v>
      </c>
      <c r="B54" s="310"/>
      <c r="C54" s="303" t="s">
        <v>163</v>
      </c>
      <c r="D54" s="303"/>
      <c r="E54" s="303"/>
      <c r="F54" s="97" t="s">
        <v>113</v>
      </c>
      <c r="G54" s="98">
        <v>240</v>
      </c>
      <c r="H54" s="88">
        <v>157875</v>
      </c>
      <c r="I54" s="88">
        <v>152775.64000000001</v>
      </c>
      <c r="J54" s="88">
        <v>36666153</v>
      </c>
      <c r="K54" s="133">
        <f t="shared" si="0"/>
        <v>-5099.359999999986</v>
      </c>
      <c r="L54" s="134">
        <f t="shared" si="1"/>
        <v>0.96770001583531284</v>
      </c>
      <c r="M54" s="182"/>
      <c r="N54" s="182" t="str">
        <f t="shared" si="2"/>
        <v>OK</v>
      </c>
    </row>
    <row r="55" spans="1:14" ht="60.75" customHeight="1">
      <c r="A55" s="310" t="s">
        <v>164</v>
      </c>
      <c r="B55" s="310"/>
      <c r="C55" s="303" t="s">
        <v>165</v>
      </c>
      <c r="D55" s="303"/>
      <c r="E55" s="303"/>
      <c r="F55" s="97" t="s">
        <v>113</v>
      </c>
      <c r="G55" s="98">
        <v>60</v>
      </c>
      <c r="H55" s="88">
        <v>177999</v>
      </c>
      <c r="I55" s="88">
        <v>172249.63</v>
      </c>
      <c r="J55" s="88">
        <v>10334978</v>
      </c>
      <c r="K55" s="133">
        <f t="shared" si="0"/>
        <v>-5749.3699999999953</v>
      </c>
      <c r="L55" s="134">
        <f t="shared" si="1"/>
        <v>0.96769998707857907</v>
      </c>
      <c r="M55" s="182"/>
      <c r="N55" s="182" t="str">
        <f t="shared" si="2"/>
        <v>OK</v>
      </c>
    </row>
    <row r="56" spans="1:14" ht="60.75" customHeight="1">
      <c r="A56" s="310" t="s">
        <v>166</v>
      </c>
      <c r="B56" s="310"/>
      <c r="C56" s="303" t="s">
        <v>167</v>
      </c>
      <c r="D56" s="303"/>
      <c r="E56" s="303"/>
      <c r="F56" s="97" t="s">
        <v>113</v>
      </c>
      <c r="G56" s="98">
        <v>82</v>
      </c>
      <c r="H56" s="88">
        <v>327191</v>
      </c>
      <c r="I56" s="88">
        <v>316622.73</v>
      </c>
      <c r="J56" s="88">
        <v>25963064</v>
      </c>
      <c r="K56" s="133">
        <f t="shared" si="0"/>
        <v>-10568.270000000019</v>
      </c>
      <c r="L56" s="134">
        <f t="shared" si="1"/>
        <v>0.96769999786057681</v>
      </c>
      <c r="M56" s="182"/>
      <c r="N56" s="182" t="str">
        <f t="shared" si="2"/>
        <v>OK</v>
      </c>
    </row>
    <row r="57" spans="1:14" ht="60.75" customHeight="1">
      <c r="A57" s="310" t="s">
        <v>168</v>
      </c>
      <c r="B57" s="310"/>
      <c r="C57" s="303" t="s">
        <v>169</v>
      </c>
      <c r="D57" s="303"/>
      <c r="E57" s="303"/>
      <c r="F57" s="97" t="s">
        <v>113</v>
      </c>
      <c r="G57" s="98">
        <v>90</v>
      </c>
      <c r="H57" s="88">
        <v>230677</v>
      </c>
      <c r="I57" s="88">
        <v>223226.13</v>
      </c>
      <c r="J57" s="88">
        <v>20090352</v>
      </c>
      <c r="K57" s="133">
        <f t="shared" si="0"/>
        <v>-7450.8699999999953</v>
      </c>
      <c r="L57" s="134">
        <f t="shared" si="1"/>
        <v>0.96769998742830887</v>
      </c>
      <c r="M57" s="182"/>
      <c r="N57" s="182" t="str">
        <f t="shared" si="2"/>
        <v>OK</v>
      </c>
    </row>
    <row r="58" spans="1:14" ht="60.75" customHeight="1">
      <c r="A58" s="310" t="s">
        <v>170</v>
      </c>
      <c r="B58" s="310"/>
      <c r="C58" s="303" t="s">
        <v>171</v>
      </c>
      <c r="D58" s="303"/>
      <c r="E58" s="303"/>
      <c r="F58" s="97" t="s">
        <v>113</v>
      </c>
      <c r="G58" s="98">
        <v>7</v>
      </c>
      <c r="H58" s="88">
        <v>196020</v>
      </c>
      <c r="I58" s="88">
        <v>189688.55</v>
      </c>
      <c r="J58" s="88">
        <v>1327820</v>
      </c>
      <c r="K58" s="133">
        <f t="shared" si="0"/>
        <v>-6331.4500000000116</v>
      </c>
      <c r="L58" s="134">
        <f t="shared" si="1"/>
        <v>0.96769997959391896</v>
      </c>
      <c r="M58" s="182"/>
      <c r="N58" s="182" t="str">
        <f t="shared" si="2"/>
        <v>OK</v>
      </c>
    </row>
    <row r="59" spans="1:14" ht="60.75" customHeight="1">
      <c r="A59" s="310" t="s">
        <v>172</v>
      </c>
      <c r="B59" s="310"/>
      <c r="C59" s="303" t="s">
        <v>173</v>
      </c>
      <c r="D59" s="303"/>
      <c r="E59" s="303"/>
      <c r="F59" s="97" t="s">
        <v>113</v>
      </c>
      <c r="G59" s="98">
        <v>22</v>
      </c>
      <c r="H59" s="88">
        <v>181406</v>
      </c>
      <c r="I59" s="88">
        <v>175546.59</v>
      </c>
      <c r="J59" s="88">
        <v>3862025</v>
      </c>
      <c r="K59" s="133">
        <f t="shared" si="0"/>
        <v>-5859.4100000000035</v>
      </c>
      <c r="L59" s="134">
        <f t="shared" si="1"/>
        <v>0.96770002094748797</v>
      </c>
      <c r="M59" s="182"/>
      <c r="N59" s="182" t="str">
        <f t="shared" si="2"/>
        <v>OK</v>
      </c>
    </row>
    <row r="60" spans="1:14" ht="60.75" customHeight="1">
      <c r="A60" s="310" t="s">
        <v>174</v>
      </c>
      <c r="B60" s="310"/>
      <c r="C60" s="303" t="s">
        <v>175</v>
      </c>
      <c r="D60" s="303"/>
      <c r="E60" s="303"/>
      <c r="F60" s="97" t="s">
        <v>113</v>
      </c>
      <c r="G60" s="98">
        <v>10</v>
      </c>
      <c r="H60" s="88">
        <v>200830</v>
      </c>
      <c r="I60" s="88">
        <v>194343.19</v>
      </c>
      <c r="J60" s="88">
        <v>1943432</v>
      </c>
      <c r="K60" s="133">
        <f t="shared" si="0"/>
        <v>-6486.8099999999977</v>
      </c>
      <c r="L60" s="134">
        <f t="shared" si="1"/>
        <v>0.96769999502066428</v>
      </c>
      <c r="M60" s="182"/>
      <c r="N60" s="182" t="str">
        <f t="shared" si="2"/>
        <v>OK</v>
      </c>
    </row>
    <row r="61" spans="1:14" ht="60.75" customHeight="1">
      <c r="A61" s="310" t="s">
        <v>176</v>
      </c>
      <c r="B61" s="310"/>
      <c r="C61" s="303" t="s">
        <v>177</v>
      </c>
      <c r="D61" s="303"/>
      <c r="E61" s="303"/>
      <c r="F61" s="97" t="s">
        <v>113</v>
      </c>
      <c r="G61" s="98">
        <v>43</v>
      </c>
      <c r="H61" s="88">
        <v>178332</v>
      </c>
      <c r="I61" s="88">
        <v>172571.88</v>
      </c>
      <c r="J61" s="88">
        <v>7420591</v>
      </c>
      <c r="K61" s="133">
        <f t="shared" si="0"/>
        <v>-5760.1199999999953</v>
      </c>
      <c r="L61" s="134">
        <f t="shared" si="1"/>
        <v>0.9677000201870668</v>
      </c>
      <c r="M61" s="182"/>
      <c r="N61" s="182" t="str">
        <f t="shared" si="2"/>
        <v>OK</v>
      </c>
    </row>
    <row r="62" spans="1:14" ht="60.75" customHeight="1">
      <c r="A62" s="310" t="s">
        <v>178</v>
      </c>
      <c r="B62" s="310"/>
      <c r="C62" s="303" t="s">
        <v>179</v>
      </c>
      <c r="D62" s="303"/>
      <c r="E62" s="303"/>
      <c r="F62" s="97" t="s">
        <v>180</v>
      </c>
      <c r="G62" s="98">
        <v>300</v>
      </c>
      <c r="H62" s="88">
        <v>16471</v>
      </c>
      <c r="I62" s="88">
        <v>15938.99</v>
      </c>
      <c r="J62" s="88">
        <v>4781696</v>
      </c>
      <c r="K62" s="133">
        <f t="shared" si="0"/>
        <v>-532.01000000000022</v>
      </c>
      <c r="L62" s="134">
        <f t="shared" si="1"/>
        <v>0.967700200352134</v>
      </c>
      <c r="M62" s="182"/>
      <c r="N62" s="182" t="str">
        <f t="shared" si="2"/>
        <v>OK</v>
      </c>
    </row>
    <row r="63" spans="1:14" ht="60.75" customHeight="1">
      <c r="A63" s="310" t="s">
        <v>181</v>
      </c>
      <c r="B63" s="310"/>
      <c r="C63" s="303" t="s">
        <v>182</v>
      </c>
      <c r="D63" s="303"/>
      <c r="E63" s="303"/>
      <c r="F63" s="97" t="s">
        <v>95</v>
      </c>
      <c r="G63" s="98">
        <v>180</v>
      </c>
      <c r="H63" s="88">
        <v>159622</v>
      </c>
      <c r="I63" s="88">
        <v>154466.21</v>
      </c>
      <c r="J63" s="88">
        <v>27803918</v>
      </c>
      <c r="K63" s="133">
        <f t="shared" si="0"/>
        <v>-5155.7900000000081</v>
      </c>
      <c r="L63" s="134">
        <f t="shared" si="1"/>
        <v>0.96770000375888032</v>
      </c>
      <c r="M63" s="182"/>
      <c r="N63" s="182" t="str">
        <f t="shared" si="2"/>
        <v>OK</v>
      </c>
    </row>
    <row r="64" spans="1:14" ht="60.75" customHeight="1">
      <c r="A64" s="310" t="s">
        <v>183</v>
      </c>
      <c r="B64" s="310"/>
      <c r="C64" s="303" t="s">
        <v>184</v>
      </c>
      <c r="D64" s="303"/>
      <c r="E64" s="303"/>
      <c r="F64" s="97" t="s">
        <v>95</v>
      </c>
      <c r="G64" s="98">
        <v>220</v>
      </c>
      <c r="H64" s="88">
        <v>301400</v>
      </c>
      <c r="I64" s="88">
        <v>291664.78000000003</v>
      </c>
      <c r="J64" s="88">
        <v>64166252</v>
      </c>
      <c r="K64" s="133">
        <f t="shared" si="0"/>
        <v>-9735.2199999999721</v>
      </c>
      <c r="L64" s="134">
        <f t="shared" si="1"/>
        <v>0.96770000000000012</v>
      </c>
      <c r="M64" s="182"/>
      <c r="N64" s="182" t="str">
        <f t="shared" si="2"/>
        <v>OK</v>
      </c>
    </row>
    <row r="65" spans="1:14" ht="60.75" customHeight="1">
      <c r="A65" s="310" t="s">
        <v>185</v>
      </c>
      <c r="B65" s="310"/>
      <c r="C65" s="303" t="s">
        <v>186</v>
      </c>
      <c r="D65" s="303"/>
      <c r="E65" s="303"/>
      <c r="F65" s="97" t="s">
        <v>113</v>
      </c>
      <c r="G65" s="98">
        <v>2</v>
      </c>
      <c r="H65" s="88">
        <v>3554535</v>
      </c>
      <c r="I65" s="88">
        <v>3439723.52</v>
      </c>
      <c r="J65" s="88">
        <v>6879447</v>
      </c>
      <c r="K65" s="133">
        <f t="shared" si="0"/>
        <v>-114811.47999999998</v>
      </c>
      <c r="L65" s="134">
        <f t="shared" si="1"/>
        <v>0.96770000014066537</v>
      </c>
      <c r="M65" s="182"/>
      <c r="N65" s="182" t="str">
        <f t="shared" si="2"/>
        <v>OK</v>
      </c>
    </row>
    <row r="66" spans="1:14" ht="60.75" customHeight="1">
      <c r="A66" s="310" t="s">
        <v>187</v>
      </c>
      <c r="B66" s="310"/>
      <c r="C66" s="303" t="s">
        <v>188</v>
      </c>
      <c r="D66" s="303"/>
      <c r="E66" s="303"/>
      <c r="F66" s="97" t="s">
        <v>98</v>
      </c>
      <c r="G66" s="98">
        <v>300</v>
      </c>
      <c r="H66" s="88">
        <v>853000</v>
      </c>
      <c r="I66" s="88">
        <v>825448.1</v>
      </c>
      <c r="J66" s="88">
        <v>247634430</v>
      </c>
      <c r="K66" s="133">
        <f t="shared" si="0"/>
        <v>-27551.900000000023</v>
      </c>
      <c r="L66" s="134">
        <f t="shared" si="1"/>
        <v>0.9677</v>
      </c>
      <c r="M66" s="182"/>
      <c r="N66" s="182" t="str">
        <f t="shared" si="2"/>
        <v>OK</v>
      </c>
    </row>
    <row r="67" spans="1:14" ht="60.75" customHeight="1">
      <c r="A67" s="310" t="s">
        <v>189</v>
      </c>
      <c r="B67" s="310"/>
      <c r="C67" s="303" t="s">
        <v>190</v>
      </c>
      <c r="D67" s="303"/>
      <c r="E67" s="303"/>
      <c r="F67" s="97" t="s">
        <v>98</v>
      </c>
      <c r="G67" s="98">
        <v>30</v>
      </c>
      <c r="H67" s="88">
        <v>879613</v>
      </c>
      <c r="I67" s="88">
        <v>851201.5</v>
      </c>
      <c r="J67" s="88">
        <v>25536045</v>
      </c>
      <c r="K67" s="133">
        <f t="shared" si="0"/>
        <v>-28411.5</v>
      </c>
      <c r="L67" s="134">
        <f t="shared" si="1"/>
        <v>0.96769999988631361</v>
      </c>
      <c r="M67" s="182"/>
      <c r="N67" s="182" t="str">
        <f t="shared" si="2"/>
        <v>OK</v>
      </c>
    </row>
    <row r="68" spans="1:14" ht="60.75" customHeight="1">
      <c r="A68" s="310" t="s">
        <v>191</v>
      </c>
      <c r="B68" s="310"/>
      <c r="C68" s="303" t="s">
        <v>192</v>
      </c>
      <c r="D68" s="303"/>
      <c r="E68" s="303"/>
      <c r="F68" s="97" t="s">
        <v>95</v>
      </c>
      <c r="G68" s="98">
        <v>60</v>
      </c>
      <c r="H68" s="88">
        <v>87418</v>
      </c>
      <c r="I68" s="88">
        <v>84594.4</v>
      </c>
      <c r="J68" s="88">
        <v>5075664</v>
      </c>
      <c r="K68" s="133">
        <f t="shared" si="0"/>
        <v>-2823.6000000000058</v>
      </c>
      <c r="L68" s="134">
        <f t="shared" si="1"/>
        <v>0.96770001601500832</v>
      </c>
      <c r="M68" s="182"/>
      <c r="N68" s="182" t="str">
        <f t="shared" si="2"/>
        <v>OK</v>
      </c>
    </row>
    <row r="69" spans="1:14" ht="60.75" customHeight="1">
      <c r="A69" s="310" t="s">
        <v>193</v>
      </c>
      <c r="B69" s="310"/>
      <c r="C69" s="303" t="s">
        <v>194</v>
      </c>
      <c r="D69" s="303"/>
      <c r="E69" s="303"/>
      <c r="F69" s="97" t="s">
        <v>113</v>
      </c>
      <c r="G69" s="98">
        <v>41</v>
      </c>
      <c r="H69" s="88">
        <v>142900</v>
      </c>
      <c r="I69" s="88">
        <v>138284.32999999999</v>
      </c>
      <c r="J69" s="88">
        <v>5669658</v>
      </c>
      <c r="K69" s="133">
        <f t="shared" si="0"/>
        <v>-4615.6700000000128</v>
      </c>
      <c r="L69" s="134">
        <f t="shared" si="1"/>
        <v>0.96769999999999989</v>
      </c>
      <c r="M69" s="182"/>
      <c r="N69" s="182" t="str">
        <f t="shared" si="2"/>
        <v>OK</v>
      </c>
    </row>
    <row r="70" spans="1:14" ht="60.75" customHeight="1">
      <c r="A70" s="310" t="s">
        <v>195</v>
      </c>
      <c r="B70" s="310"/>
      <c r="C70" s="303" t="s">
        <v>196</v>
      </c>
      <c r="D70" s="303"/>
      <c r="E70" s="303"/>
      <c r="F70" s="97" t="s">
        <v>113</v>
      </c>
      <c r="G70" s="98">
        <v>1</v>
      </c>
      <c r="H70" s="88">
        <v>1176585</v>
      </c>
      <c r="I70" s="88">
        <v>1138581.3</v>
      </c>
      <c r="J70" s="88">
        <v>1138581</v>
      </c>
      <c r="K70" s="133">
        <f t="shared" si="0"/>
        <v>-38003.699999999953</v>
      </c>
      <c r="L70" s="134">
        <f t="shared" si="1"/>
        <v>0.96769999617537195</v>
      </c>
      <c r="M70" s="182"/>
      <c r="N70" s="182" t="str">
        <f t="shared" si="2"/>
        <v>OK</v>
      </c>
    </row>
    <row r="71" spans="1:14" ht="60.75" customHeight="1">
      <c r="A71" s="310" t="s">
        <v>197</v>
      </c>
      <c r="B71" s="310"/>
      <c r="C71" s="303" t="s">
        <v>198</v>
      </c>
      <c r="D71" s="303"/>
      <c r="E71" s="303"/>
      <c r="F71" s="97" t="s">
        <v>98</v>
      </c>
      <c r="G71" s="98">
        <v>1000</v>
      </c>
      <c r="H71" s="88">
        <v>38208</v>
      </c>
      <c r="I71" s="88">
        <v>36973.879999999997</v>
      </c>
      <c r="J71" s="88">
        <v>36973882</v>
      </c>
      <c r="K71" s="133">
        <f t="shared" si="0"/>
        <v>-1234.1200000000026</v>
      </c>
      <c r="L71" s="134">
        <f t="shared" si="1"/>
        <v>0.96769995812395304</v>
      </c>
      <c r="M71" s="182"/>
      <c r="N71" s="182" t="str">
        <f t="shared" si="2"/>
        <v>OK</v>
      </c>
    </row>
    <row r="72" spans="1:14" ht="60.75" customHeight="1">
      <c r="A72" s="310" t="s">
        <v>199</v>
      </c>
      <c r="B72" s="310"/>
      <c r="C72" s="303" t="s">
        <v>200</v>
      </c>
      <c r="D72" s="303"/>
      <c r="E72" s="303"/>
      <c r="F72" s="97" t="s">
        <v>98</v>
      </c>
      <c r="G72" s="98">
        <v>230.61</v>
      </c>
      <c r="H72" s="88">
        <v>41123</v>
      </c>
      <c r="I72" s="88">
        <v>39794.730000000003</v>
      </c>
      <c r="J72" s="88">
        <v>9177062</v>
      </c>
      <c r="K72" s="133">
        <f t="shared" si="0"/>
        <v>-1328.2699999999968</v>
      </c>
      <c r="L72" s="134">
        <f t="shared" si="1"/>
        <v>0.96770007052014695</v>
      </c>
      <c r="M72" s="182"/>
      <c r="N72" s="182" t="str">
        <f t="shared" si="2"/>
        <v>OK</v>
      </c>
    </row>
    <row r="73" spans="1:14" ht="60.75" customHeight="1">
      <c r="A73" s="311" t="s">
        <v>201</v>
      </c>
      <c r="B73" s="312"/>
      <c r="C73" s="312"/>
      <c r="D73" s="312"/>
      <c r="E73" s="312"/>
      <c r="F73" s="312"/>
      <c r="G73" s="312"/>
      <c r="H73" s="312"/>
      <c r="I73" s="313"/>
      <c r="J73" s="99">
        <f>SUM(J40:J72)</f>
        <v>1205709710</v>
      </c>
      <c r="K73" s="133">
        <f t="shared" si="0"/>
        <v>0</v>
      </c>
      <c r="L73" s="134" t="e">
        <f t="shared" si="1"/>
        <v>#DIV/0!</v>
      </c>
      <c r="M73" s="182"/>
      <c r="N73" s="182" t="str">
        <f t="shared" si="2"/>
        <v xml:space="preserve"> </v>
      </c>
    </row>
    <row r="74" spans="1:14" ht="60.75" customHeight="1">
      <c r="A74" s="302" t="s">
        <v>202</v>
      </c>
      <c r="B74" s="302"/>
      <c r="C74" s="303" t="s">
        <v>203</v>
      </c>
      <c r="D74" s="303"/>
      <c r="E74" s="303"/>
      <c r="F74" s="97" t="s">
        <v>98</v>
      </c>
      <c r="G74" s="98">
        <v>450</v>
      </c>
      <c r="H74" s="88">
        <v>194913</v>
      </c>
      <c r="I74" s="88">
        <v>188617.31</v>
      </c>
      <c r="J74" s="88">
        <v>84877790</v>
      </c>
      <c r="K74" s="133">
        <f t="shared" si="0"/>
        <v>-6295.6900000000023</v>
      </c>
      <c r="L74" s="134">
        <f t="shared" si="1"/>
        <v>0.96769999948695062</v>
      </c>
      <c r="M74" s="182"/>
      <c r="N74" s="182" t="str">
        <f t="shared" si="2"/>
        <v>OK</v>
      </c>
    </row>
    <row r="75" spans="1:14" ht="60.75" customHeight="1">
      <c r="A75" s="302" t="s">
        <v>197</v>
      </c>
      <c r="B75" s="302"/>
      <c r="C75" s="303" t="s">
        <v>204</v>
      </c>
      <c r="D75" s="303"/>
      <c r="E75" s="303"/>
      <c r="F75" s="97" t="s">
        <v>113</v>
      </c>
      <c r="G75" s="98">
        <v>2</v>
      </c>
      <c r="H75" s="88">
        <v>3334200</v>
      </c>
      <c r="I75" s="88">
        <v>3226505.34</v>
      </c>
      <c r="J75" s="88">
        <v>6453011</v>
      </c>
      <c r="K75" s="133">
        <f t="shared" si="0"/>
        <v>-107694.66000000015</v>
      </c>
      <c r="L75" s="134">
        <f t="shared" si="1"/>
        <v>0.9677</v>
      </c>
      <c r="M75" s="182"/>
      <c r="N75" s="182" t="str">
        <f t="shared" si="2"/>
        <v>OK</v>
      </c>
    </row>
    <row r="76" spans="1:14" ht="60.75" customHeight="1">
      <c r="A76" s="302" t="s">
        <v>199</v>
      </c>
      <c r="B76" s="302"/>
      <c r="C76" s="303" t="s">
        <v>205</v>
      </c>
      <c r="D76" s="303"/>
      <c r="E76" s="303"/>
      <c r="F76" s="97" t="s">
        <v>113</v>
      </c>
      <c r="G76" s="98">
        <v>12</v>
      </c>
      <c r="H76" s="88">
        <v>858374</v>
      </c>
      <c r="I76" s="88">
        <v>830648.52</v>
      </c>
      <c r="J76" s="88">
        <v>9967782</v>
      </c>
      <c r="K76" s="133">
        <f t="shared" si="0"/>
        <v>-27725.479999999981</v>
      </c>
      <c r="L76" s="134">
        <f t="shared" si="1"/>
        <v>0.96770000023299874</v>
      </c>
      <c r="M76" s="182"/>
      <c r="N76" s="182" t="str">
        <f t="shared" si="2"/>
        <v>OK</v>
      </c>
    </row>
    <row r="77" spans="1:14" ht="60.75" customHeight="1">
      <c r="A77" s="302" t="s">
        <v>206</v>
      </c>
      <c r="B77" s="302"/>
      <c r="C77" s="303" t="s">
        <v>207</v>
      </c>
      <c r="D77" s="303"/>
      <c r="E77" s="303"/>
      <c r="F77" s="97" t="s">
        <v>98</v>
      </c>
      <c r="G77" s="98">
        <v>222.23000000000002</v>
      </c>
      <c r="H77" s="88">
        <v>34663</v>
      </c>
      <c r="I77" s="88">
        <v>33543.39</v>
      </c>
      <c r="J77" s="88">
        <v>7454346</v>
      </c>
      <c r="K77" s="133">
        <f t="shared" si="0"/>
        <v>-1119.6100000000006</v>
      </c>
      <c r="L77" s="134">
        <f t="shared" si="1"/>
        <v>0.96770014136110549</v>
      </c>
      <c r="M77" s="182"/>
      <c r="N77" s="182" t="str">
        <f t="shared" si="2"/>
        <v>OK</v>
      </c>
    </row>
    <row r="78" spans="1:14" ht="60.75" customHeight="1">
      <c r="A78" s="307" t="s">
        <v>208</v>
      </c>
      <c r="B78" s="308"/>
      <c r="C78" s="308"/>
      <c r="D78" s="308"/>
      <c r="E78" s="308"/>
      <c r="F78" s="308"/>
      <c r="G78" s="308"/>
      <c r="H78" s="308"/>
      <c r="I78" s="309"/>
      <c r="J78" s="100">
        <f>SUM(J74:J77)</f>
        <v>108752929</v>
      </c>
      <c r="K78" s="133">
        <f t="shared" si="0"/>
        <v>0</v>
      </c>
      <c r="L78" s="134" t="e">
        <f t="shared" si="1"/>
        <v>#DIV/0!</v>
      </c>
      <c r="M78" s="182"/>
      <c r="N78" s="182" t="str">
        <f t="shared" si="2"/>
        <v xml:space="preserve"> </v>
      </c>
    </row>
    <row r="79" spans="1:14" ht="60.75" customHeight="1">
      <c r="A79" s="302" t="s">
        <v>93</v>
      </c>
      <c r="B79" s="302"/>
      <c r="C79" s="303" t="s">
        <v>143</v>
      </c>
      <c r="D79" s="303"/>
      <c r="E79" s="303"/>
      <c r="F79" s="97" t="s">
        <v>98</v>
      </c>
      <c r="G79" s="98">
        <v>161.58000000000001</v>
      </c>
      <c r="H79" s="88">
        <v>49033</v>
      </c>
      <c r="I79" s="88">
        <v>47449.23</v>
      </c>
      <c r="J79" s="88">
        <v>7666847</v>
      </c>
      <c r="K79" s="133">
        <f t="shared" si="0"/>
        <v>-1583.7699999999968</v>
      </c>
      <c r="L79" s="134">
        <f t="shared" si="1"/>
        <v>0.96769991638284425</v>
      </c>
      <c r="M79" s="182"/>
      <c r="N79" s="182" t="str">
        <f t="shared" si="2"/>
        <v>OK</v>
      </c>
    </row>
    <row r="80" spans="1:14" ht="60.75" customHeight="1">
      <c r="A80" s="302" t="s">
        <v>96</v>
      </c>
      <c r="B80" s="302"/>
      <c r="C80" s="303" t="s">
        <v>144</v>
      </c>
      <c r="D80" s="303"/>
      <c r="E80" s="303"/>
      <c r="F80" s="97" t="s">
        <v>98</v>
      </c>
      <c r="G80" s="98">
        <v>246.96</v>
      </c>
      <c r="H80" s="88">
        <v>97950</v>
      </c>
      <c r="I80" s="88">
        <v>94786.22</v>
      </c>
      <c r="J80" s="88">
        <v>23408404</v>
      </c>
      <c r="K80" s="133">
        <f t="shared" si="0"/>
        <v>-3163.7799999999988</v>
      </c>
      <c r="L80" s="134">
        <f t="shared" si="1"/>
        <v>0.96770005104645229</v>
      </c>
      <c r="M80" s="182"/>
      <c r="N80" s="182" t="str">
        <f t="shared" si="2"/>
        <v>OK</v>
      </c>
    </row>
    <row r="81" spans="1:14" ht="60.75" customHeight="1">
      <c r="A81" s="302" t="s">
        <v>145</v>
      </c>
      <c r="B81" s="302"/>
      <c r="C81" s="303" t="s">
        <v>209</v>
      </c>
      <c r="D81" s="303"/>
      <c r="E81" s="303"/>
      <c r="F81" s="97" t="s">
        <v>98</v>
      </c>
      <c r="G81" s="98">
        <v>888.84</v>
      </c>
      <c r="H81" s="88">
        <v>36183</v>
      </c>
      <c r="I81" s="88">
        <v>35014.29</v>
      </c>
      <c r="J81" s="88">
        <v>31122101</v>
      </c>
      <c r="K81" s="133">
        <f t="shared" ref="K81:K130" si="3">I81-H81</f>
        <v>-1168.7099999999991</v>
      </c>
      <c r="L81" s="134">
        <f t="shared" ref="L81:L130" si="4">I81/H81</f>
        <v>0.96770002487355944</v>
      </c>
      <c r="M81" s="182"/>
      <c r="N81" s="182" t="str">
        <f t="shared" ref="N81:N130" si="5">+IF(I81&lt;H81,"OK",IF(I81=0," "))</f>
        <v>OK</v>
      </c>
    </row>
    <row r="82" spans="1:14" ht="60.75" customHeight="1">
      <c r="A82" s="302" t="s">
        <v>146</v>
      </c>
      <c r="B82" s="302"/>
      <c r="C82" s="303" t="s">
        <v>147</v>
      </c>
      <c r="D82" s="303"/>
      <c r="E82" s="303"/>
      <c r="F82" s="97" t="s">
        <v>148</v>
      </c>
      <c r="G82" s="98">
        <v>1</v>
      </c>
      <c r="H82" s="88">
        <v>6960160</v>
      </c>
      <c r="I82" s="88">
        <v>6735346.8300000001</v>
      </c>
      <c r="J82" s="88">
        <v>6735347</v>
      </c>
      <c r="K82" s="133">
        <f t="shared" si="3"/>
        <v>-224813.16999999993</v>
      </c>
      <c r="L82" s="134">
        <f t="shared" si="4"/>
        <v>0.96769999971265031</v>
      </c>
      <c r="M82" s="182"/>
      <c r="N82" s="182" t="str">
        <f t="shared" si="5"/>
        <v>OK</v>
      </c>
    </row>
    <row r="83" spans="1:14" ht="60.75" customHeight="1">
      <c r="A83" s="302" t="s">
        <v>149</v>
      </c>
      <c r="B83" s="302"/>
      <c r="C83" s="303" t="s">
        <v>210</v>
      </c>
      <c r="D83" s="303"/>
      <c r="E83" s="303"/>
      <c r="F83" s="97" t="s">
        <v>113</v>
      </c>
      <c r="G83" s="98">
        <v>150</v>
      </c>
      <c r="H83" s="88">
        <v>96339</v>
      </c>
      <c r="I83" s="88">
        <v>93227.25</v>
      </c>
      <c r="J83" s="88">
        <v>13984088</v>
      </c>
      <c r="K83" s="133">
        <f t="shared" si="3"/>
        <v>-3111.75</v>
      </c>
      <c r="L83" s="134">
        <f t="shared" si="4"/>
        <v>0.96769999688599628</v>
      </c>
      <c r="M83" s="182"/>
      <c r="N83" s="182" t="str">
        <f t="shared" si="5"/>
        <v>OK</v>
      </c>
    </row>
    <row r="84" spans="1:14" ht="60.75" customHeight="1">
      <c r="A84" s="302" t="s">
        <v>151</v>
      </c>
      <c r="B84" s="302"/>
      <c r="C84" s="303" t="s">
        <v>211</v>
      </c>
      <c r="D84" s="303"/>
      <c r="E84" s="303"/>
      <c r="F84" s="97" t="s">
        <v>98</v>
      </c>
      <c r="G84" s="98">
        <v>37.5</v>
      </c>
      <c r="H84" s="88">
        <v>95199</v>
      </c>
      <c r="I84" s="88">
        <v>92124.07</v>
      </c>
      <c r="J84" s="88">
        <v>3454653</v>
      </c>
      <c r="K84" s="133">
        <f t="shared" si="3"/>
        <v>-3074.929999999993</v>
      </c>
      <c r="L84" s="134">
        <f t="shared" si="4"/>
        <v>0.96769997584008238</v>
      </c>
      <c r="M84" s="182"/>
      <c r="N84" s="182" t="str">
        <f t="shared" si="5"/>
        <v>OK</v>
      </c>
    </row>
    <row r="85" spans="1:14" ht="60.75" customHeight="1">
      <c r="A85" s="302" t="s">
        <v>99</v>
      </c>
      <c r="B85" s="302"/>
      <c r="C85" s="303" t="s">
        <v>153</v>
      </c>
      <c r="D85" s="303"/>
      <c r="E85" s="303"/>
      <c r="F85" s="97" t="s">
        <v>95</v>
      </c>
      <c r="G85" s="98">
        <v>121</v>
      </c>
      <c r="H85" s="88">
        <v>203925</v>
      </c>
      <c r="I85" s="88">
        <v>197338.22</v>
      </c>
      <c r="J85" s="88">
        <v>23877925</v>
      </c>
      <c r="K85" s="133">
        <f t="shared" si="3"/>
        <v>-6586.7799999999988</v>
      </c>
      <c r="L85" s="134">
        <f t="shared" si="4"/>
        <v>0.96769998774059096</v>
      </c>
      <c r="M85" s="182"/>
      <c r="N85" s="182" t="str">
        <f t="shared" si="5"/>
        <v>OK</v>
      </c>
    </row>
    <row r="86" spans="1:14" ht="60.75" customHeight="1">
      <c r="A86" s="302" t="s">
        <v>101</v>
      </c>
      <c r="B86" s="302"/>
      <c r="C86" s="303" t="s">
        <v>154</v>
      </c>
      <c r="D86" s="303"/>
      <c r="E86" s="303"/>
      <c r="F86" s="97" t="s">
        <v>95</v>
      </c>
      <c r="G86" s="98">
        <v>145</v>
      </c>
      <c r="H86" s="88">
        <v>186288</v>
      </c>
      <c r="I86" s="88">
        <v>180270.9</v>
      </c>
      <c r="J86" s="88">
        <v>26139280</v>
      </c>
      <c r="K86" s="133">
        <f t="shared" si="3"/>
        <v>-6017.1000000000058</v>
      </c>
      <c r="L86" s="134">
        <f t="shared" si="4"/>
        <v>0.96770001288327745</v>
      </c>
      <c r="M86" s="182"/>
      <c r="N86" s="182" t="str">
        <f t="shared" si="5"/>
        <v>OK</v>
      </c>
    </row>
    <row r="87" spans="1:14" ht="60.75" customHeight="1">
      <c r="A87" s="302" t="s">
        <v>103</v>
      </c>
      <c r="B87" s="302"/>
      <c r="C87" s="303" t="s">
        <v>212</v>
      </c>
      <c r="D87" s="303"/>
      <c r="E87" s="303"/>
      <c r="F87" s="97" t="s">
        <v>98</v>
      </c>
      <c r="G87" s="98">
        <v>40</v>
      </c>
      <c r="H87" s="88">
        <v>240790</v>
      </c>
      <c r="I87" s="88">
        <v>233012.48000000001</v>
      </c>
      <c r="J87" s="88">
        <v>9320499</v>
      </c>
      <c r="K87" s="133">
        <f t="shared" si="3"/>
        <v>-7777.5199999999895</v>
      </c>
      <c r="L87" s="134">
        <f t="shared" si="4"/>
        <v>0.96769998754101083</v>
      </c>
      <c r="M87" s="182"/>
      <c r="N87" s="182" t="str">
        <f t="shared" si="5"/>
        <v>OK</v>
      </c>
    </row>
    <row r="88" spans="1:14" ht="60.75" customHeight="1">
      <c r="A88" s="302" t="s">
        <v>116</v>
      </c>
      <c r="B88" s="302"/>
      <c r="C88" s="303" t="s">
        <v>213</v>
      </c>
      <c r="D88" s="303"/>
      <c r="E88" s="303"/>
      <c r="F88" s="97" t="s">
        <v>98</v>
      </c>
      <c r="G88" s="98">
        <v>5</v>
      </c>
      <c r="H88" s="88">
        <v>161174</v>
      </c>
      <c r="I88" s="88">
        <v>155968.07999999999</v>
      </c>
      <c r="J88" s="88">
        <v>779840</v>
      </c>
      <c r="K88" s="133">
        <f t="shared" si="3"/>
        <v>-5205.9200000000128</v>
      </c>
      <c r="L88" s="134">
        <f t="shared" si="4"/>
        <v>0.96770000124089484</v>
      </c>
      <c r="M88" s="182"/>
      <c r="N88" s="182" t="str">
        <f t="shared" si="5"/>
        <v>OK</v>
      </c>
    </row>
    <row r="89" spans="1:14" ht="60.75" customHeight="1">
      <c r="A89" s="302" t="s">
        <v>124</v>
      </c>
      <c r="B89" s="302"/>
      <c r="C89" s="303" t="s">
        <v>214</v>
      </c>
      <c r="D89" s="303"/>
      <c r="E89" s="303"/>
      <c r="F89" s="97" t="s">
        <v>98</v>
      </c>
      <c r="G89" s="98">
        <v>888.84</v>
      </c>
      <c r="H89" s="88">
        <v>116086</v>
      </c>
      <c r="I89" s="88">
        <v>112336.42</v>
      </c>
      <c r="J89" s="88">
        <v>99849106</v>
      </c>
      <c r="K89" s="133">
        <f t="shared" si="3"/>
        <v>-3749.5800000000017</v>
      </c>
      <c r="L89" s="134">
        <f t="shared" si="4"/>
        <v>0.96769998104853294</v>
      </c>
      <c r="M89" s="182"/>
      <c r="N89" s="182" t="str">
        <f t="shared" si="5"/>
        <v>OK</v>
      </c>
    </row>
    <row r="90" spans="1:14" ht="60.75" customHeight="1">
      <c r="A90" s="302" t="s">
        <v>136</v>
      </c>
      <c r="B90" s="302"/>
      <c r="C90" s="303" t="s">
        <v>215</v>
      </c>
      <c r="D90" s="303"/>
      <c r="E90" s="303"/>
      <c r="F90" s="97" t="s">
        <v>98</v>
      </c>
      <c r="G90" s="98">
        <v>888.84</v>
      </c>
      <c r="H90" s="88">
        <v>194913</v>
      </c>
      <c r="I90" s="88">
        <v>188617.31</v>
      </c>
      <c r="J90" s="88">
        <v>167650610</v>
      </c>
      <c r="K90" s="133">
        <f t="shared" si="3"/>
        <v>-6295.6900000000023</v>
      </c>
      <c r="L90" s="134">
        <f t="shared" si="4"/>
        <v>0.96769999948695062</v>
      </c>
      <c r="M90" s="182"/>
      <c r="N90" s="182" t="str">
        <f t="shared" si="5"/>
        <v>OK</v>
      </c>
    </row>
    <row r="91" spans="1:14" ht="60.75" customHeight="1">
      <c r="A91" s="302" t="s">
        <v>140</v>
      </c>
      <c r="B91" s="302"/>
      <c r="C91" s="303" t="s">
        <v>159</v>
      </c>
      <c r="D91" s="303"/>
      <c r="E91" s="303"/>
      <c r="F91" s="97" t="s">
        <v>95</v>
      </c>
      <c r="G91" s="98">
        <v>1800</v>
      </c>
      <c r="H91" s="88">
        <v>20382</v>
      </c>
      <c r="I91" s="88">
        <v>19723.66</v>
      </c>
      <c r="J91" s="88">
        <v>35502591</v>
      </c>
      <c r="K91" s="133">
        <f t="shared" si="3"/>
        <v>-658.34000000000015</v>
      </c>
      <c r="L91" s="134">
        <f t="shared" si="4"/>
        <v>0.96769993131194187</v>
      </c>
      <c r="M91" s="182"/>
      <c r="N91" s="182" t="str">
        <f t="shared" si="5"/>
        <v>OK</v>
      </c>
    </row>
    <row r="92" spans="1:14" ht="60.75" customHeight="1">
      <c r="A92" s="302" t="s">
        <v>160</v>
      </c>
      <c r="B92" s="302"/>
      <c r="C92" s="303" t="s">
        <v>161</v>
      </c>
      <c r="D92" s="303"/>
      <c r="E92" s="303"/>
      <c r="F92" s="97" t="s">
        <v>95</v>
      </c>
      <c r="G92" s="98">
        <v>50</v>
      </c>
      <c r="H92" s="88">
        <v>226317</v>
      </c>
      <c r="I92" s="88">
        <v>219006.96</v>
      </c>
      <c r="J92" s="88">
        <v>10950348</v>
      </c>
      <c r="K92" s="133">
        <f t="shared" si="3"/>
        <v>-7310.0400000000081</v>
      </c>
      <c r="L92" s="134">
        <f t="shared" si="4"/>
        <v>0.96769999602327705</v>
      </c>
      <c r="M92" s="182"/>
      <c r="N92" s="182" t="str">
        <f t="shared" si="5"/>
        <v>OK</v>
      </c>
    </row>
    <row r="93" spans="1:14" ht="60.75" customHeight="1">
      <c r="A93" s="302" t="s">
        <v>162</v>
      </c>
      <c r="B93" s="302"/>
      <c r="C93" s="303" t="s">
        <v>216</v>
      </c>
      <c r="D93" s="303"/>
      <c r="E93" s="303"/>
      <c r="F93" s="97" t="s">
        <v>113</v>
      </c>
      <c r="G93" s="98">
        <v>180</v>
      </c>
      <c r="H93" s="88">
        <v>151650</v>
      </c>
      <c r="I93" s="88">
        <v>146751.71</v>
      </c>
      <c r="J93" s="88">
        <v>26415307</v>
      </c>
      <c r="K93" s="133">
        <f t="shared" si="3"/>
        <v>-4898.2900000000081</v>
      </c>
      <c r="L93" s="134">
        <f t="shared" si="4"/>
        <v>0.9677000329706561</v>
      </c>
      <c r="M93" s="182"/>
      <c r="N93" s="182" t="str">
        <f t="shared" si="5"/>
        <v>OK</v>
      </c>
    </row>
    <row r="94" spans="1:14" ht="60.75" customHeight="1">
      <c r="A94" s="302" t="s">
        <v>164</v>
      </c>
      <c r="B94" s="302"/>
      <c r="C94" s="303" t="s">
        <v>217</v>
      </c>
      <c r="D94" s="303"/>
      <c r="E94" s="303"/>
      <c r="F94" s="97" t="s">
        <v>113</v>
      </c>
      <c r="G94" s="98">
        <v>60</v>
      </c>
      <c r="H94" s="88">
        <v>170847</v>
      </c>
      <c r="I94" s="88">
        <v>165328.64000000001</v>
      </c>
      <c r="J94" s="88">
        <v>9919719</v>
      </c>
      <c r="K94" s="133">
        <f t="shared" si="3"/>
        <v>-5518.359999999986</v>
      </c>
      <c r="L94" s="134">
        <f t="shared" si="4"/>
        <v>0.9676999888789386</v>
      </c>
      <c r="M94" s="182"/>
      <c r="N94" s="182" t="str">
        <f t="shared" si="5"/>
        <v>OK</v>
      </c>
    </row>
    <row r="95" spans="1:14" ht="60.75" customHeight="1">
      <c r="A95" s="302" t="s">
        <v>166</v>
      </c>
      <c r="B95" s="302"/>
      <c r="C95" s="303" t="s">
        <v>218</v>
      </c>
      <c r="D95" s="303"/>
      <c r="E95" s="303"/>
      <c r="F95" s="97" t="s">
        <v>113</v>
      </c>
      <c r="G95" s="98">
        <v>42</v>
      </c>
      <c r="H95" s="88">
        <v>308438</v>
      </c>
      <c r="I95" s="88">
        <v>298475.45</v>
      </c>
      <c r="J95" s="88">
        <v>12535969</v>
      </c>
      <c r="K95" s="133">
        <f t="shared" si="3"/>
        <v>-9962.5499999999884</v>
      </c>
      <c r="L95" s="134">
        <f t="shared" si="4"/>
        <v>0.96769999157042907</v>
      </c>
      <c r="M95" s="182"/>
      <c r="N95" s="182" t="str">
        <f t="shared" si="5"/>
        <v>OK</v>
      </c>
    </row>
    <row r="96" spans="1:14" ht="60.75" customHeight="1">
      <c r="A96" s="302" t="s">
        <v>168</v>
      </c>
      <c r="B96" s="302"/>
      <c r="C96" s="303" t="s">
        <v>219</v>
      </c>
      <c r="D96" s="303"/>
      <c r="E96" s="303"/>
      <c r="F96" s="97" t="s">
        <v>113</v>
      </c>
      <c r="G96" s="98">
        <v>88</v>
      </c>
      <c r="H96" s="88">
        <v>106167</v>
      </c>
      <c r="I96" s="88">
        <v>102737.81</v>
      </c>
      <c r="J96" s="88">
        <v>9040927</v>
      </c>
      <c r="K96" s="133">
        <f t="shared" si="3"/>
        <v>-3429.1900000000023</v>
      </c>
      <c r="L96" s="134">
        <f t="shared" si="4"/>
        <v>0.96770003861840304</v>
      </c>
      <c r="M96" s="182"/>
      <c r="N96" s="182" t="str">
        <f t="shared" si="5"/>
        <v>OK</v>
      </c>
    </row>
    <row r="97" spans="1:14" ht="60.75" customHeight="1">
      <c r="A97" s="302" t="s">
        <v>220</v>
      </c>
      <c r="B97" s="302"/>
      <c r="C97" s="303" t="s">
        <v>169</v>
      </c>
      <c r="D97" s="303"/>
      <c r="E97" s="303"/>
      <c r="F97" s="97" t="s">
        <v>113</v>
      </c>
      <c r="G97" s="98">
        <v>22</v>
      </c>
      <c r="H97" s="88">
        <v>215408</v>
      </c>
      <c r="I97" s="88">
        <v>208450.32</v>
      </c>
      <c r="J97" s="88">
        <v>4585907</v>
      </c>
      <c r="K97" s="133">
        <f t="shared" si="3"/>
        <v>-6957.679999999993</v>
      </c>
      <c r="L97" s="134">
        <f t="shared" si="4"/>
        <v>0.96769999257223505</v>
      </c>
      <c r="M97" s="182"/>
      <c r="N97" s="182" t="str">
        <f t="shared" si="5"/>
        <v>OK</v>
      </c>
    </row>
    <row r="98" spans="1:14" ht="60.75" customHeight="1">
      <c r="A98" s="302" t="s">
        <v>172</v>
      </c>
      <c r="B98" s="302"/>
      <c r="C98" s="303" t="s">
        <v>173</v>
      </c>
      <c r="D98" s="303"/>
      <c r="E98" s="303"/>
      <c r="F98" s="97" t="s">
        <v>113</v>
      </c>
      <c r="G98" s="98">
        <v>14</v>
      </c>
      <c r="H98" s="88">
        <v>226550</v>
      </c>
      <c r="I98" s="88">
        <v>219232.44</v>
      </c>
      <c r="J98" s="88">
        <v>3069254</v>
      </c>
      <c r="K98" s="133">
        <f t="shared" si="3"/>
        <v>-7317.5599999999977</v>
      </c>
      <c r="L98" s="134">
        <f t="shared" si="4"/>
        <v>0.96770002207018324</v>
      </c>
      <c r="M98" s="182"/>
      <c r="N98" s="182" t="str">
        <f t="shared" si="5"/>
        <v>OK</v>
      </c>
    </row>
    <row r="99" spans="1:14" ht="60.75" customHeight="1">
      <c r="A99" s="302" t="s">
        <v>174</v>
      </c>
      <c r="B99" s="302"/>
      <c r="C99" s="303" t="s">
        <v>221</v>
      </c>
      <c r="D99" s="303"/>
      <c r="E99" s="303"/>
      <c r="F99" s="97" t="s">
        <v>113</v>
      </c>
      <c r="G99" s="98">
        <v>11</v>
      </c>
      <c r="H99" s="88">
        <v>203875</v>
      </c>
      <c r="I99" s="88">
        <v>197289.84</v>
      </c>
      <c r="J99" s="88">
        <v>2170188</v>
      </c>
      <c r="K99" s="133">
        <f t="shared" si="3"/>
        <v>-6585.1600000000035</v>
      </c>
      <c r="L99" s="134">
        <f t="shared" si="4"/>
        <v>0.96770001226241564</v>
      </c>
      <c r="M99" s="182"/>
      <c r="N99" s="182" t="str">
        <f t="shared" si="5"/>
        <v>OK</v>
      </c>
    </row>
    <row r="100" spans="1:14" ht="60.75" customHeight="1">
      <c r="A100" s="302" t="s">
        <v>176</v>
      </c>
      <c r="B100" s="302"/>
      <c r="C100" s="303" t="s">
        <v>222</v>
      </c>
      <c r="D100" s="303"/>
      <c r="E100" s="303"/>
      <c r="F100" s="97" t="s">
        <v>113</v>
      </c>
      <c r="G100" s="98">
        <v>23</v>
      </c>
      <c r="H100" s="88">
        <v>178332</v>
      </c>
      <c r="I100" s="88">
        <v>172571.88</v>
      </c>
      <c r="J100" s="88">
        <v>3969153</v>
      </c>
      <c r="K100" s="133">
        <f t="shared" si="3"/>
        <v>-5760.1199999999953</v>
      </c>
      <c r="L100" s="134">
        <f t="shared" si="4"/>
        <v>0.9677000201870668</v>
      </c>
      <c r="M100" s="182"/>
      <c r="N100" s="182" t="str">
        <f t="shared" si="5"/>
        <v>OK</v>
      </c>
    </row>
    <row r="101" spans="1:14" ht="60.75" customHeight="1">
      <c r="A101" s="302" t="s">
        <v>178</v>
      </c>
      <c r="B101" s="302"/>
      <c r="C101" s="303" t="s">
        <v>223</v>
      </c>
      <c r="D101" s="303"/>
      <c r="E101" s="303"/>
      <c r="F101" s="97" t="s">
        <v>95</v>
      </c>
      <c r="G101" s="98">
        <v>150</v>
      </c>
      <c r="H101" s="88">
        <v>16471</v>
      </c>
      <c r="I101" s="88">
        <v>15938.99</v>
      </c>
      <c r="J101" s="88">
        <v>2390848</v>
      </c>
      <c r="K101" s="133">
        <f t="shared" si="3"/>
        <v>-532.01000000000022</v>
      </c>
      <c r="L101" s="134">
        <f t="shared" si="4"/>
        <v>0.967700200352134</v>
      </c>
      <c r="M101" s="182"/>
      <c r="N101" s="182" t="str">
        <f t="shared" si="5"/>
        <v>OK</v>
      </c>
    </row>
    <row r="102" spans="1:14" ht="60.75" customHeight="1">
      <c r="A102" s="302" t="s">
        <v>181</v>
      </c>
      <c r="B102" s="302"/>
      <c r="C102" s="303" t="s">
        <v>224</v>
      </c>
      <c r="D102" s="303"/>
      <c r="E102" s="303"/>
      <c r="F102" s="97" t="s">
        <v>95</v>
      </c>
      <c r="G102" s="98">
        <v>50</v>
      </c>
      <c r="H102" s="88">
        <v>159622</v>
      </c>
      <c r="I102" s="88">
        <v>154466.21</v>
      </c>
      <c r="J102" s="88">
        <v>7723310</v>
      </c>
      <c r="K102" s="133">
        <f t="shared" si="3"/>
        <v>-5155.7900000000081</v>
      </c>
      <c r="L102" s="134">
        <f t="shared" si="4"/>
        <v>0.96770000375888032</v>
      </c>
      <c r="M102" s="182"/>
      <c r="N102" s="182" t="str">
        <f t="shared" si="5"/>
        <v>OK</v>
      </c>
    </row>
    <row r="103" spans="1:14" ht="60.75" customHeight="1">
      <c r="A103" s="302" t="s">
        <v>183</v>
      </c>
      <c r="B103" s="302"/>
      <c r="C103" s="303" t="s">
        <v>225</v>
      </c>
      <c r="D103" s="303"/>
      <c r="E103" s="303"/>
      <c r="F103" s="97" t="s">
        <v>95</v>
      </c>
      <c r="G103" s="98">
        <v>120</v>
      </c>
      <c r="H103" s="88">
        <v>326273</v>
      </c>
      <c r="I103" s="88">
        <v>315734.38</v>
      </c>
      <c r="J103" s="88">
        <v>37888126</v>
      </c>
      <c r="K103" s="133">
        <f t="shared" si="3"/>
        <v>-10538.619999999995</v>
      </c>
      <c r="L103" s="134">
        <f t="shared" si="4"/>
        <v>0.9676999935636722</v>
      </c>
      <c r="M103" s="182"/>
      <c r="N103" s="182" t="str">
        <f t="shared" si="5"/>
        <v>OK</v>
      </c>
    </row>
    <row r="104" spans="1:14" ht="60.75" customHeight="1">
      <c r="A104" s="302" t="s">
        <v>185</v>
      </c>
      <c r="B104" s="302"/>
      <c r="C104" s="303" t="s">
        <v>226</v>
      </c>
      <c r="D104" s="303"/>
      <c r="E104" s="303"/>
      <c r="F104" s="97" t="s">
        <v>113</v>
      </c>
      <c r="G104" s="98">
        <v>1</v>
      </c>
      <c r="H104" s="88">
        <v>3554535</v>
      </c>
      <c r="I104" s="88">
        <v>3439723.52</v>
      </c>
      <c r="J104" s="88">
        <v>3439724</v>
      </c>
      <c r="K104" s="133">
        <f t="shared" si="3"/>
        <v>-114811.47999999998</v>
      </c>
      <c r="L104" s="134">
        <f t="shared" si="4"/>
        <v>0.96770000014066537</v>
      </c>
      <c r="M104" s="182"/>
      <c r="N104" s="182" t="str">
        <f t="shared" si="5"/>
        <v>OK</v>
      </c>
    </row>
    <row r="105" spans="1:14" ht="60.75" customHeight="1">
      <c r="A105" s="302" t="s">
        <v>187</v>
      </c>
      <c r="B105" s="302"/>
      <c r="C105" s="303" t="s">
        <v>227</v>
      </c>
      <c r="D105" s="303"/>
      <c r="E105" s="303"/>
      <c r="F105" s="97" t="s">
        <v>95</v>
      </c>
      <c r="G105" s="98">
        <v>3.22</v>
      </c>
      <c r="H105" s="88">
        <v>1454712</v>
      </c>
      <c r="I105" s="88">
        <v>1407724.8</v>
      </c>
      <c r="J105" s="88">
        <v>4532874</v>
      </c>
      <c r="K105" s="133">
        <f t="shared" si="3"/>
        <v>-46987.199999999953</v>
      </c>
      <c r="L105" s="134">
        <f t="shared" si="4"/>
        <v>0.96769999835018894</v>
      </c>
      <c r="M105" s="182"/>
      <c r="N105" s="182" t="str">
        <f t="shared" si="5"/>
        <v>OK</v>
      </c>
    </row>
    <row r="106" spans="1:14" ht="60.75" customHeight="1">
      <c r="A106" s="302" t="s">
        <v>189</v>
      </c>
      <c r="B106" s="302"/>
      <c r="C106" s="303" t="s">
        <v>228</v>
      </c>
      <c r="D106" s="303"/>
      <c r="E106" s="303"/>
      <c r="F106" s="97" t="s">
        <v>113</v>
      </c>
      <c r="G106" s="98">
        <v>1</v>
      </c>
      <c r="H106" s="88">
        <v>2638957</v>
      </c>
      <c r="I106" s="88">
        <v>2553718.69</v>
      </c>
      <c r="J106" s="88">
        <v>2553719</v>
      </c>
      <c r="K106" s="133">
        <f t="shared" si="3"/>
        <v>-85238.310000000056</v>
      </c>
      <c r="L106" s="134">
        <f t="shared" si="4"/>
        <v>0.96770000041683135</v>
      </c>
      <c r="M106" s="182"/>
      <c r="N106" s="182" t="str">
        <f t="shared" si="5"/>
        <v>OK</v>
      </c>
    </row>
    <row r="107" spans="1:14" ht="60.75" customHeight="1">
      <c r="A107" s="302" t="s">
        <v>195</v>
      </c>
      <c r="B107" s="302"/>
      <c r="C107" s="303" t="s">
        <v>229</v>
      </c>
      <c r="D107" s="303"/>
      <c r="E107" s="303"/>
      <c r="F107" s="97" t="s">
        <v>98</v>
      </c>
      <c r="G107" s="98">
        <v>279.83999999999997</v>
      </c>
      <c r="H107" s="88">
        <v>879575</v>
      </c>
      <c r="I107" s="88">
        <v>851164.73</v>
      </c>
      <c r="J107" s="88">
        <v>238189937</v>
      </c>
      <c r="K107" s="133">
        <f t="shared" si="3"/>
        <v>-28410.270000000019</v>
      </c>
      <c r="L107" s="134">
        <f t="shared" si="4"/>
        <v>0.96770000284228175</v>
      </c>
      <c r="M107" s="182"/>
      <c r="N107" s="182" t="str">
        <f t="shared" si="5"/>
        <v>OK</v>
      </c>
    </row>
    <row r="108" spans="1:14" ht="60.75" customHeight="1">
      <c r="A108" s="302" t="s">
        <v>230</v>
      </c>
      <c r="B108" s="302"/>
      <c r="C108" s="303" t="s">
        <v>231</v>
      </c>
      <c r="D108" s="303"/>
      <c r="E108" s="303"/>
      <c r="F108" s="97" t="s">
        <v>98</v>
      </c>
      <c r="G108" s="98">
        <v>40</v>
      </c>
      <c r="H108" s="88">
        <v>882113</v>
      </c>
      <c r="I108" s="88">
        <v>853620.75</v>
      </c>
      <c r="J108" s="88">
        <v>34144830</v>
      </c>
      <c r="K108" s="133">
        <f t="shared" si="3"/>
        <v>-28492.25</v>
      </c>
      <c r="L108" s="134">
        <f t="shared" si="4"/>
        <v>0.9676999998866358</v>
      </c>
      <c r="M108" s="182"/>
      <c r="N108" s="182" t="str">
        <f t="shared" si="5"/>
        <v>OK</v>
      </c>
    </row>
    <row r="109" spans="1:14" ht="60.75" customHeight="1">
      <c r="A109" s="302" t="s">
        <v>232</v>
      </c>
      <c r="B109" s="302"/>
      <c r="C109" s="303" t="s">
        <v>233</v>
      </c>
      <c r="D109" s="303"/>
      <c r="E109" s="303"/>
      <c r="F109" s="97" t="s">
        <v>98</v>
      </c>
      <c r="G109" s="98">
        <v>8</v>
      </c>
      <c r="H109" s="88">
        <v>1651657</v>
      </c>
      <c r="I109" s="88">
        <v>1598308.48</v>
      </c>
      <c r="J109" s="88">
        <v>12786468</v>
      </c>
      <c r="K109" s="133">
        <f t="shared" si="3"/>
        <v>-53348.520000000019</v>
      </c>
      <c r="L109" s="134">
        <f t="shared" si="4"/>
        <v>0.96770000066599782</v>
      </c>
      <c r="M109" s="182"/>
      <c r="N109" s="182" t="str">
        <f t="shared" si="5"/>
        <v>OK</v>
      </c>
    </row>
    <row r="110" spans="1:14" ht="60.75" customHeight="1">
      <c r="A110" s="302" t="s">
        <v>234</v>
      </c>
      <c r="B110" s="302"/>
      <c r="C110" s="303" t="s">
        <v>235</v>
      </c>
      <c r="D110" s="303"/>
      <c r="E110" s="303"/>
      <c r="F110" s="97" t="s">
        <v>95</v>
      </c>
      <c r="G110" s="98">
        <v>60</v>
      </c>
      <c r="H110" s="88">
        <v>84894</v>
      </c>
      <c r="I110" s="88">
        <v>82151.92</v>
      </c>
      <c r="J110" s="88">
        <v>4929115</v>
      </c>
      <c r="K110" s="133">
        <f t="shared" si="3"/>
        <v>-2742.0800000000017</v>
      </c>
      <c r="L110" s="134">
        <f t="shared" si="4"/>
        <v>0.9676999552382971</v>
      </c>
      <c r="M110" s="182"/>
      <c r="N110" s="182" t="str">
        <f t="shared" si="5"/>
        <v>OK</v>
      </c>
    </row>
    <row r="111" spans="1:14" ht="60.75" customHeight="1">
      <c r="A111" s="302" t="s">
        <v>236</v>
      </c>
      <c r="B111" s="302"/>
      <c r="C111" s="303" t="s">
        <v>237</v>
      </c>
      <c r="D111" s="303"/>
      <c r="E111" s="303"/>
      <c r="F111" s="97" t="s">
        <v>113</v>
      </c>
      <c r="G111" s="98">
        <v>46</v>
      </c>
      <c r="H111" s="88">
        <v>142900</v>
      </c>
      <c r="I111" s="88">
        <v>138284.32999999999</v>
      </c>
      <c r="J111" s="88">
        <v>6361079</v>
      </c>
      <c r="K111" s="133">
        <f t="shared" si="3"/>
        <v>-4615.6700000000128</v>
      </c>
      <c r="L111" s="134">
        <f t="shared" si="4"/>
        <v>0.96769999999999989</v>
      </c>
      <c r="M111" s="182"/>
      <c r="N111" s="182" t="str">
        <f t="shared" si="5"/>
        <v>OK</v>
      </c>
    </row>
    <row r="112" spans="1:14" ht="60.75" customHeight="1">
      <c r="A112" s="302" t="s">
        <v>197</v>
      </c>
      <c r="B112" s="302"/>
      <c r="C112" s="303" t="s">
        <v>238</v>
      </c>
      <c r="D112" s="303"/>
      <c r="E112" s="303"/>
      <c r="F112" s="97" t="s">
        <v>113</v>
      </c>
      <c r="G112" s="98">
        <v>1</v>
      </c>
      <c r="H112" s="88">
        <v>1176585</v>
      </c>
      <c r="I112" s="88">
        <v>1138581.3</v>
      </c>
      <c r="J112" s="88">
        <v>1138581</v>
      </c>
      <c r="K112" s="133">
        <f t="shared" si="3"/>
        <v>-38003.699999999953</v>
      </c>
      <c r="L112" s="134">
        <f t="shared" si="4"/>
        <v>0.96769999617537195</v>
      </c>
      <c r="M112" s="182"/>
      <c r="N112" s="182" t="str">
        <f t="shared" si="5"/>
        <v>OK</v>
      </c>
    </row>
    <row r="113" spans="1:14" ht="60.75" customHeight="1">
      <c r="A113" s="302" t="s">
        <v>199</v>
      </c>
      <c r="B113" s="302"/>
      <c r="C113" s="303" t="s">
        <v>239</v>
      </c>
      <c r="D113" s="303"/>
      <c r="E113" s="303"/>
      <c r="F113" s="97" t="s">
        <v>95</v>
      </c>
      <c r="G113" s="98">
        <v>30</v>
      </c>
      <c r="H113" s="88">
        <v>363800</v>
      </c>
      <c r="I113" s="88">
        <v>352049.26</v>
      </c>
      <c r="J113" s="88">
        <v>10561478</v>
      </c>
      <c r="K113" s="133">
        <f t="shared" si="3"/>
        <v>-11750.739999999991</v>
      </c>
      <c r="L113" s="134">
        <f t="shared" si="4"/>
        <v>0.9677</v>
      </c>
      <c r="M113" s="182"/>
      <c r="N113" s="182" t="str">
        <f t="shared" si="5"/>
        <v>OK</v>
      </c>
    </row>
    <row r="114" spans="1:14" ht="60.75" customHeight="1">
      <c r="A114" s="302" t="s">
        <v>240</v>
      </c>
      <c r="B114" s="302"/>
      <c r="C114" s="303" t="s">
        <v>241</v>
      </c>
      <c r="D114" s="303"/>
      <c r="E114" s="303"/>
      <c r="F114" s="94" t="s">
        <v>98</v>
      </c>
      <c r="G114" s="95">
        <v>509.69</v>
      </c>
      <c r="H114" s="88">
        <v>33664</v>
      </c>
      <c r="I114" s="88">
        <v>32576.65</v>
      </c>
      <c r="J114" s="88">
        <v>16603994</v>
      </c>
      <c r="K114" s="133">
        <f t="shared" si="3"/>
        <v>-1087.3499999999985</v>
      </c>
      <c r="L114" s="134">
        <f t="shared" si="4"/>
        <v>0.96769991682509515</v>
      </c>
      <c r="M114" s="182"/>
      <c r="N114" s="182" t="str">
        <f t="shared" si="5"/>
        <v>OK</v>
      </c>
    </row>
    <row r="115" spans="1:14" ht="60.75" customHeight="1">
      <c r="A115" s="302" t="s">
        <v>242</v>
      </c>
      <c r="B115" s="302"/>
      <c r="C115" s="303" t="s">
        <v>243</v>
      </c>
      <c r="D115" s="303"/>
      <c r="E115" s="303"/>
      <c r="F115" s="94" t="s">
        <v>98</v>
      </c>
      <c r="G115" s="95">
        <v>100</v>
      </c>
      <c r="H115" s="88">
        <v>40123</v>
      </c>
      <c r="I115" s="88">
        <v>38827.03</v>
      </c>
      <c r="J115" s="88">
        <v>3882703</v>
      </c>
      <c r="K115" s="133">
        <f t="shared" si="3"/>
        <v>-1295.9700000000012</v>
      </c>
      <c r="L115" s="134">
        <f t="shared" si="4"/>
        <v>0.9677000722777459</v>
      </c>
      <c r="M115" s="182"/>
      <c r="N115" s="182" t="str">
        <f t="shared" si="5"/>
        <v>OK</v>
      </c>
    </row>
    <row r="116" spans="1:14" ht="60.75" customHeight="1">
      <c r="A116" s="302" t="s">
        <v>244</v>
      </c>
      <c r="B116" s="302"/>
      <c r="C116" s="303" t="s">
        <v>245</v>
      </c>
      <c r="D116" s="303"/>
      <c r="E116" s="303"/>
      <c r="F116" s="94" t="s">
        <v>98</v>
      </c>
      <c r="G116" s="95">
        <v>40</v>
      </c>
      <c r="H116" s="88">
        <v>38208</v>
      </c>
      <c r="I116" s="88">
        <v>36973.879999999997</v>
      </c>
      <c r="J116" s="88">
        <v>1478955</v>
      </c>
      <c r="K116" s="133">
        <f t="shared" si="3"/>
        <v>-1234.1200000000026</v>
      </c>
      <c r="L116" s="134">
        <f t="shared" si="4"/>
        <v>0.96769995812395304</v>
      </c>
      <c r="M116" s="182"/>
      <c r="N116" s="182" t="str">
        <f t="shared" si="5"/>
        <v>OK</v>
      </c>
    </row>
    <row r="117" spans="1:14" ht="60.75" customHeight="1">
      <c r="A117" s="302" t="s">
        <v>246</v>
      </c>
      <c r="B117" s="302"/>
      <c r="C117" s="303" t="s">
        <v>247</v>
      </c>
      <c r="D117" s="303"/>
      <c r="E117" s="303"/>
      <c r="F117" s="94" t="s">
        <v>98</v>
      </c>
      <c r="G117" s="95">
        <v>25</v>
      </c>
      <c r="H117" s="88">
        <v>38208</v>
      </c>
      <c r="I117" s="88">
        <v>36973.879999999997</v>
      </c>
      <c r="J117" s="88">
        <v>924347</v>
      </c>
      <c r="K117" s="133">
        <f t="shared" si="3"/>
        <v>-1234.1200000000026</v>
      </c>
      <c r="L117" s="134">
        <f t="shared" si="4"/>
        <v>0.96769995812395304</v>
      </c>
      <c r="M117" s="182"/>
      <c r="N117" s="182" t="str">
        <f t="shared" si="5"/>
        <v>OK</v>
      </c>
    </row>
    <row r="118" spans="1:14" ht="60.75" customHeight="1">
      <c r="A118" s="304" t="s">
        <v>248</v>
      </c>
      <c r="B118" s="305"/>
      <c r="C118" s="305"/>
      <c r="D118" s="305"/>
      <c r="E118" s="305"/>
      <c r="F118" s="305"/>
      <c r="G118" s="305"/>
      <c r="H118" s="305"/>
      <c r="I118" s="306"/>
      <c r="J118" s="101">
        <f>SUM(J79:J117)</f>
        <v>921678151</v>
      </c>
      <c r="K118" s="133">
        <f t="shared" si="3"/>
        <v>0</v>
      </c>
      <c r="L118" s="134" t="e">
        <f t="shared" si="4"/>
        <v>#DIV/0!</v>
      </c>
      <c r="M118" s="182"/>
      <c r="N118" s="182" t="str">
        <f t="shared" si="5"/>
        <v xml:space="preserve"> </v>
      </c>
    </row>
    <row r="119" spans="1:14" ht="60.75" customHeight="1">
      <c r="A119" s="302" t="s">
        <v>93</v>
      </c>
      <c r="B119" s="302"/>
      <c r="C119" s="303" t="s">
        <v>249</v>
      </c>
      <c r="D119" s="303"/>
      <c r="E119" s="303"/>
      <c r="F119" s="94" t="s">
        <v>98</v>
      </c>
      <c r="G119" s="95">
        <v>860</v>
      </c>
      <c r="H119" s="88">
        <v>38338</v>
      </c>
      <c r="I119" s="88">
        <v>37099.68</v>
      </c>
      <c r="J119" s="88">
        <v>31905727</v>
      </c>
      <c r="K119" s="133">
        <f t="shared" si="3"/>
        <v>-1238.3199999999997</v>
      </c>
      <c r="L119" s="134">
        <f t="shared" si="4"/>
        <v>0.9676999321821691</v>
      </c>
      <c r="M119" s="182"/>
      <c r="N119" s="182" t="str">
        <f t="shared" si="5"/>
        <v>OK</v>
      </c>
    </row>
    <row r="120" spans="1:14" ht="60.75" customHeight="1">
      <c r="A120" s="302" t="s">
        <v>96</v>
      </c>
      <c r="B120" s="302"/>
      <c r="C120" s="303" t="s">
        <v>150</v>
      </c>
      <c r="D120" s="303"/>
      <c r="E120" s="303"/>
      <c r="F120" s="94" t="s">
        <v>113</v>
      </c>
      <c r="G120" s="95">
        <v>180</v>
      </c>
      <c r="H120" s="88">
        <v>96339</v>
      </c>
      <c r="I120" s="88">
        <v>93227.25</v>
      </c>
      <c r="J120" s="88">
        <v>16780905</v>
      </c>
      <c r="K120" s="133">
        <f t="shared" si="3"/>
        <v>-3111.75</v>
      </c>
      <c r="L120" s="134">
        <f t="shared" si="4"/>
        <v>0.96769999688599628</v>
      </c>
      <c r="M120" s="182"/>
      <c r="N120" s="182" t="str">
        <f t="shared" si="5"/>
        <v>OK</v>
      </c>
    </row>
    <row r="121" spans="1:14" ht="60.75" customHeight="1">
      <c r="A121" s="302" t="s">
        <v>145</v>
      </c>
      <c r="B121" s="302"/>
      <c r="C121" s="303" t="s">
        <v>152</v>
      </c>
      <c r="D121" s="303"/>
      <c r="E121" s="303"/>
      <c r="F121" s="94" t="s">
        <v>98</v>
      </c>
      <c r="G121" s="102">
        <v>4</v>
      </c>
      <c r="H121" s="88">
        <v>95199</v>
      </c>
      <c r="I121" s="88">
        <v>92124.07</v>
      </c>
      <c r="J121" s="88">
        <v>368496</v>
      </c>
      <c r="K121" s="133">
        <f t="shared" si="3"/>
        <v>-3074.929999999993</v>
      </c>
      <c r="L121" s="134">
        <f t="shared" si="4"/>
        <v>0.96769997584008238</v>
      </c>
      <c r="M121" s="182"/>
      <c r="N121" s="182" t="str">
        <f t="shared" si="5"/>
        <v>OK</v>
      </c>
    </row>
    <row r="122" spans="1:14" ht="60.75" customHeight="1">
      <c r="A122" s="302" t="s">
        <v>99</v>
      </c>
      <c r="B122" s="302"/>
      <c r="C122" s="303" t="s">
        <v>250</v>
      </c>
      <c r="D122" s="303"/>
      <c r="E122" s="303"/>
      <c r="F122" s="94" t="s">
        <v>98</v>
      </c>
      <c r="G122" s="95">
        <v>860</v>
      </c>
      <c r="H122" s="88">
        <v>130620</v>
      </c>
      <c r="I122" s="88">
        <v>126400.97</v>
      </c>
      <c r="J122" s="88">
        <v>108704838</v>
      </c>
      <c r="K122" s="133">
        <f t="shared" si="3"/>
        <v>-4219.0299999999988</v>
      </c>
      <c r="L122" s="134">
        <f t="shared" si="4"/>
        <v>0.96769996937681824</v>
      </c>
      <c r="M122" s="182"/>
      <c r="N122" s="182" t="str">
        <f t="shared" si="5"/>
        <v>OK</v>
      </c>
    </row>
    <row r="123" spans="1:14" ht="60.75" customHeight="1">
      <c r="A123" s="302" t="s">
        <v>116</v>
      </c>
      <c r="B123" s="302"/>
      <c r="C123" s="303" t="s">
        <v>158</v>
      </c>
      <c r="D123" s="303"/>
      <c r="E123" s="303"/>
      <c r="F123" s="94" t="s">
        <v>98</v>
      </c>
      <c r="G123" s="95">
        <v>860</v>
      </c>
      <c r="H123" s="88">
        <v>194913</v>
      </c>
      <c r="I123" s="88">
        <v>188617.31</v>
      </c>
      <c r="J123" s="88">
        <v>162210887</v>
      </c>
      <c r="K123" s="133">
        <f t="shared" si="3"/>
        <v>-6295.6900000000023</v>
      </c>
      <c r="L123" s="134">
        <f t="shared" si="4"/>
        <v>0.96769999948695062</v>
      </c>
      <c r="M123" s="182"/>
      <c r="N123" s="182" t="str">
        <f t="shared" si="5"/>
        <v>OK</v>
      </c>
    </row>
    <row r="124" spans="1:14" ht="60.75" customHeight="1">
      <c r="A124" s="302" t="s">
        <v>124</v>
      </c>
      <c r="B124" s="302"/>
      <c r="C124" s="303" t="s">
        <v>167</v>
      </c>
      <c r="D124" s="303"/>
      <c r="E124" s="303"/>
      <c r="F124" s="94" t="s">
        <v>113</v>
      </c>
      <c r="G124" s="95">
        <v>20</v>
      </c>
      <c r="H124" s="88">
        <v>319533</v>
      </c>
      <c r="I124" s="88">
        <v>309212.08</v>
      </c>
      <c r="J124" s="88">
        <v>6184242</v>
      </c>
      <c r="K124" s="133">
        <f t="shared" si="3"/>
        <v>-10320.919999999984</v>
      </c>
      <c r="L124" s="134">
        <f t="shared" si="4"/>
        <v>0.96769998716877448</v>
      </c>
      <c r="M124" s="182"/>
      <c r="N124" s="182" t="str">
        <f t="shared" si="5"/>
        <v>OK</v>
      </c>
    </row>
    <row r="125" spans="1:14" ht="60.75" customHeight="1">
      <c r="A125" s="302" t="s">
        <v>126</v>
      </c>
      <c r="B125" s="302"/>
      <c r="C125" s="303" t="s">
        <v>169</v>
      </c>
      <c r="D125" s="303"/>
      <c r="E125" s="303"/>
      <c r="F125" s="94" t="s">
        <v>113</v>
      </c>
      <c r="G125" s="95">
        <v>20</v>
      </c>
      <c r="H125" s="88">
        <v>233891</v>
      </c>
      <c r="I125" s="88">
        <v>226336.32</v>
      </c>
      <c r="J125" s="88">
        <v>4526726</v>
      </c>
      <c r="K125" s="133">
        <f t="shared" si="3"/>
        <v>-7554.679999999993</v>
      </c>
      <c r="L125" s="134">
        <f t="shared" si="4"/>
        <v>0.96769999700715292</v>
      </c>
      <c r="M125" s="182"/>
      <c r="N125" s="182" t="str">
        <f t="shared" si="5"/>
        <v>OK</v>
      </c>
    </row>
    <row r="126" spans="1:14" ht="60.75" customHeight="1">
      <c r="A126" s="302" t="s">
        <v>128</v>
      </c>
      <c r="B126" s="302"/>
      <c r="C126" s="303" t="s">
        <v>251</v>
      </c>
      <c r="D126" s="303"/>
      <c r="E126" s="303"/>
      <c r="F126" s="94" t="s">
        <v>113</v>
      </c>
      <c r="G126" s="95">
        <v>113</v>
      </c>
      <c r="H126" s="88">
        <v>98830</v>
      </c>
      <c r="I126" s="88">
        <v>95637.79</v>
      </c>
      <c r="J126" s="88">
        <v>10807070</v>
      </c>
      <c r="K126" s="133">
        <f t="shared" si="3"/>
        <v>-3192.2100000000064</v>
      </c>
      <c r="L126" s="134">
        <f t="shared" si="4"/>
        <v>0.96769998988161487</v>
      </c>
      <c r="M126" s="182"/>
      <c r="N126" s="182" t="str">
        <f t="shared" si="5"/>
        <v>OK</v>
      </c>
    </row>
    <row r="127" spans="1:14" ht="60.75" customHeight="1">
      <c r="A127" s="302" t="s">
        <v>130</v>
      </c>
      <c r="B127" s="302"/>
      <c r="C127" s="303" t="s">
        <v>173</v>
      </c>
      <c r="D127" s="303"/>
      <c r="E127" s="303"/>
      <c r="F127" s="94" t="s">
        <v>113</v>
      </c>
      <c r="G127" s="95">
        <v>8</v>
      </c>
      <c r="H127" s="88">
        <v>215750</v>
      </c>
      <c r="I127" s="88">
        <v>208781.28</v>
      </c>
      <c r="J127" s="88">
        <v>1670250</v>
      </c>
      <c r="K127" s="133">
        <f t="shared" si="3"/>
        <v>-6968.7200000000012</v>
      </c>
      <c r="L127" s="134">
        <f t="shared" si="4"/>
        <v>0.96770002317497106</v>
      </c>
      <c r="M127" s="182"/>
      <c r="N127" s="182" t="str">
        <f t="shared" si="5"/>
        <v>OK</v>
      </c>
    </row>
    <row r="128" spans="1:14" ht="60.75" customHeight="1">
      <c r="A128" s="302" t="s">
        <v>132</v>
      </c>
      <c r="B128" s="302"/>
      <c r="C128" s="303" t="s">
        <v>175</v>
      </c>
      <c r="D128" s="303"/>
      <c r="E128" s="303"/>
      <c r="F128" s="94" t="s">
        <v>113</v>
      </c>
      <c r="G128" s="95">
        <v>4</v>
      </c>
      <c r="H128" s="88">
        <v>200830</v>
      </c>
      <c r="I128" s="88">
        <v>194343.19</v>
      </c>
      <c r="J128" s="88">
        <v>777373</v>
      </c>
      <c r="K128" s="133">
        <f t="shared" si="3"/>
        <v>-6486.8099999999977</v>
      </c>
      <c r="L128" s="134">
        <f t="shared" si="4"/>
        <v>0.96769999502066428</v>
      </c>
      <c r="M128" s="182"/>
      <c r="N128" s="182" t="str">
        <f t="shared" si="5"/>
        <v>OK</v>
      </c>
    </row>
    <row r="129" spans="1:14" ht="60.75" customHeight="1">
      <c r="A129" s="302" t="s">
        <v>136</v>
      </c>
      <c r="B129" s="302"/>
      <c r="C129" s="303" t="s">
        <v>196</v>
      </c>
      <c r="D129" s="303"/>
      <c r="E129" s="303"/>
      <c r="F129" s="94" t="s">
        <v>113</v>
      </c>
      <c r="G129" s="95">
        <v>1</v>
      </c>
      <c r="H129" s="88">
        <v>1025000</v>
      </c>
      <c r="I129" s="88">
        <v>991892.5</v>
      </c>
      <c r="J129" s="88">
        <v>991893</v>
      </c>
      <c r="K129" s="133">
        <f t="shared" si="3"/>
        <v>-33107.5</v>
      </c>
      <c r="L129" s="134">
        <f t="shared" si="4"/>
        <v>0.9677</v>
      </c>
      <c r="M129" s="182"/>
      <c r="N129" s="182" t="str">
        <f t="shared" si="5"/>
        <v>OK</v>
      </c>
    </row>
    <row r="130" spans="1:14" ht="60.75" customHeight="1">
      <c r="A130" s="302" t="s">
        <v>140</v>
      </c>
      <c r="B130" s="302"/>
      <c r="C130" s="303" t="s">
        <v>198</v>
      </c>
      <c r="D130" s="303"/>
      <c r="E130" s="303"/>
      <c r="F130" s="94" t="s">
        <v>98</v>
      </c>
      <c r="G130" s="95">
        <v>880</v>
      </c>
      <c r="H130" s="88">
        <v>35833</v>
      </c>
      <c r="I130" s="88">
        <v>34675.589999999997</v>
      </c>
      <c r="J130" s="88">
        <v>30514523</v>
      </c>
      <c r="K130" s="133">
        <f t="shared" si="3"/>
        <v>-1157.4100000000035</v>
      </c>
      <c r="L130" s="134">
        <f t="shared" si="4"/>
        <v>0.96769988558033093</v>
      </c>
      <c r="M130" s="182"/>
      <c r="N130" s="182" t="str">
        <f t="shared" si="5"/>
        <v>OK</v>
      </c>
    </row>
    <row r="131" spans="1:14" ht="60.75" customHeight="1">
      <c r="A131" s="296" t="s">
        <v>252</v>
      </c>
      <c r="B131" s="297"/>
      <c r="C131" s="297"/>
      <c r="D131" s="297"/>
      <c r="E131" s="297"/>
      <c r="F131" s="297"/>
      <c r="G131" s="297"/>
      <c r="H131" s="297"/>
      <c r="I131" s="298"/>
      <c r="J131" s="104">
        <f>SUM(J119:J130)</f>
        <v>375442930</v>
      </c>
    </row>
    <row r="132" spans="1:14" ht="60.75" customHeight="1">
      <c r="A132" s="299" t="s">
        <v>253</v>
      </c>
      <c r="B132" s="300"/>
      <c r="C132" s="300"/>
      <c r="D132" s="300"/>
      <c r="E132" s="300"/>
      <c r="F132" s="300"/>
      <c r="G132" s="300"/>
      <c r="H132" s="301"/>
      <c r="I132" s="105">
        <f>+ROUND(J132*10%,0)</f>
        <v>376837699</v>
      </c>
      <c r="J132" s="104">
        <f>+J118+J78+J73+J39+J131</f>
        <v>3768376985</v>
      </c>
    </row>
    <row r="133" spans="1:14" ht="41.25" customHeight="1">
      <c r="A133" s="286" t="s">
        <v>254</v>
      </c>
      <c r="B133" s="287"/>
      <c r="C133" s="287"/>
      <c r="D133" s="288"/>
      <c r="E133" s="106">
        <v>0.12</v>
      </c>
      <c r="F133" s="289">
        <v>0.12</v>
      </c>
      <c r="G133" s="290"/>
      <c r="H133" s="291"/>
      <c r="I133" s="108">
        <f>+ROUND($I$132*F133,0)</f>
        <v>45220524</v>
      </c>
      <c r="J133" s="108">
        <f>+ROUND($J$132*F133,0)</f>
        <v>452205238</v>
      </c>
      <c r="K133" s="133">
        <f>F133-E133</f>
        <v>0</v>
      </c>
      <c r="L133" s="134">
        <f>F133/E133</f>
        <v>1</v>
      </c>
    </row>
    <row r="134" spans="1:14" ht="35.25" customHeight="1">
      <c r="A134" s="286" t="s">
        <v>255</v>
      </c>
      <c r="B134" s="287"/>
      <c r="C134" s="287"/>
      <c r="D134" s="288"/>
      <c r="E134" s="106">
        <v>0.03</v>
      </c>
      <c r="F134" s="289">
        <v>0.03</v>
      </c>
      <c r="G134" s="290"/>
      <c r="H134" s="291"/>
      <c r="I134" s="108">
        <f>+ROUND($I$132*F134,0)</f>
        <v>11305131</v>
      </c>
      <c r="J134" s="108">
        <f>+ROUND($J$132*F134,0)</f>
        <v>113051310</v>
      </c>
      <c r="K134" s="133">
        <f t="shared" ref="K134:K135" si="6">F134-E134</f>
        <v>0</v>
      </c>
      <c r="L134" s="134">
        <f t="shared" ref="L134:L135" si="7">F134/E134</f>
        <v>1</v>
      </c>
    </row>
    <row r="135" spans="1:14" ht="31.5" customHeight="1">
      <c r="A135" s="286" t="s">
        <v>256</v>
      </c>
      <c r="B135" s="287"/>
      <c r="C135" s="287"/>
      <c r="D135" s="288"/>
      <c r="E135" s="106">
        <v>7.0000000000000007E-2</v>
      </c>
      <c r="F135" s="289">
        <v>7.0000000000000007E-2</v>
      </c>
      <c r="G135" s="290"/>
      <c r="H135" s="291"/>
      <c r="I135" s="108">
        <f>+ROUND($I$132*F135,0)</f>
        <v>26378639</v>
      </c>
      <c r="J135" s="108">
        <f>+ROUND($J$132*F135,0)</f>
        <v>263786389</v>
      </c>
      <c r="K135" s="133">
        <f t="shared" si="6"/>
        <v>0</v>
      </c>
      <c r="L135" s="134">
        <f t="shared" si="7"/>
        <v>1</v>
      </c>
    </row>
    <row r="136" spans="1:14" ht="33.75" customHeight="1">
      <c r="A136" s="286" t="s">
        <v>257</v>
      </c>
      <c r="B136" s="287"/>
      <c r="C136" s="287"/>
      <c r="D136" s="288"/>
      <c r="E136" s="289">
        <v>0.19</v>
      </c>
      <c r="F136" s="290"/>
      <c r="G136" s="290"/>
      <c r="H136" s="291"/>
      <c r="I136" s="108">
        <f>+ROUND(I135*E136,0)</f>
        <v>5011941</v>
      </c>
      <c r="J136" s="108">
        <f>+ROUND(J135*E136,0)</f>
        <v>50119414</v>
      </c>
      <c r="K136" s="151"/>
      <c r="L136" s="151"/>
    </row>
    <row r="137" spans="1:14" ht="42" customHeight="1">
      <c r="A137" s="292" t="s">
        <v>258</v>
      </c>
      <c r="B137" s="293"/>
      <c r="C137" s="293"/>
      <c r="D137" s="293"/>
      <c r="E137" s="293"/>
      <c r="F137" s="293"/>
      <c r="G137" s="293"/>
      <c r="H137" s="294"/>
      <c r="I137" s="109">
        <f>SUM(I132:I136)</f>
        <v>464753934</v>
      </c>
      <c r="J137" s="109">
        <f>SUM(J132:J136)</f>
        <v>4647539336</v>
      </c>
    </row>
    <row r="138" spans="1:14" ht="60.75" customHeight="1">
      <c r="A138" s="295" t="s">
        <v>259</v>
      </c>
      <c r="B138" s="295"/>
      <c r="C138" s="295"/>
      <c r="D138" s="295"/>
      <c r="E138" s="295"/>
      <c r="F138" s="295"/>
      <c r="G138" s="295"/>
      <c r="H138" s="295"/>
      <c r="I138" s="295"/>
      <c r="J138" s="111">
        <f>+I137+J137</f>
        <v>5112293270</v>
      </c>
      <c r="K138" s="133">
        <f>J138-'[3]CONSOLIDADO FINANCIERO'!L7</f>
        <v>-170638696</v>
      </c>
      <c r="L138" s="183">
        <f>+J138/'CONSOLIDADO FINANCIERO'!L7</f>
        <v>0.96770000123071809</v>
      </c>
    </row>
    <row r="139" spans="1:14" ht="15.75" customHeight="1" thickBot="1"/>
    <row r="140" spans="1:14" ht="215.25" customHeight="1" thickBot="1">
      <c r="A140" s="399" t="s">
        <v>260</v>
      </c>
      <c r="B140" s="400"/>
      <c r="C140" s="400"/>
      <c r="D140" s="400"/>
      <c r="E140" s="400"/>
      <c r="F140" s="400"/>
      <c r="G140" s="400"/>
      <c r="H140" s="400"/>
      <c r="I140" s="400"/>
      <c r="J140" s="400"/>
      <c r="K140" s="400"/>
      <c r="L140" s="400"/>
      <c r="M140" s="401"/>
    </row>
    <row r="141" spans="1:14" ht="2.25" customHeight="1" thickBot="1">
      <c r="A141" s="112"/>
      <c r="B141" s="112"/>
      <c r="C141" s="112"/>
      <c r="D141" s="112"/>
      <c r="E141" s="112"/>
      <c r="F141" s="113"/>
      <c r="G141" s="113"/>
      <c r="H141" s="113"/>
      <c r="I141" s="113"/>
      <c r="J141" s="113"/>
      <c r="K141" s="113"/>
      <c r="L141" s="113"/>
      <c r="M141" s="113"/>
    </row>
    <row r="142" spans="1:14" ht="57" customHeight="1" thickBot="1">
      <c r="A142" s="114"/>
      <c r="B142" s="115"/>
      <c r="C142" s="116"/>
      <c r="D142" s="116"/>
      <c r="E142" s="117"/>
      <c r="F142" s="117"/>
      <c r="G142" s="117"/>
      <c r="H142" s="117"/>
      <c r="I142" s="117"/>
      <c r="J142" s="117"/>
      <c r="K142" s="117"/>
      <c r="L142" s="117"/>
      <c r="M142" s="112"/>
    </row>
    <row r="143" spans="1:14" ht="25.5" customHeight="1">
      <c r="A143" s="119"/>
      <c r="B143" s="285" t="s">
        <v>261</v>
      </c>
      <c r="C143" s="285"/>
      <c r="D143" s="121"/>
      <c r="E143" s="122"/>
      <c r="F143" s="112"/>
      <c r="G143" s="112"/>
      <c r="H143" s="112"/>
      <c r="I143" s="112"/>
      <c r="J143" s="112"/>
      <c r="K143" s="112"/>
      <c r="L143" s="112"/>
      <c r="M143" s="112"/>
    </row>
    <row r="144" spans="1:14" ht="25.5" customHeight="1">
      <c r="A144" s="119"/>
      <c r="B144" s="285" t="s">
        <v>319</v>
      </c>
      <c r="C144" s="285"/>
      <c r="D144" s="285"/>
      <c r="E144" s="285"/>
      <c r="F144" s="112"/>
      <c r="G144" s="112"/>
      <c r="H144" s="112"/>
      <c r="I144" s="112"/>
      <c r="J144" s="112"/>
      <c r="K144" s="112"/>
      <c r="L144" s="112"/>
      <c r="M144" s="112"/>
    </row>
    <row r="145" spans="1:13" ht="25.5" customHeight="1">
      <c r="A145" s="119"/>
      <c r="B145" s="285" t="s">
        <v>320</v>
      </c>
      <c r="C145" s="285"/>
      <c r="D145" s="285"/>
      <c r="E145" s="285"/>
      <c r="F145" s="112"/>
      <c r="G145" s="112"/>
      <c r="H145" s="112"/>
      <c r="I145" s="112"/>
      <c r="J145" s="112"/>
      <c r="K145" s="112"/>
      <c r="L145" s="112"/>
      <c r="M145" s="112"/>
    </row>
    <row r="146" spans="1:13" ht="25.5" customHeight="1">
      <c r="A146" s="119"/>
      <c r="B146" s="285" t="s">
        <v>321</v>
      </c>
      <c r="C146" s="285"/>
      <c r="D146" s="285"/>
      <c r="E146" s="285"/>
      <c r="F146" s="112"/>
      <c r="G146" s="112"/>
      <c r="H146" s="112"/>
      <c r="I146" s="112"/>
      <c r="J146" s="112"/>
      <c r="K146" s="112"/>
      <c r="L146" s="112"/>
      <c r="M146" s="112"/>
    </row>
    <row r="147" spans="1:13" ht="36" customHeight="1" thickBot="1">
      <c r="A147" s="124"/>
      <c r="B147" s="402"/>
      <c r="C147" s="402"/>
      <c r="D147" s="402"/>
      <c r="E147" s="402"/>
      <c r="F147" s="128"/>
      <c r="G147" s="128"/>
      <c r="H147" s="128"/>
      <c r="I147" s="128"/>
      <c r="J147" s="128"/>
      <c r="K147" s="128"/>
      <c r="L147" s="128"/>
      <c r="M147" s="146"/>
    </row>
    <row r="148" spans="1:13">
      <c r="A148" s="130"/>
      <c r="C148" s="131"/>
      <c r="D148" s="131"/>
      <c r="E148" s="131"/>
      <c r="F148" s="131"/>
      <c r="G148" s="131"/>
    </row>
  </sheetData>
  <sheetProtection algorithmName="SHA-512" hashValue="UR/D4I+vH2ddT4n54jN4xh8IRyaP1fpIHm6o/Ytoy4goKRLpI4egLOi5LBOg1BblQXJg2aSs/nrC5iM8SMle+g==" saltValue="vJPZ3vdu9jqOgSd/uSblXw==" spinCount="100000" sheet="1" objects="1" scenarios="1"/>
  <mergeCells count="266">
    <mergeCell ref="A8:D8"/>
    <mergeCell ref="E8:J8"/>
    <mergeCell ref="A9:D9"/>
    <mergeCell ref="E9:J9"/>
    <mergeCell ref="A10:D10"/>
    <mergeCell ref="E10:J10"/>
    <mergeCell ref="A1:D4"/>
    <mergeCell ref="E1:J4"/>
    <mergeCell ref="A5:J5"/>
    <mergeCell ref="A6:D6"/>
    <mergeCell ref="E6:J6"/>
    <mergeCell ref="A7:D7"/>
    <mergeCell ref="E7:J7"/>
    <mergeCell ref="A11:D11"/>
    <mergeCell ref="E11:J11"/>
    <mergeCell ref="A12:J12"/>
    <mergeCell ref="A14:B15"/>
    <mergeCell ref="C14:E15"/>
    <mergeCell ref="F14:F15"/>
    <mergeCell ref="G14:G15"/>
    <mergeCell ref="H14:H15"/>
    <mergeCell ref="I14:J14"/>
    <mergeCell ref="A19:B19"/>
    <mergeCell ref="C19:E19"/>
    <mergeCell ref="A20:B20"/>
    <mergeCell ref="C20:E20"/>
    <mergeCell ref="A21:B21"/>
    <mergeCell ref="C21:E21"/>
    <mergeCell ref="A16:B16"/>
    <mergeCell ref="C16:E16"/>
    <mergeCell ref="A17:B17"/>
    <mergeCell ref="C17:E17"/>
    <mergeCell ref="A18:B18"/>
    <mergeCell ref="C18:E18"/>
    <mergeCell ref="A25:B25"/>
    <mergeCell ref="C25:E25"/>
    <mergeCell ref="A26:B26"/>
    <mergeCell ref="C26:E26"/>
    <mergeCell ref="A27:B27"/>
    <mergeCell ref="C27:E27"/>
    <mergeCell ref="A22:B22"/>
    <mergeCell ref="C22:E22"/>
    <mergeCell ref="A23:B23"/>
    <mergeCell ref="C23:E23"/>
    <mergeCell ref="A24:B24"/>
    <mergeCell ref="C24:E24"/>
    <mergeCell ref="A31:B31"/>
    <mergeCell ref="C31:E31"/>
    <mergeCell ref="A32:B32"/>
    <mergeCell ref="C32:E32"/>
    <mergeCell ref="A33:B33"/>
    <mergeCell ref="C33:E33"/>
    <mergeCell ref="A28:B28"/>
    <mergeCell ref="C28:E28"/>
    <mergeCell ref="A29:B29"/>
    <mergeCell ref="C29:E29"/>
    <mergeCell ref="A30:B30"/>
    <mergeCell ref="C30:E30"/>
    <mergeCell ref="A37:B37"/>
    <mergeCell ref="C37:E37"/>
    <mergeCell ref="A38:B38"/>
    <mergeCell ref="C38:E38"/>
    <mergeCell ref="A39:I39"/>
    <mergeCell ref="A40:B40"/>
    <mergeCell ref="C40:E40"/>
    <mergeCell ref="A34:B34"/>
    <mergeCell ref="C34:E34"/>
    <mergeCell ref="A35:B35"/>
    <mergeCell ref="C35:E35"/>
    <mergeCell ref="A36:B36"/>
    <mergeCell ref="C36:E36"/>
    <mergeCell ref="A44:B44"/>
    <mergeCell ref="C44:E44"/>
    <mergeCell ref="A45:B45"/>
    <mergeCell ref="C45:E45"/>
    <mergeCell ref="A46:B46"/>
    <mergeCell ref="C46:E46"/>
    <mergeCell ref="A41:B41"/>
    <mergeCell ref="C41:E41"/>
    <mergeCell ref="A42:B42"/>
    <mergeCell ref="C42:E42"/>
    <mergeCell ref="A43:B43"/>
    <mergeCell ref="C43:E43"/>
    <mergeCell ref="A50:B50"/>
    <mergeCell ref="C50:E50"/>
    <mergeCell ref="A51:B51"/>
    <mergeCell ref="C51:E51"/>
    <mergeCell ref="A52:B52"/>
    <mergeCell ref="C52:E52"/>
    <mergeCell ref="A47:B47"/>
    <mergeCell ref="C47:E47"/>
    <mergeCell ref="A48:B48"/>
    <mergeCell ref="C48:E48"/>
    <mergeCell ref="A49:B49"/>
    <mergeCell ref="C49:E49"/>
    <mergeCell ref="A56:B56"/>
    <mergeCell ref="C56:E56"/>
    <mergeCell ref="A57:B57"/>
    <mergeCell ref="C57:E57"/>
    <mergeCell ref="A58:B58"/>
    <mergeCell ref="C58:E58"/>
    <mergeCell ref="A53:B53"/>
    <mergeCell ref="C53:E53"/>
    <mergeCell ref="A54:B54"/>
    <mergeCell ref="C54:E54"/>
    <mergeCell ref="A55:B55"/>
    <mergeCell ref="C55:E55"/>
    <mergeCell ref="A62:B62"/>
    <mergeCell ref="C62:E62"/>
    <mergeCell ref="A63:B63"/>
    <mergeCell ref="C63:E63"/>
    <mergeCell ref="A64:B64"/>
    <mergeCell ref="C64:E64"/>
    <mergeCell ref="A59:B59"/>
    <mergeCell ref="C59:E59"/>
    <mergeCell ref="A60:B60"/>
    <mergeCell ref="C60:E60"/>
    <mergeCell ref="A61:B61"/>
    <mergeCell ref="C61:E61"/>
    <mergeCell ref="A68:B68"/>
    <mergeCell ref="C68:E68"/>
    <mergeCell ref="A69:B69"/>
    <mergeCell ref="C69:E69"/>
    <mergeCell ref="A70:B70"/>
    <mergeCell ref="C70:E70"/>
    <mergeCell ref="A65:B65"/>
    <mergeCell ref="C65:E65"/>
    <mergeCell ref="A66:B66"/>
    <mergeCell ref="C66:E66"/>
    <mergeCell ref="A67:B67"/>
    <mergeCell ref="C67:E67"/>
    <mergeCell ref="A75:B75"/>
    <mergeCell ref="C75:E75"/>
    <mergeCell ref="A76:B76"/>
    <mergeCell ref="C76:E76"/>
    <mergeCell ref="A77:B77"/>
    <mergeCell ref="C77:E77"/>
    <mergeCell ref="A71:B71"/>
    <mergeCell ref="C71:E71"/>
    <mergeCell ref="A72:B72"/>
    <mergeCell ref="C72:E72"/>
    <mergeCell ref="A73:I73"/>
    <mergeCell ref="A74:B74"/>
    <mergeCell ref="C74:E74"/>
    <mergeCell ref="A82:B82"/>
    <mergeCell ref="C82:E82"/>
    <mergeCell ref="A83:B83"/>
    <mergeCell ref="C83:E83"/>
    <mergeCell ref="A84:B84"/>
    <mergeCell ref="C84:E84"/>
    <mergeCell ref="A78:I78"/>
    <mergeCell ref="A79:B79"/>
    <mergeCell ref="C79:E79"/>
    <mergeCell ref="A80:B80"/>
    <mergeCell ref="C80:E80"/>
    <mergeCell ref="A81:B81"/>
    <mergeCell ref="C81:E81"/>
    <mergeCell ref="A88:B88"/>
    <mergeCell ref="C88:E88"/>
    <mergeCell ref="A89:B89"/>
    <mergeCell ref="C89:E89"/>
    <mergeCell ref="A90:B90"/>
    <mergeCell ref="C90:E90"/>
    <mergeCell ref="A85:B85"/>
    <mergeCell ref="C85:E85"/>
    <mergeCell ref="A86:B86"/>
    <mergeCell ref="C86:E86"/>
    <mergeCell ref="A87:B87"/>
    <mergeCell ref="C87:E87"/>
    <mergeCell ref="A94:B94"/>
    <mergeCell ref="C94:E94"/>
    <mergeCell ref="A95:B95"/>
    <mergeCell ref="C95:E95"/>
    <mergeCell ref="A96:B96"/>
    <mergeCell ref="C96:E96"/>
    <mergeCell ref="A91:B91"/>
    <mergeCell ref="C91:E91"/>
    <mergeCell ref="A92:B92"/>
    <mergeCell ref="C92:E92"/>
    <mergeCell ref="A93:B93"/>
    <mergeCell ref="C93:E93"/>
    <mergeCell ref="A100:B100"/>
    <mergeCell ref="C100:E100"/>
    <mergeCell ref="A101:B101"/>
    <mergeCell ref="C101:E101"/>
    <mergeCell ref="A102:B102"/>
    <mergeCell ref="C102:E102"/>
    <mergeCell ref="A97:B97"/>
    <mergeCell ref="C97:E97"/>
    <mergeCell ref="A98:B98"/>
    <mergeCell ref="C98:E98"/>
    <mergeCell ref="A99:B99"/>
    <mergeCell ref="C99:E99"/>
    <mergeCell ref="A106:B106"/>
    <mergeCell ref="C106:E106"/>
    <mergeCell ref="A107:B107"/>
    <mergeCell ref="C107:E107"/>
    <mergeCell ref="A108:B108"/>
    <mergeCell ref="C108:E108"/>
    <mergeCell ref="A103:B103"/>
    <mergeCell ref="C103:E103"/>
    <mergeCell ref="A104:B104"/>
    <mergeCell ref="C104:E104"/>
    <mergeCell ref="A105:B105"/>
    <mergeCell ref="C105:E105"/>
    <mergeCell ref="A112:B112"/>
    <mergeCell ref="C112:E112"/>
    <mergeCell ref="A113:B113"/>
    <mergeCell ref="C113:E113"/>
    <mergeCell ref="A114:B114"/>
    <mergeCell ref="C114:E114"/>
    <mergeCell ref="A109:B109"/>
    <mergeCell ref="C109:E109"/>
    <mergeCell ref="A110:B110"/>
    <mergeCell ref="C110:E110"/>
    <mergeCell ref="A111:B111"/>
    <mergeCell ref="C111:E111"/>
    <mergeCell ref="A118:I118"/>
    <mergeCell ref="A119:B119"/>
    <mergeCell ref="C119:E119"/>
    <mergeCell ref="A120:B120"/>
    <mergeCell ref="C120:E120"/>
    <mergeCell ref="A121:B121"/>
    <mergeCell ref="C121:E121"/>
    <mergeCell ref="A115:B115"/>
    <mergeCell ref="C115:E115"/>
    <mergeCell ref="A116:B116"/>
    <mergeCell ref="C116:E116"/>
    <mergeCell ref="A117:B117"/>
    <mergeCell ref="C117:E117"/>
    <mergeCell ref="A125:B125"/>
    <mergeCell ref="C125:E125"/>
    <mergeCell ref="A126:B126"/>
    <mergeCell ref="C126:E126"/>
    <mergeCell ref="A127:B127"/>
    <mergeCell ref="C127:E127"/>
    <mergeCell ref="A122:B122"/>
    <mergeCell ref="C122:E122"/>
    <mergeCell ref="A123:B123"/>
    <mergeCell ref="C123:E123"/>
    <mergeCell ref="A124:B124"/>
    <mergeCell ref="C124:E124"/>
    <mergeCell ref="A131:I131"/>
    <mergeCell ref="A132:H132"/>
    <mergeCell ref="A133:D133"/>
    <mergeCell ref="F133:H133"/>
    <mergeCell ref="A134:D134"/>
    <mergeCell ref="F134:H134"/>
    <mergeCell ref="A128:B128"/>
    <mergeCell ref="C128:E128"/>
    <mergeCell ref="A129:B129"/>
    <mergeCell ref="C129:E129"/>
    <mergeCell ref="A130:B130"/>
    <mergeCell ref="C130:E130"/>
    <mergeCell ref="A140:M140"/>
    <mergeCell ref="B143:C143"/>
    <mergeCell ref="B144:E144"/>
    <mergeCell ref="B145:E145"/>
    <mergeCell ref="B146:E146"/>
    <mergeCell ref="B147:E147"/>
    <mergeCell ref="A135:D135"/>
    <mergeCell ref="F135:H135"/>
    <mergeCell ref="A136:D136"/>
    <mergeCell ref="E136:H136"/>
    <mergeCell ref="A137:H137"/>
    <mergeCell ref="A138:I138"/>
  </mergeCells>
  <conditionalFormatting sqref="K16:K130">
    <cfRule type="cellIs" dxfId="118" priority="13" operator="greaterThan">
      <formula>0</formula>
    </cfRule>
    <cfRule type="cellIs" dxfId="117" priority="14" operator="lessThan">
      <formula>0</formula>
    </cfRule>
    <cfRule type="cellIs" dxfId="116" priority="15" operator="lessThan">
      <formula>0</formula>
    </cfRule>
  </conditionalFormatting>
  <conditionalFormatting sqref="K133:K135">
    <cfRule type="cellIs" dxfId="115" priority="8" operator="greaterThan">
      <formula>0</formula>
    </cfRule>
    <cfRule type="cellIs" dxfId="114" priority="9" operator="lessThan">
      <formula>0</formula>
    </cfRule>
    <cfRule type="cellIs" dxfId="113" priority="10" operator="lessThan">
      <formula>0</formula>
    </cfRule>
  </conditionalFormatting>
  <conditionalFormatting sqref="K138">
    <cfRule type="cellIs" dxfId="112" priority="3" operator="greaterThan">
      <formula>0</formula>
    </cfRule>
    <cfRule type="cellIs" dxfId="111" priority="4" operator="lessThan">
      <formula>0</formula>
    </cfRule>
    <cfRule type="cellIs" dxfId="110" priority="5" operator="lessThan">
      <formula>0</formula>
    </cfRule>
  </conditionalFormatting>
  <conditionalFormatting sqref="L16:L130">
    <cfRule type="cellIs" dxfId="109" priority="11" operator="greaterThan">
      <formula>0.8</formula>
    </cfRule>
    <cfRule type="cellIs" dxfId="108" priority="12" operator="lessThan">
      <formula>0.8</formula>
    </cfRule>
  </conditionalFormatting>
  <conditionalFormatting sqref="L133:L135">
    <cfRule type="cellIs" dxfId="107" priority="6" operator="greaterThan">
      <formula>0.8</formula>
    </cfRule>
    <cfRule type="cellIs" dxfId="106" priority="7" operator="lessThan">
      <formula>0.8</formula>
    </cfRule>
  </conditionalFormatting>
  <conditionalFormatting sqref="L138">
    <cfRule type="cellIs" dxfId="105" priority="1" operator="greaterThan">
      <formula>0.8</formula>
    </cfRule>
    <cfRule type="cellIs" dxfId="104" priority="2" operator="lessThan">
      <formula>0.8</formula>
    </cfRule>
  </conditionalFormatting>
  <pageMargins left="0.7" right="0.7" top="0.75" bottom="0.75" header="0.3" footer="0.3"/>
  <pageSetup scale="34"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8B834F-D2C6-41B5-A5DB-5B85FDF23355}">
  <sheetPr>
    <tabColor rgb="FF92D050"/>
    <pageSetUpPr fitToPage="1"/>
  </sheetPr>
  <dimension ref="A1:AZ48"/>
  <sheetViews>
    <sheetView topLeftCell="A40" zoomScale="55" zoomScaleNormal="55" zoomScaleSheetLayoutView="50" workbookViewId="0">
      <selection activeCell="D10" sqref="D10:I10"/>
    </sheetView>
  </sheetViews>
  <sheetFormatPr baseColWidth="10" defaultColWidth="11.42578125" defaultRowHeight="16.5"/>
  <cols>
    <col min="1" max="1" width="16" style="2" customWidth="1"/>
    <col min="2" max="2" width="25.42578125" style="2" customWidth="1"/>
    <col min="3" max="3" width="43.42578125" style="2" customWidth="1"/>
    <col min="4" max="4" width="28.28515625" style="2" customWidth="1"/>
    <col min="5" max="5" width="26.140625" style="2" customWidth="1"/>
    <col min="6" max="6" width="32.42578125" style="2" customWidth="1"/>
    <col min="7" max="7" width="29.5703125" style="2" customWidth="1"/>
    <col min="8" max="8" width="32.42578125" style="2" hidden="1" customWidth="1"/>
    <col min="9" max="9" width="33.85546875" style="2" customWidth="1"/>
    <col min="10" max="10" width="23.28515625" style="2" customWidth="1"/>
    <col min="11" max="11" width="28.42578125" style="2" customWidth="1"/>
    <col min="12" max="12" width="33.5703125" style="2" customWidth="1"/>
    <col min="13" max="13" width="11.42578125" style="3" hidden="1" customWidth="1"/>
    <col min="14" max="14" width="15.7109375" style="14" customWidth="1"/>
    <col min="15" max="15" width="41.7109375" style="14" customWidth="1"/>
    <col min="16" max="16" width="23.28515625" style="14" customWidth="1"/>
    <col min="17" max="17" width="11.42578125" style="14" customWidth="1"/>
    <col min="18" max="18" width="11.42578125" style="2"/>
    <col min="19" max="19" width="53.7109375" style="2" customWidth="1"/>
    <col min="20" max="16384" width="11.42578125" style="2"/>
  </cols>
  <sheetData>
    <row r="1" spans="1:17" ht="85.5" customHeight="1" thickBot="1">
      <c r="A1" s="1">
        <v>8</v>
      </c>
      <c r="C1" s="214" t="s">
        <v>29</v>
      </c>
      <c r="D1" s="215"/>
      <c r="E1" s="215"/>
      <c r="F1" s="215"/>
      <c r="G1" s="215"/>
      <c r="H1" s="215"/>
      <c r="I1" s="215"/>
      <c r="J1" s="215"/>
      <c r="K1" s="216"/>
      <c r="L1" s="39"/>
      <c r="N1" s="3"/>
      <c r="O1" s="3"/>
      <c r="P1" s="3"/>
      <c r="Q1" s="3"/>
    </row>
    <row r="2" spans="1:17" ht="16.5" customHeight="1" thickBot="1">
      <c r="A2" s="4"/>
      <c r="B2" s="5"/>
      <c r="C2" s="5"/>
      <c r="D2" s="5"/>
      <c r="E2" s="5"/>
      <c r="F2" s="5"/>
      <c r="G2" s="5"/>
      <c r="H2" s="5"/>
      <c r="I2" s="5"/>
      <c r="J2" s="5"/>
      <c r="K2" s="5"/>
      <c r="L2" s="5"/>
      <c r="N2" s="3"/>
      <c r="O2" s="3"/>
      <c r="P2" s="3"/>
      <c r="Q2" s="3"/>
    </row>
    <row r="3" spans="1:17" ht="54.75" customHeight="1" thickBot="1">
      <c r="A3" s="4"/>
      <c r="B3" s="4"/>
      <c r="C3" s="80" t="s">
        <v>2</v>
      </c>
      <c r="D3" s="217" t="str">
        <f>+'CONSOLIDADO FINANCIERO'!L5</f>
        <v>REALIZAR LAS REPARACIONES LOCATIVAS DE LA INFRAESTRUCTURA FÍSICA DE LA SEDE PRINCIPAL - CNA DEL FONDO NACIONAL DEL AHORRO S.A.</v>
      </c>
      <c r="E3" s="218"/>
      <c r="F3" s="218"/>
      <c r="G3" s="218"/>
      <c r="H3" s="218"/>
      <c r="I3" s="218"/>
      <c r="J3" s="218"/>
      <c r="K3" s="219"/>
      <c r="L3" s="40"/>
      <c r="N3" s="3"/>
      <c r="O3" s="3"/>
      <c r="P3" s="3"/>
      <c r="Q3" s="3"/>
    </row>
    <row r="4" spans="1:17" ht="36.75" customHeight="1" thickBot="1">
      <c r="A4" s="4"/>
      <c r="B4" s="4"/>
      <c r="C4" s="7" t="s">
        <v>4</v>
      </c>
      <c r="D4" s="217" t="str">
        <f>+'CONSOLIDADO FINANCIERO'!D6</f>
        <v>FNA-VGHA-CP-015-2024</v>
      </c>
      <c r="E4" s="218"/>
      <c r="F4" s="218"/>
      <c r="G4" s="218"/>
      <c r="H4" s="218"/>
      <c r="I4" s="218"/>
      <c r="J4" s="218"/>
      <c r="K4" s="219"/>
      <c r="L4" s="40"/>
      <c r="N4" s="3"/>
      <c r="O4" s="3"/>
      <c r="P4" s="3"/>
      <c r="Q4" s="3"/>
    </row>
    <row r="5" spans="1:17" ht="35.25" customHeight="1" thickBot="1">
      <c r="A5" s="4"/>
      <c r="B5" s="4"/>
      <c r="C5" s="8" t="s">
        <v>30</v>
      </c>
      <c r="D5" s="222" t="s">
        <v>322</v>
      </c>
      <c r="E5" s="222"/>
      <c r="F5" s="222"/>
      <c r="G5" s="222"/>
      <c r="H5" s="222"/>
      <c r="I5" s="222"/>
      <c r="J5" s="222"/>
      <c r="K5" s="223"/>
      <c r="L5" s="40"/>
      <c r="N5" s="3"/>
      <c r="O5" s="3"/>
      <c r="P5" s="3"/>
      <c r="Q5" s="3"/>
    </row>
    <row r="6" spans="1:17" ht="16.5" customHeight="1" thickBot="1">
      <c r="A6" s="4"/>
      <c r="B6" s="4"/>
      <c r="C6" s="9"/>
      <c r="D6" s="10"/>
      <c r="E6" s="10"/>
      <c r="F6" s="10"/>
      <c r="G6" s="10"/>
      <c r="H6" s="10"/>
      <c r="I6" s="10"/>
      <c r="J6" s="10"/>
      <c r="K6" s="10"/>
      <c r="L6" s="40"/>
      <c r="N6" s="3"/>
      <c r="O6" s="3"/>
      <c r="P6" s="3"/>
      <c r="Q6" s="3"/>
    </row>
    <row r="7" spans="1:17" ht="60" customHeight="1" thickBot="1">
      <c r="A7" s="4"/>
      <c r="B7" s="4"/>
      <c r="C7" s="224" t="s">
        <v>31</v>
      </c>
      <c r="D7" s="225"/>
      <c r="E7" s="225"/>
      <c r="F7" s="225"/>
      <c r="G7" s="225"/>
      <c r="H7" s="225"/>
      <c r="I7" s="225"/>
      <c r="J7" s="225"/>
      <c r="K7" s="226"/>
      <c r="L7" s="40"/>
      <c r="N7" s="3"/>
      <c r="O7" s="3"/>
      <c r="P7" s="3"/>
      <c r="Q7" s="3"/>
    </row>
    <row r="8" spans="1:17" ht="42.75" customHeight="1" thickBot="1">
      <c r="A8" s="4"/>
      <c r="B8" s="4"/>
      <c r="C8" s="227" t="s">
        <v>323</v>
      </c>
      <c r="D8" s="228"/>
      <c r="E8" s="228"/>
      <c r="F8" s="228"/>
      <c r="G8" s="228"/>
      <c r="H8" s="228"/>
      <c r="I8" s="228"/>
      <c r="J8" s="228"/>
      <c r="K8" s="229"/>
      <c r="L8" s="40"/>
      <c r="N8" s="3"/>
      <c r="O8" s="3"/>
      <c r="P8" s="3"/>
      <c r="Q8" s="3"/>
    </row>
    <row r="9" spans="1:17" ht="36.75" customHeight="1">
      <c r="A9" s="4"/>
      <c r="B9" s="4"/>
      <c r="C9" s="6" t="s">
        <v>33</v>
      </c>
      <c r="D9" s="234">
        <v>45643</v>
      </c>
      <c r="E9" s="234"/>
      <c r="F9" s="234"/>
      <c r="G9" s="234"/>
      <c r="H9" s="234"/>
      <c r="I9" s="234"/>
      <c r="J9" s="235"/>
      <c r="K9" s="236"/>
      <c r="L9" s="40"/>
      <c r="N9" s="3"/>
      <c r="O9" s="3"/>
      <c r="P9" s="3"/>
      <c r="Q9" s="3"/>
    </row>
    <row r="10" spans="1:17" ht="36.75" customHeight="1" thickBot="1">
      <c r="A10" s="4"/>
      <c r="B10" s="4"/>
      <c r="C10" s="7" t="s">
        <v>34</v>
      </c>
      <c r="D10" s="230">
        <v>45636</v>
      </c>
      <c r="E10" s="230"/>
      <c r="F10" s="230"/>
      <c r="G10" s="230"/>
      <c r="H10" s="230"/>
      <c r="I10" s="230"/>
      <c r="J10" s="237" t="str">
        <f>IF(D10&gt;=O10,"CUMPLE","NO CUMPLE")</f>
        <v>CUMPLE</v>
      </c>
      <c r="K10" s="238"/>
      <c r="L10" s="41" t="s">
        <v>35</v>
      </c>
      <c r="M10" s="42">
        <f>IF(J10="CUMPLE",0,1)</f>
        <v>0</v>
      </c>
      <c r="N10" s="13">
        <f ca="1">+TODAY()-30</f>
        <v>45622</v>
      </c>
      <c r="O10" s="12">
        <f>+D9-30</f>
        <v>45613</v>
      </c>
      <c r="P10" s="3" t="s">
        <v>36</v>
      </c>
      <c r="Q10" s="3"/>
    </row>
    <row r="11" spans="1:17" ht="36.75" customHeight="1" thickBot="1">
      <c r="A11" s="4"/>
      <c r="B11" s="4"/>
      <c r="C11" s="7" t="s">
        <v>37</v>
      </c>
      <c r="D11" s="230">
        <v>45414</v>
      </c>
      <c r="E11" s="230"/>
      <c r="F11" s="230"/>
      <c r="G11" s="230"/>
      <c r="H11" s="230"/>
      <c r="I11" s="230"/>
      <c r="J11" s="237" t="str">
        <f>IF(D10&gt;=O11,"CUMPLE","NO CUMPLE")</f>
        <v>CUMPLE</v>
      </c>
      <c r="K11" s="238"/>
      <c r="L11" s="41" t="s">
        <v>35</v>
      </c>
      <c r="M11" s="11">
        <f>IF(J11="CUMPLE",0,1)</f>
        <v>0</v>
      </c>
      <c r="N11" s="3"/>
      <c r="O11" s="13">
        <f>+D11+15</f>
        <v>45429</v>
      </c>
      <c r="P11" s="3" t="s">
        <v>38</v>
      </c>
      <c r="Q11" s="3"/>
    </row>
    <row r="12" spans="1:17" s="14" customFormat="1" ht="41.25" customHeight="1" thickBot="1">
      <c r="A12" s="4"/>
      <c r="B12" s="4"/>
      <c r="C12" s="8" t="s">
        <v>39</v>
      </c>
      <c r="D12" s="230">
        <v>45291</v>
      </c>
      <c r="E12" s="230"/>
      <c r="F12" s="230"/>
      <c r="G12" s="230"/>
      <c r="H12" s="230"/>
      <c r="I12" s="230"/>
      <c r="J12" s="231" t="str">
        <f>IF(D10&gt;=O12,"CUMPLE","NO CUMPLE")</f>
        <v>CUMPLE</v>
      </c>
      <c r="K12" s="232"/>
      <c r="L12" s="41" t="s">
        <v>35</v>
      </c>
      <c r="M12" s="11">
        <f>IF(J12="CUMPLE",0,1)</f>
        <v>0</v>
      </c>
      <c r="N12" s="3"/>
      <c r="O12" s="13">
        <f>+D12+15</f>
        <v>45306</v>
      </c>
      <c r="P12" s="3"/>
      <c r="Q12" s="3"/>
    </row>
    <row r="13" spans="1:17" ht="31.5" customHeight="1" thickBot="1">
      <c r="A13" s="4"/>
      <c r="B13" s="4"/>
      <c r="C13" s="233"/>
      <c r="D13" s="233"/>
      <c r="E13" s="233"/>
      <c r="F13" s="233"/>
      <c r="G13" s="233"/>
      <c r="H13" s="233"/>
      <c r="I13" s="233"/>
      <c r="J13" s="233"/>
      <c r="K13" s="233"/>
      <c r="L13" s="41"/>
      <c r="N13" s="3"/>
      <c r="O13" s="3"/>
      <c r="P13" s="3"/>
      <c r="Q13" s="3"/>
    </row>
    <row r="14" spans="1:17" ht="37.5" customHeight="1" thickBot="1">
      <c r="A14" s="4"/>
      <c r="B14" s="4"/>
      <c r="C14" s="227" t="s">
        <v>324</v>
      </c>
      <c r="D14" s="228"/>
      <c r="E14" s="228"/>
      <c r="F14" s="228"/>
      <c r="G14" s="228"/>
      <c r="H14" s="228"/>
      <c r="I14" s="228"/>
      <c r="J14" s="228"/>
      <c r="K14" s="229"/>
      <c r="L14" s="41"/>
      <c r="N14" s="3"/>
      <c r="O14" s="3"/>
      <c r="P14" s="3"/>
      <c r="Q14" s="3"/>
    </row>
    <row r="15" spans="1:17" ht="36.75" customHeight="1">
      <c r="A15" s="4"/>
      <c r="B15" s="4"/>
      <c r="C15" s="6" t="s">
        <v>33</v>
      </c>
      <c r="D15" s="234">
        <v>45643</v>
      </c>
      <c r="E15" s="234"/>
      <c r="F15" s="234"/>
      <c r="G15" s="234"/>
      <c r="H15" s="234"/>
      <c r="I15" s="234"/>
      <c r="J15" s="235"/>
      <c r="K15" s="236"/>
      <c r="L15" s="41"/>
      <c r="N15" s="3"/>
      <c r="O15" s="3"/>
      <c r="P15" s="3"/>
      <c r="Q15" s="3"/>
    </row>
    <row r="16" spans="1:17" ht="36.75" customHeight="1">
      <c r="A16" s="4"/>
      <c r="B16" s="4"/>
      <c r="C16" s="7" t="s">
        <v>34</v>
      </c>
      <c r="D16" s="239">
        <v>45636</v>
      </c>
      <c r="E16" s="239"/>
      <c r="F16" s="239"/>
      <c r="G16" s="239"/>
      <c r="H16" s="239"/>
      <c r="I16" s="239"/>
      <c r="J16" s="237" t="str">
        <f>IF(D16&gt;=O16,"CUMPLE","NO CUMPLE")</f>
        <v>CUMPLE</v>
      </c>
      <c r="K16" s="238"/>
      <c r="L16" s="41" t="s">
        <v>35</v>
      </c>
      <c r="M16" s="11">
        <f>IF(J16="CUMPLE",0,1)</f>
        <v>0</v>
      </c>
      <c r="N16" s="3"/>
      <c r="O16" s="12">
        <f>+D15-30</f>
        <v>45613</v>
      </c>
      <c r="P16" s="3" t="s">
        <v>36</v>
      </c>
      <c r="Q16" s="3"/>
    </row>
    <row r="17" spans="1:19" ht="36.75" customHeight="1">
      <c r="A17" s="4"/>
      <c r="B17" s="4"/>
      <c r="C17" s="7" t="s">
        <v>37</v>
      </c>
      <c r="D17" s="239">
        <v>45385</v>
      </c>
      <c r="E17" s="239"/>
      <c r="F17" s="239"/>
      <c r="G17" s="239"/>
      <c r="H17" s="239"/>
      <c r="I17" s="239"/>
      <c r="J17" s="237" t="str">
        <f>IF(D16&gt;=O17,"CUMPLE","NO CUMPLE")</f>
        <v>CUMPLE</v>
      </c>
      <c r="K17" s="238"/>
      <c r="L17" s="41" t="s">
        <v>35</v>
      </c>
      <c r="M17" s="11">
        <f>IF(J17="CUMPLE",0,1)</f>
        <v>0</v>
      </c>
      <c r="N17" s="3"/>
      <c r="O17" s="13">
        <f>+D17+15</f>
        <v>45400</v>
      </c>
      <c r="P17" s="3" t="s">
        <v>38</v>
      </c>
      <c r="Q17" s="3"/>
    </row>
    <row r="18" spans="1:19" s="14" customFormat="1" ht="36" customHeight="1" thickBot="1">
      <c r="A18" s="4"/>
      <c r="B18" s="4"/>
      <c r="C18" s="8" t="s">
        <v>39</v>
      </c>
      <c r="D18" s="230">
        <v>45291</v>
      </c>
      <c r="E18" s="230"/>
      <c r="F18" s="230"/>
      <c r="G18" s="230"/>
      <c r="H18" s="230"/>
      <c r="I18" s="230"/>
      <c r="J18" s="231" t="str">
        <f>IF(D16&gt;=O18,"CUMPLE","NO CUMPLE")</f>
        <v>CUMPLE</v>
      </c>
      <c r="K18" s="232"/>
      <c r="L18" s="41" t="s">
        <v>35</v>
      </c>
      <c r="M18" s="11">
        <f>IF(J18="CUMPLE",0,1)</f>
        <v>0</v>
      </c>
      <c r="N18" s="3"/>
      <c r="O18" s="13">
        <f>+D18+15</f>
        <v>45306</v>
      </c>
      <c r="P18" s="3"/>
      <c r="Q18" s="3"/>
    </row>
    <row r="19" spans="1:19" ht="13.5" customHeight="1">
      <c r="B19" s="4"/>
      <c r="C19" s="15"/>
      <c r="D19" s="16"/>
      <c r="E19" s="16"/>
      <c r="F19" s="17"/>
      <c r="G19" s="16"/>
      <c r="H19" s="16"/>
      <c r="I19" s="16"/>
      <c r="J19" s="18"/>
      <c r="K19" s="19"/>
      <c r="L19" s="40"/>
      <c r="M19" s="11"/>
      <c r="N19" s="3"/>
      <c r="O19" s="3"/>
      <c r="P19" s="3"/>
      <c r="Q19" s="3"/>
    </row>
    <row r="20" spans="1:19" ht="31.5" hidden="1" customHeight="1" thickBot="1">
      <c r="A20" s="4"/>
      <c r="B20" s="4"/>
      <c r="C20" s="224"/>
      <c r="D20" s="225"/>
      <c r="E20" s="225"/>
      <c r="F20" s="225"/>
      <c r="G20" s="225"/>
      <c r="H20" s="225"/>
      <c r="I20" s="225"/>
      <c r="J20" s="225"/>
      <c r="K20" s="226"/>
      <c r="L20" s="41"/>
      <c r="N20" s="3"/>
      <c r="O20" s="3"/>
      <c r="P20" s="3"/>
      <c r="Q20" s="3"/>
    </row>
    <row r="21" spans="1:19" ht="5.0999999999999996" hidden="1" customHeight="1" thickBot="1">
      <c r="A21" s="4"/>
      <c r="B21" s="4"/>
      <c r="C21" s="9"/>
      <c r="D21" s="10"/>
      <c r="E21" s="10"/>
      <c r="F21" s="10"/>
      <c r="G21" s="10"/>
      <c r="H21" s="10"/>
      <c r="I21" s="10"/>
      <c r="J21" s="10"/>
      <c r="K21" s="10"/>
      <c r="L21" s="41"/>
      <c r="N21" s="3"/>
      <c r="O21" s="3"/>
      <c r="P21" s="3"/>
      <c r="Q21" s="3"/>
    </row>
    <row r="22" spans="1:19" ht="36.75" hidden="1" customHeight="1">
      <c r="A22" s="4"/>
      <c r="B22" s="4"/>
      <c r="C22" s="6" t="s">
        <v>33</v>
      </c>
      <c r="D22" s="234"/>
      <c r="E22" s="234"/>
      <c r="F22" s="234"/>
      <c r="G22" s="234"/>
      <c r="H22" s="234"/>
      <c r="I22" s="234"/>
      <c r="J22" s="235"/>
      <c r="K22" s="236"/>
      <c r="L22" s="41"/>
      <c r="N22" s="3"/>
      <c r="O22" s="3"/>
      <c r="P22" s="3"/>
      <c r="Q22" s="3"/>
    </row>
    <row r="23" spans="1:19" ht="36.75" hidden="1" customHeight="1">
      <c r="A23" s="4"/>
      <c r="B23" s="4"/>
      <c r="C23" s="7" t="s">
        <v>34</v>
      </c>
      <c r="D23" s="239"/>
      <c r="E23" s="239"/>
      <c r="F23" s="239"/>
      <c r="G23" s="239"/>
      <c r="H23" s="239"/>
      <c r="I23" s="239"/>
      <c r="J23" s="237"/>
      <c r="K23" s="237"/>
      <c r="L23" s="41" t="s">
        <v>35</v>
      </c>
      <c r="M23" s="11">
        <f>IF(J23="CUMPLE",0,1)</f>
        <v>1</v>
      </c>
      <c r="N23" s="3"/>
      <c r="O23" s="12">
        <f>+D22-30</f>
        <v>-30</v>
      </c>
      <c r="P23" s="3" t="s">
        <v>36</v>
      </c>
      <c r="Q23" s="3"/>
    </row>
    <row r="24" spans="1:19" ht="36.75" hidden="1" customHeight="1">
      <c r="A24" s="4"/>
      <c r="B24" s="4"/>
      <c r="C24" s="7" t="s">
        <v>37</v>
      </c>
      <c r="D24" s="239"/>
      <c r="E24" s="239"/>
      <c r="F24" s="240"/>
      <c r="G24" s="240"/>
      <c r="H24" s="240"/>
      <c r="I24" s="239"/>
      <c r="J24" s="237"/>
      <c r="K24" s="237"/>
      <c r="L24" s="41" t="s">
        <v>35</v>
      </c>
      <c r="M24" s="11">
        <f>IF(J24="CUMPLE",0,1)</f>
        <v>1</v>
      </c>
      <c r="N24" s="3"/>
      <c r="O24" s="13">
        <f>+D24+15</f>
        <v>15</v>
      </c>
      <c r="P24" s="3" t="s">
        <v>38</v>
      </c>
      <c r="Q24" s="3"/>
    </row>
    <row r="25" spans="1:19" s="14" customFormat="1" ht="36" hidden="1" customHeight="1" thickBot="1">
      <c r="A25" s="4"/>
      <c r="B25" s="4"/>
      <c r="C25" s="8" t="s">
        <v>39</v>
      </c>
      <c r="D25" s="230"/>
      <c r="E25" s="230"/>
      <c r="F25" s="230"/>
      <c r="G25" s="230"/>
      <c r="H25" s="230"/>
      <c r="I25" s="230"/>
      <c r="J25" s="237"/>
      <c r="K25" s="237"/>
      <c r="L25" s="41" t="s">
        <v>35</v>
      </c>
      <c r="M25" s="11">
        <f>IF(J25="CUMPLE",0,1)</f>
        <v>1</v>
      </c>
      <c r="N25" s="3"/>
      <c r="O25" s="13">
        <f>+D25+15</f>
        <v>15</v>
      </c>
      <c r="P25" s="3"/>
      <c r="Q25" s="3"/>
    </row>
    <row r="26" spans="1:19" ht="13.5" customHeight="1" thickBot="1">
      <c r="B26" s="4"/>
      <c r="C26" s="15"/>
      <c r="D26" s="16"/>
      <c r="E26" s="16"/>
      <c r="F26" s="17"/>
      <c r="G26" s="16"/>
      <c r="H26" s="16"/>
      <c r="I26" s="16"/>
      <c r="J26" s="18"/>
      <c r="K26" s="19"/>
      <c r="L26" s="40"/>
      <c r="M26" s="11"/>
      <c r="N26" s="3"/>
      <c r="O26" s="3"/>
      <c r="P26" s="3"/>
      <c r="Q26" s="3"/>
    </row>
    <row r="27" spans="1:19" ht="39" customHeight="1" thickBot="1">
      <c r="A27" s="4"/>
      <c r="B27" s="5"/>
      <c r="C27" s="241" t="s">
        <v>40</v>
      </c>
      <c r="D27" s="242"/>
      <c r="E27" s="242"/>
      <c r="F27" s="243"/>
      <c r="G27" s="242"/>
      <c r="H27" s="242"/>
      <c r="I27" s="242"/>
      <c r="J27" s="242"/>
      <c r="K27" s="244"/>
      <c r="L27" s="5"/>
      <c r="N27" s="3"/>
      <c r="O27" s="3"/>
      <c r="P27" s="3"/>
      <c r="Q27" s="3"/>
    </row>
    <row r="28" spans="1:19" ht="7.5" customHeight="1">
      <c r="A28" s="4"/>
      <c r="B28" s="5"/>
      <c r="C28" s="5"/>
      <c r="D28" s="5"/>
      <c r="E28" s="5"/>
      <c r="F28" s="20"/>
      <c r="G28" s="5"/>
      <c r="H28" s="5"/>
      <c r="I28" s="5"/>
      <c r="J28" s="5"/>
      <c r="K28" s="21"/>
      <c r="L28" s="5"/>
      <c r="N28" s="3"/>
      <c r="O28" s="3"/>
      <c r="P28" s="3"/>
      <c r="Q28" s="3"/>
    </row>
    <row r="29" spans="1:19" s="24" customFormat="1" ht="87" customHeight="1">
      <c r="A29" s="245" t="s">
        <v>41</v>
      </c>
      <c r="B29" s="245" t="s">
        <v>42</v>
      </c>
      <c r="C29" s="245" t="s">
        <v>43</v>
      </c>
      <c r="D29" s="245" t="s">
        <v>44</v>
      </c>
      <c r="E29" s="245" t="s">
        <v>45</v>
      </c>
      <c r="F29" s="23" t="str">
        <f>C8</f>
        <v>MARTINEZ OSPINA SOCIEDAD POR ACCIONES SIMPLIFICADA   NIT:900.105.523 7</v>
      </c>
      <c r="G29" s="22" t="str">
        <f>C14</f>
        <v>JORGE ENRIQUE MARTINEZ FONSECA  NIT: 19.169.883-2</v>
      </c>
      <c r="H29" s="22"/>
      <c r="I29" s="245" t="s">
        <v>46</v>
      </c>
      <c r="J29" s="245" t="s">
        <v>47</v>
      </c>
      <c r="K29" s="245" t="s">
        <v>48</v>
      </c>
      <c r="L29" s="246" t="s">
        <v>49</v>
      </c>
      <c r="M29" s="3"/>
      <c r="N29" s="3"/>
      <c r="O29" s="3"/>
      <c r="P29" s="3"/>
      <c r="Q29" s="3"/>
    </row>
    <row r="30" spans="1:19" s="24" customFormat="1" ht="27" customHeight="1">
      <c r="A30" s="245"/>
      <c r="B30" s="245"/>
      <c r="C30" s="245"/>
      <c r="D30" s="245"/>
      <c r="E30" s="245"/>
      <c r="F30" s="25">
        <v>0.7</v>
      </c>
      <c r="G30" s="26">
        <v>0.3</v>
      </c>
      <c r="H30" s="26"/>
      <c r="I30" s="245"/>
      <c r="J30" s="245"/>
      <c r="K30" s="245"/>
      <c r="L30" s="246"/>
      <c r="M30" s="3"/>
      <c r="N30" s="3"/>
      <c r="O30" s="3"/>
      <c r="P30" s="3"/>
      <c r="Q30" s="3"/>
    </row>
    <row r="31" spans="1:19" ht="33" customHeight="1">
      <c r="A31" s="247">
        <v>4.3</v>
      </c>
      <c r="B31" s="248" t="s">
        <v>51</v>
      </c>
      <c r="C31" s="249" t="s">
        <v>52</v>
      </c>
      <c r="D31" s="250">
        <f>'[3]CONSOLIDADO FINANCIERO'!L7*25%</f>
        <v>1320732991.5</v>
      </c>
      <c r="E31" s="27" t="s">
        <v>53</v>
      </c>
      <c r="F31" s="74">
        <v>1769775229</v>
      </c>
      <c r="G31" s="74">
        <v>2837025722</v>
      </c>
      <c r="H31" s="28"/>
      <c r="I31" s="251">
        <f>(F31-F32)+(G31-G32)</f>
        <v>4445460061</v>
      </c>
      <c r="J31" s="252" t="str">
        <f>IF(I31&gt;=D31,"CUMPLE","NO CUMPLE")</f>
        <v>CUMPLE</v>
      </c>
      <c r="K31" s="253" t="s">
        <v>54</v>
      </c>
      <c r="L31" s="254" t="s">
        <v>295</v>
      </c>
      <c r="M31" s="261">
        <f>IF(J31="CUMPLE",0,1)</f>
        <v>0</v>
      </c>
      <c r="N31" s="29"/>
      <c r="O31" s="3"/>
      <c r="P31" s="3"/>
      <c r="Q31" s="3"/>
      <c r="S31" s="46"/>
    </row>
    <row r="32" spans="1:19" ht="33" customHeight="1">
      <c r="A32" s="247"/>
      <c r="B32" s="248"/>
      <c r="C32" s="249"/>
      <c r="D32" s="250"/>
      <c r="E32" s="27" t="s">
        <v>56</v>
      </c>
      <c r="F32" s="74">
        <v>73218710</v>
      </c>
      <c r="G32" s="74">
        <v>88122180</v>
      </c>
      <c r="H32" s="28"/>
      <c r="I32" s="251"/>
      <c r="J32" s="252"/>
      <c r="K32" s="253"/>
      <c r="L32" s="255"/>
      <c r="M32" s="261"/>
      <c r="N32" s="3"/>
      <c r="O32" s="3"/>
      <c r="P32" s="3"/>
      <c r="Q32" s="3"/>
      <c r="S32" s="46"/>
    </row>
    <row r="33" spans="1:52" ht="33" customHeight="1">
      <c r="A33" s="247">
        <v>4.3</v>
      </c>
      <c r="B33" s="248" t="str">
        <f>B31</f>
        <v>4.3.1 CAPACIDAD FINANCIERA</v>
      </c>
      <c r="C33" s="249" t="s">
        <v>10</v>
      </c>
      <c r="D33" s="262">
        <v>1.9</v>
      </c>
      <c r="E33" s="27" t="s">
        <v>53</v>
      </c>
      <c r="F33" s="75">
        <f>F31</f>
        <v>1769775229</v>
      </c>
      <c r="G33" s="75">
        <f>G31</f>
        <v>2837025722</v>
      </c>
      <c r="H33" s="43"/>
      <c r="I33" s="263">
        <f>+((F33*F30)+(G33*G30)+(H33*H30))/((F34*F30)+(G34*G30)+(H34*H30))</f>
        <v>26.90123664960646</v>
      </c>
      <c r="J33" s="264" t="str">
        <f>IF(I33&gt;=D33,"CUMPLE","NO CUMPLE")</f>
        <v>CUMPLE</v>
      </c>
      <c r="K33" s="253" t="s">
        <v>54</v>
      </c>
      <c r="L33" s="255"/>
      <c r="M33" s="261">
        <f>IF(J33="CUMPLE",0,1)</f>
        <v>0</v>
      </c>
      <c r="N33" s="3"/>
      <c r="O33" s="3"/>
      <c r="P33" s="3"/>
      <c r="Q33" s="3"/>
      <c r="S33" s="46"/>
    </row>
    <row r="34" spans="1:52" ht="33" customHeight="1">
      <c r="A34" s="247"/>
      <c r="B34" s="248"/>
      <c r="C34" s="249"/>
      <c r="D34" s="262"/>
      <c r="E34" s="27" t="s">
        <v>56</v>
      </c>
      <c r="F34" s="75">
        <f>F32</f>
        <v>73218710</v>
      </c>
      <c r="G34" s="75">
        <f>G32</f>
        <v>88122180</v>
      </c>
      <c r="H34" s="35"/>
      <c r="I34" s="263"/>
      <c r="J34" s="264"/>
      <c r="K34" s="257"/>
      <c r="L34" s="255"/>
      <c r="M34" s="261"/>
      <c r="N34" s="3"/>
      <c r="O34" s="3"/>
      <c r="P34" s="3"/>
      <c r="Q34" s="3"/>
    </row>
    <row r="35" spans="1:52" ht="33" customHeight="1">
      <c r="A35" s="247">
        <v>4.3</v>
      </c>
      <c r="B35" s="248" t="str">
        <f>B33</f>
        <v>4.3.1 CAPACIDAD FINANCIERA</v>
      </c>
      <c r="C35" s="249" t="s">
        <v>11</v>
      </c>
      <c r="D35" s="267">
        <v>0.6</v>
      </c>
      <c r="E35" s="30" t="s">
        <v>57</v>
      </c>
      <c r="F35" s="74">
        <v>1253213414</v>
      </c>
      <c r="G35" s="74">
        <v>1452287051</v>
      </c>
      <c r="H35" s="35"/>
      <c r="I35" s="268">
        <f>((F35*F30)+(G35*G30)+(H35*H30))/((F36*F30)+(G36*G30)+(H36*H30))</f>
        <v>0.42093629247212733</v>
      </c>
      <c r="J35" s="264" t="str">
        <f>IF(I35&lt;=D35,"CUMPLE","NO CUMPLE")</f>
        <v>CUMPLE</v>
      </c>
      <c r="K35" s="253" t="s">
        <v>54</v>
      </c>
      <c r="L35" s="255"/>
      <c r="M35" s="261">
        <f>IF(J35="CUMPLE",0,1)</f>
        <v>0</v>
      </c>
      <c r="N35" s="3"/>
      <c r="O35" s="3"/>
      <c r="P35" s="3"/>
      <c r="Q35" s="3"/>
    </row>
    <row r="36" spans="1:52" ht="33" customHeight="1">
      <c r="A36" s="247"/>
      <c r="B36" s="248"/>
      <c r="C36" s="249"/>
      <c r="D36" s="267"/>
      <c r="E36" s="30" t="s">
        <v>58</v>
      </c>
      <c r="F36" s="74">
        <v>2809427603</v>
      </c>
      <c r="G36" s="74">
        <v>3841614407</v>
      </c>
      <c r="H36" s="35"/>
      <c r="I36" s="268"/>
      <c r="J36" s="264"/>
      <c r="K36" s="257"/>
      <c r="L36" s="255"/>
      <c r="M36" s="261"/>
      <c r="N36" s="3"/>
      <c r="O36" s="3"/>
      <c r="P36" s="3"/>
      <c r="Q36" s="3"/>
    </row>
    <row r="37" spans="1:52" s="32" customFormat="1" ht="27.75" customHeight="1">
      <c r="A37" s="247">
        <v>4.3</v>
      </c>
      <c r="B37" s="248" t="str">
        <f>B35</f>
        <v>4.3.1 CAPACIDAD FINANCIERA</v>
      </c>
      <c r="C37" s="249" t="s">
        <v>12</v>
      </c>
      <c r="D37" s="265">
        <v>1.49</v>
      </c>
      <c r="E37" s="30" t="s">
        <v>59</v>
      </c>
      <c r="F37" s="74">
        <v>544804911</v>
      </c>
      <c r="G37" s="74">
        <v>453005673</v>
      </c>
      <c r="H37" s="35"/>
      <c r="I37" s="266">
        <f>((F37*F30)+(G37*G30)+(H37*H30))/((F38*F30)+(G38*G30)+(H38*H30))</f>
        <v>9.5588912242084305</v>
      </c>
      <c r="J37" s="264" t="str">
        <f>IF(I37&gt;=D37,"CUMPLE","NO CUMPLE")</f>
        <v>CUMPLE</v>
      </c>
      <c r="K37" s="258" t="s">
        <v>54</v>
      </c>
      <c r="L37" s="255"/>
      <c r="M37" s="261">
        <f>IF(J37="CUMPLE",0,1)</f>
        <v>0</v>
      </c>
      <c r="N37" s="31"/>
      <c r="O37" s="31"/>
      <c r="P37" s="31"/>
      <c r="Q37" s="31"/>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row>
    <row r="38" spans="1:52" s="32" customFormat="1" ht="27.75" customHeight="1">
      <c r="A38" s="247"/>
      <c r="B38" s="248"/>
      <c r="C38" s="249"/>
      <c r="D38" s="265"/>
      <c r="E38" s="30" t="s">
        <v>60</v>
      </c>
      <c r="F38" s="74">
        <v>25980987</v>
      </c>
      <c r="G38" s="74">
        <v>119756058</v>
      </c>
      <c r="H38" s="35"/>
      <c r="I38" s="266"/>
      <c r="J38" s="264"/>
      <c r="K38" s="258"/>
      <c r="L38" s="255"/>
      <c r="M38" s="261"/>
      <c r="N38" s="31"/>
      <c r="O38" s="31"/>
      <c r="P38" s="31"/>
      <c r="Q38" s="31"/>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row>
    <row r="39" spans="1:52" s="34" customFormat="1" ht="33" customHeight="1">
      <c r="A39" s="247">
        <v>4.3</v>
      </c>
      <c r="B39" s="248" t="s">
        <v>62</v>
      </c>
      <c r="C39" s="269" t="s">
        <v>13</v>
      </c>
      <c r="D39" s="270">
        <v>0.11</v>
      </c>
      <c r="E39" s="30" t="s">
        <v>63</v>
      </c>
      <c r="F39" s="75">
        <f>F37</f>
        <v>544804911</v>
      </c>
      <c r="G39" s="75">
        <f>G37</f>
        <v>453005673</v>
      </c>
      <c r="H39" s="33"/>
      <c r="I39" s="271">
        <f>((F39*F30)+(G39*G30)+(H39*H30))/((F40*F30)+(G40*G30)+(H40*H30))</f>
        <v>0.28639131442327442</v>
      </c>
      <c r="J39" s="264" t="str">
        <f>IF(I39&gt;=D39,"CUMPLE","NO CUMPLE")</f>
        <v>CUMPLE</v>
      </c>
      <c r="K39" s="258" t="s">
        <v>54</v>
      </c>
      <c r="L39" s="255"/>
      <c r="M39" s="261">
        <f>IF(J39="CUMPLE",0,1)</f>
        <v>0</v>
      </c>
      <c r="N39" s="3"/>
      <c r="O39" s="3"/>
      <c r="P39" s="3"/>
      <c r="Q39" s="3"/>
    </row>
    <row r="40" spans="1:52" s="34" customFormat="1" ht="33" customHeight="1">
      <c r="A40" s="247"/>
      <c r="B40" s="248"/>
      <c r="C40" s="269"/>
      <c r="D40" s="270"/>
      <c r="E40" s="30" t="s">
        <v>64</v>
      </c>
      <c r="F40" s="74">
        <v>1556214189</v>
      </c>
      <c r="G40" s="74">
        <v>2389327356</v>
      </c>
      <c r="H40" s="35"/>
      <c r="I40" s="271"/>
      <c r="J40" s="264"/>
      <c r="K40" s="258"/>
      <c r="L40" s="255"/>
      <c r="M40" s="261"/>
      <c r="N40" s="3"/>
      <c r="O40" s="3"/>
      <c r="P40" s="3"/>
      <c r="Q40" s="3"/>
    </row>
    <row r="41" spans="1:52" s="34" customFormat="1" ht="33" customHeight="1">
      <c r="A41" s="247">
        <v>4.3</v>
      </c>
      <c r="B41" s="248" t="str">
        <f>+B39</f>
        <v>4.3.2 capacidad Organizacional</v>
      </c>
      <c r="C41" s="269" t="s">
        <v>65</v>
      </c>
      <c r="D41" s="270">
        <v>0.05</v>
      </c>
      <c r="E41" s="30" t="s">
        <v>63</v>
      </c>
      <c r="F41" s="75">
        <f>F37</f>
        <v>544804911</v>
      </c>
      <c r="G41" s="75">
        <f>G39</f>
        <v>453005673</v>
      </c>
      <c r="H41" s="35"/>
      <c r="I41" s="271">
        <f>((F41*F30)+(G41*G30)+(H41*H30))/((F42*F30)+(G42*G30)+(H42*H30))</f>
        <v>0.16583881633372199</v>
      </c>
      <c r="J41" s="264" t="str">
        <f>IF(I41&gt;=D41,"CUMPLE","NO CUMPLE")</f>
        <v>CUMPLE</v>
      </c>
      <c r="K41" s="258" t="s">
        <v>54</v>
      </c>
      <c r="L41" s="255"/>
      <c r="M41" s="261">
        <f>IF(J41="CUMPLE",0,1)</f>
        <v>0</v>
      </c>
      <c r="N41" s="3"/>
      <c r="O41" s="3"/>
      <c r="P41" s="3"/>
      <c r="Q41" s="3"/>
    </row>
    <row r="42" spans="1:52" s="34" customFormat="1" ht="33" customHeight="1">
      <c r="A42" s="247"/>
      <c r="B42" s="248"/>
      <c r="C42" s="269"/>
      <c r="D42" s="270"/>
      <c r="E42" s="30" t="s">
        <v>66</v>
      </c>
      <c r="F42" s="75">
        <v>2809427603</v>
      </c>
      <c r="G42" s="75">
        <f>G36</f>
        <v>3841614407</v>
      </c>
      <c r="H42" s="35"/>
      <c r="I42" s="271"/>
      <c r="J42" s="264"/>
      <c r="K42" s="258"/>
      <c r="L42" s="255"/>
      <c r="M42" s="261"/>
      <c r="N42" s="3"/>
      <c r="O42" s="3"/>
      <c r="P42" s="3"/>
      <c r="Q42" s="3"/>
    </row>
    <row r="43" spans="1:52" s="37" customFormat="1" ht="27.75" customHeight="1">
      <c r="A43" s="247">
        <v>4.3</v>
      </c>
      <c r="B43" s="248" t="str">
        <f>B31</f>
        <v>4.3.1 CAPACIDAD FINANCIERA</v>
      </c>
      <c r="C43" s="249" t="s">
        <v>67</v>
      </c>
      <c r="D43" s="278">
        <f>'[3]CONSOLIDADO FINANCIERO'!L7*30%</f>
        <v>1584879589.8</v>
      </c>
      <c r="E43" s="30" t="s">
        <v>66</v>
      </c>
      <c r="F43" s="75">
        <f>F42</f>
        <v>2809427603</v>
      </c>
      <c r="G43" s="75">
        <f>G42</f>
        <v>3841614407</v>
      </c>
      <c r="H43" s="33"/>
      <c r="I43" s="279">
        <f>(F43-F44)+(G43-G44)</f>
        <v>3945541545</v>
      </c>
      <c r="J43" s="252" t="str">
        <f>IF(I43&gt;=D43,"CUMPLE","NO CUMPLE")</f>
        <v>CUMPLE</v>
      </c>
      <c r="K43" s="259" t="s">
        <v>54</v>
      </c>
      <c r="L43" s="255"/>
      <c r="M43" s="261">
        <f>IF(J43="CUMPLE",0,1)</f>
        <v>0</v>
      </c>
      <c r="N43" s="36"/>
      <c r="O43" s="31"/>
      <c r="P43" s="31"/>
      <c r="Q43" s="31"/>
    </row>
    <row r="44" spans="1:52" s="37" customFormat="1" ht="27.75" customHeight="1" thickBot="1">
      <c r="A44" s="247"/>
      <c r="B44" s="248"/>
      <c r="C44" s="249"/>
      <c r="D44" s="278"/>
      <c r="E44" s="44" t="s">
        <v>68</v>
      </c>
      <c r="F44" s="76">
        <v>1253213414</v>
      </c>
      <c r="G44" s="76">
        <f>G35</f>
        <v>1452287051</v>
      </c>
      <c r="H44" s="33"/>
      <c r="I44" s="280"/>
      <c r="J44" s="281"/>
      <c r="K44" s="260"/>
      <c r="L44" s="256"/>
      <c r="M44" s="261"/>
      <c r="N44" s="31"/>
      <c r="O44" s="31"/>
      <c r="P44" s="31"/>
      <c r="Q44" s="31"/>
    </row>
    <row r="45" spans="1:52" ht="34.5" customHeight="1" thickBot="1">
      <c r="A45" s="4"/>
      <c r="B45" s="4"/>
      <c r="C45" s="4"/>
      <c r="D45" s="4"/>
      <c r="E45" s="272" t="s">
        <v>69</v>
      </c>
      <c r="F45" s="273"/>
      <c r="G45" s="274"/>
      <c r="H45" s="38"/>
      <c r="I45" s="275" t="str">
        <f>IF(M45&gt;0,"NO CUMPLE","CUMPLE")</f>
        <v>CUMPLE</v>
      </c>
      <c r="J45" s="276"/>
      <c r="K45" s="277"/>
      <c r="L45" s="4"/>
      <c r="M45" s="81">
        <f>SUM(M31:M44)</f>
        <v>0</v>
      </c>
      <c r="N45" s="3"/>
      <c r="O45" s="3"/>
      <c r="P45" s="3"/>
      <c r="Q45" s="3"/>
    </row>
    <row r="46" spans="1:52">
      <c r="A46" s="4"/>
      <c r="B46" s="4"/>
      <c r="C46" s="4"/>
      <c r="D46" s="4"/>
      <c r="E46" s="38"/>
      <c r="F46" s="38"/>
      <c r="G46" s="38"/>
      <c r="H46" s="38"/>
      <c r="I46" s="38"/>
      <c r="J46" s="38"/>
      <c r="K46" s="38"/>
      <c r="L46" s="4"/>
      <c r="N46" s="3"/>
      <c r="O46" s="3"/>
      <c r="P46" s="3"/>
      <c r="Q46" s="3"/>
    </row>
    <row r="47" spans="1:52">
      <c r="A47" s="4"/>
      <c r="B47" s="4"/>
      <c r="C47" s="4"/>
      <c r="D47" s="4"/>
      <c r="E47" s="4"/>
      <c r="F47" s="4"/>
      <c r="G47" s="4"/>
      <c r="H47" s="4"/>
      <c r="I47" s="4"/>
      <c r="J47" s="4"/>
      <c r="K47" s="4"/>
      <c r="L47" s="4"/>
      <c r="N47" s="3"/>
      <c r="O47" s="3"/>
      <c r="P47" s="3"/>
      <c r="Q47" s="3"/>
    </row>
    <row r="48" spans="1:52">
      <c r="A48" s="4"/>
      <c r="B48" s="4"/>
      <c r="C48" s="4"/>
      <c r="D48" s="4"/>
      <c r="E48" s="4"/>
      <c r="F48" s="4"/>
      <c r="G48" s="4"/>
      <c r="H48" s="4"/>
      <c r="I48" s="4"/>
      <c r="J48" s="4"/>
      <c r="K48" s="4"/>
      <c r="L48" s="4"/>
      <c r="N48" s="3"/>
      <c r="O48" s="3"/>
      <c r="P48" s="3"/>
      <c r="Q48" s="3"/>
    </row>
  </sheetData>
  <sheetProtection algorithmName="SHA-512" hashValue="osgUB4LotHAjZnNI+ynJGITG7yn7Lyo10paG2+Nag49urbmoB99276NvAzNAkKlMZQE2O80RiIUENGPDaqWLjw==" saltValue="mBQYsWN9pqz1LQLZ09skSA==" spinCount="100000" sheet="1" objects="1" scenarios="1"/>
  <mergeCells count="102">
    <mergeCell ref="C1:K1"/>
    <mergeCell ref="D3:K3"/>
    <mergeCell ref="D4:K4"/>
    <mergeCell ref="D5:K5"/>
    <mergeCell ref="C7:K7"/>
    <mergeCell ref="C8:K8"/>
    <mergeCell ref="D12:I12"/>
    <mergeCell ref="J12:K12"/>
    <mergeCell ref="C13:K13"/>
    <mergeCell ref="C14:K14"/>
    <mergeCell ref="D15:I15"/>
    <mergeCell ref="J15:K15"/>
    <mergeCell ref="D9:I9"/>
    <mergeCell ref="J9:K9"/>
    <mergeCell ref="D10:I10"/>
    <mergeCell ref="J10:K10"/>
    <mergeCell ref="D11:I11"/>
    <mergeCell ref="J11:K11"/>
    <mergeCell ref="C20:K20"/>
    <mergeCell ref="D22:I22"/>
    <mergeCell ref="J22:K22"/>
    <mergeCell ref="D23:I23"/>
    <mergeCell ref="J23:K23"/>
    <mergeCell ref="D24:I24"/>
    <mergeCell ref="J24:K24"/>
    <mergeCell ref="D16:I16"/>
    <mergeCell ref="J16:K16"/>
    <mergeCell ref="D17:I17"/>
    <mergeCell ref="J17:K17"/>
    <mergeCell ref="D18:I18"/>
    <mergeCell ref="J18:K18"/>
    <mergeCell ref="D25:I25"/>
    <mergeCell ref="J25:K25"/>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4"/>
    <mergeCell ref="K35:K36"/>
    <mergeCell ref="K39:K40"/>
    <mergeCell ref="K43:K44"/>
    <mergeCell ref="M31:M32"/>
    <mergeCell ref="A33:A34"/>
    <mergeCell ref="B33:B34"/>
    <mergeCell ref="C33:C34"/>
    <mergeCell ref="D33:D34"/>
    <mergeCell ref="I33:I34"/>
    <mergeCell ref="J33:J34"/>
    <mergeCell ref="K33:K34"/>
    <mergeCell ref="M33:M34"/>
    <mergeCell ref="M35:M36"/>
    <mergeCell ref="A37:A38"/>
    <mergeCell ref="B37:B38"/>
    <mergeCell ref="C37:C38"/>
    <mergeCell ref="D37:D38"/>
    <mergeCell ref="I37:I38"/>
    <mergeCell ref="J37:J38"/>
    <mergeCell ref="K37:K38"/>
    <mergeCell ref="M37:M38"/>
    <mergeCell ref="A35:A36"/>
    <mergeCell ref="B35:B36"/>
    <mergeCell ref="C35:C36"/>
    <mergeCell ref="D35:D36"/>
    <mergeCell ref="I35:I36"/>
    <mergeCell ref="J35:J36"/>
    <mergeCell ref="M39:M40"/>
    <mergeCell ref="A41:A42"/>
    <mergeCell ref="B41:B42"/>
    <mergeCell ref="C41:C42"/>
    <mergeCell ref="D41:D42"/>
    <mergeCell ref="I41:I42"/>
    <mergeCell ref="J41:J42"/>
    <mergeCell ref="K41:K42"/>
    <mergeCell ref="M41:M42"/>
    <mergeCell ref="A39:A40"/>
    <mergeCell ref="B39:B40"/>
    <mergeCell ref="C39:C40"/>
    <mergeCell ref="D39:D40"/>
    <mergeCell ref="I39:I40"/>
    <mergeCell ref="J39:J40"/>
    <mergeCell ref="M43:M44"/>
    <mergeCell ref="E45:G45"/>
    <mergeCell ref="I45:K45"/>
    <mergeCell ref="A43:A44"/>
    <mergeCell ref="B43:B44"/>
    <mergeCell ref="C43:C44"/>
    <mergeCell ref="D43:D44"/>
    <mergeCell ref="I43:I44"/>
    <mergeCell ref="J43:J44"/>
  </mergeCells>
  <conditionalFormatting sqref="J10:J12">
    <cfRule type="cellIs" dxfId="103" priority="11" operator="equal">
      <formula>"CUMPLE"</formula>
    </cfRule>
  </conditionalFormatting>
  <conditionalFormatting sqref="J16:J18">
    <cfRule type="cellIs" dxfId="102" priority="1" operator="equal">
      <formula>"CUMPLE"</formula>
    </cfRule>
  </conditionalFormatting>
  <conditionalFormatting sqref="J23:J25">
    <cfRule type="cellIs" dxfId="101" priority="3" operator="equal">
      <formula>"CUMPLE"</formula>
    </cfRule>
  </conditionalFormatting>
  <conditionalFormatting sqref="J31:J44">
    <cfRule type="cellIs" dxfId="100" priority="6" operator="equal">
      <formula>"CUMPLE"</formula>
    </cfRule>
    <cfRule type="cellIs" dxfId="99" priority="7" operator="equal">
      <formula>"NO CUMPLE"</formula>
    </cfRule>
  </conditionalFormatting>
  <conditionalFormatting sqref="J19:K19">
    <cfRule type="cellIs" dxfId="98" priority="10" operator="equal">
      <formula>"CUMPLE"</formula>
    </cfRule>
  </conditionalFormatting>
  <conditionalFormatting sqref="J26:K26">
    <cfRule type="cellIs" dxfId="97" priority="2" operator="equal">
      <formula>"CUMPLE"</formula>
    </cfRule>
  </conditionalFormatting>
  <conditionalFormatting sqref="K31">
    <cfRule type="cellIs" dxfId="96" priority="20" operator="equal">
      <formula>"CUMPLE"</formula>
    </cfRule>
    <cfRule type="cellIs" dxfId="95" priority="21" operator="equal">
      <formula>"NO CUMPLE"</formula>
    </cfRule>
  </conditionalFormatting>
  <conditionalFormatting sqref="K33 K35 K39 K41">
    <cfRule type="cellIs" dxfId="94" priority="16" operator="equal">
      <formula>"CUMPLE"</formula>
    </cfRule>
    <cfRule type="cellIs" dxfId="93" priority="17" operator="equal">
      <formula>"NO CUMPLE"</formula>
    </cfRule>
  </conditionalFormatting>
  <conditionalFormatting sqref="K37">
    <cfRule type="cellIs" dxfId="92" priority="4" operator="equal">
      <formula>"CUMPLE"</formula>
    </cfRule>
    <cfRule type="cellIs" dxfId="91" priority="5" operator="equal">
      <formula>"NO CUMPLE"</formula>
    </cfRule>
  </conditionalFormatting>
  <conditionalFormatting sqref="K43">
    <cfRule type="cellIs" dxfId="90" priority="8" operator="equal">
      <formula>"CUMPLE"</formula>
    </cfRule>
    <cfRule type="cellIs" dxfId="89" priority="9" operator="equal">
      <formula>"NO CUMPLE"</formula>
    </cfRule>
  </conditionalFormatting>
  <conditionalFormatting sqref="M10:M12">
    <cfRule type="cellIs" dxfId="88" priority="14" operator="equal">
      <formula>"CUMPLE"</formula>
    </cfRule>
    <cfRule type="cellIs" dxfId="87" priority="15" operator="equal">
      <formula>"NO CUMPLE"</formula>
    </cfRule>
  </conditionalFormatting>
  <conditionalFormatting sqref="M16:M19 M23:M26">
    <cfRule type="cellIs" dxfId="86" priority="12" operator="equal">
      <formula>"CUMPLE"</formula>
    </cfRule>
    <cfRule type="cellIs" dxfId="85" priority="13" operator="equal">
      <formula>"NO CUMPLE"</formula>
    </cfRule>
  </conditionalFormatting>
  <conditionalFormatting sqref="M31 M33 M35 M37 M39 M41 M43">
    <cfRule type="cellIs" dxfId="84" priority="18" operator="equal">
      <formula>"CUMPLE"</formula>
    </cfRule>
    <cfRule type="cellIs" dxfId="83" priority="19" operator="equal">
      <formula>"NO CUMPLE"</formula>
    </cfRule>
  </conditionalFormatting>
  <pageMargins left="0.70866141732283472" right="0.70866141732283472" top="0.74803149606299213" bottom="0.74803149606299213" header="0.31496062992125984" footer="0.31496062992125984"/>
  <pageSetup scale="33" fitToHeight="0"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1B682-2998-4D5A-B710-5958B512B339}">
  <sheetPr>
    <tabColor rgb="FF92D050"/>
  </sheetPr>
  <dimension ref="A1:BN148"/>
  <sheetViews>
    <sheetView showGridLines="0" topLeftCell="C12" zoomScale="70" zoomScaleNormal="70" zoomScaleSheetLayoutView="50" workbookViewId="0">
      <selection activeCell="K15" sqref="K15"/>
    </sheetView>
  </sheetViews>
  <sheetFormatPr baseColWidth="10" defaultColWidth="11.42578125" defaultRowHeight="15"/>
  <cols>
    <col min="2" max="2" width="10.5703125" customWidth="1"/>
    <col min="3" max="3" width="8" customWidth="1"/>
    <col min="4" max="4" width="23.85546875" bestFit="1" customWidth="1"/>
    <col min="5" max="5" width="64.140625" customWidth="1"/>
    <col min="6" max="6" width="19.140625" bestFit="1" customWidth="1"/>
    <col min="7" max="7" width="13.7109375" bestFit="1" customWidth="1"/>
    <col min="8" max="8" width="27" customWidth="1"/>
    <col min="9" max="9" width="32.140625" customWidth="1"/>
    <col min="10" max="10" width="35.42578125" customWidth="1"/>
    <col min="11" max="11" width="22" customWidth="1"/>
    <col min="12" max="12" width="23.5703125" customWidth="1"/>
    <col min="13" max="13" width="7.42578125" customWidth="1"/>
    <col min="14" max="14" width="20.7109375" customWidth="1"/>
    <col min="15" max="15" width="10.5703125" customWidth="1"/>
    <col min="16" max="16" width="20.7109375" customWidth="1"/>
    <col min="17" max="17" width="19.28515625" customWidth="1"/>
    <col min="18" max="18" width="20.28515625" customWidth="1"/>
    <col min="19" max="19" width="20.85546875" customWidth="1"/>
    <col min="20" max="20" width="22" customWidth="1"/>
    <col min="21" max="21" width="20.140625" bestFit="1" customWidth="1"/>
    <col min="22" max="22" width="18.5703125" bestFit="1" customWidth="1"/>
  </cols>
  <sheetData>
    <row r="1" spans="1:66" ht="15" customHeight="1">
      <c r="A1" s="330"/>
      <c r="B1" s="331"/>
      <c r="C1" s="331"/>
      <c r="D1" s="332"/>
      <c r="E1" s="339" t="s">
        <v>70</v>
      </c>
      <c r="F1" s="340"/>
      <c r="G1" s="340"/>
      <c r="H1" s="340"/>
      <c r="I1" s="340"/>
      <c r="J1" s="341"/>
    </row>
    <row r="2" spans="1:66">
      <c r="A2" s="333"/>
      <c r="B2" s="334"/>
      <c r="C2" s="334"/>
      <c r="D2" s="335"/>
      <c r="E2" s="342"/>
      <c r="F2" s="343"/>
      <c r="G2" s="343"/>
      <c r="H2" s="343"/>
      <c r="I2" s="343"/>
      <c r="J2" s="344"/>
    </row>
    <row r="3" spans="1:66">
      <c r="A3" s="333"/>
      <c r="B3" s="334"/>
      <c r="C3" s="334"/>
      <c r="D3" s="335"/>
      <c r="E3" s="342"/>
      <c r="F3" s="343"/>
      <c r="G3" s="343"/>
      <c r="H3" s="343"/>
      <c r="I3" s="343"/>
      <c r="J3" s="344"/>
    </row>
    <row r="4" spans="1:66" ht="38.25" customHeight="1" thickBot="1">
      <c r="A4" s="336"/>
      <c r="B4" s="337"/>
      <c r="C4" s="337"/>
      <c r="D4" s="338"/>
      <c r="E4" s="345"/>
      <c r="F4" s="346"/>
      <c r="G4" s="346"/>
      <c r="H4" s="346"/>
      <c r="I4" s="346"/>
      <c r="J4" s="347"/>
    </row>
    <row r="5" spans="1:66" ht="42" customHeight="1" thickBot="1">
      <c r="A5" s="348" t="s">
        <v>71</v>
      </c>
      <c r="B5" s="349"/>
      <c r="C5" s="349"/>
      <c r="D5" s="349"/>
      <c r="E5" s="349"/>
      <c r="F5" s="349"/>
      <c r="G5" s="349"/>
      <c r="H5" s="349"/>
      <c r="I5" s="349"/>
      <c r="J5" s="349"/>
    </row>
    <row r="6" spans="1:66" ht="34.5" customHeight="1" thickBot="1">
      <c r="A6" s="317" t="s">
        <v>72</v>
      </c>
      <c r="B6" s="318"/>
      <c r="C6" s="318"/>
      <c r="D6" s="319"/>
      <c r="E6" s="329" t="s">
        <v>318</v>
      </c>
      <c r="F6" s="321"/>
      <c r="G6" s="321"/>
      <c r="H6" s="321"/>
      <c r="I6" s="321"/>
      <c r="J6" s="322"/>
    </row>
    <row r="7" spans="1:66" ht="53.25" customHeight="1" thickBot="1">
      <c r="A7" s="317" t="s">
        <v>73</v>
      </c>
      <c r="B7" s="318"/>
      <c r="C7" s="318"/>
      <c r="D7" s="319"/>
      <c r="E7" s="350" t="s">
        <v>74</v>
      </c>
      <c r="F7" s="351"/>
      <c r="G7" s="351"/>
      <c r="H7" s="351"/>
      <c r="I7" s="351"/>
      <c r="J7" s="352"/>
    </row>
    <row r="8" spans="1:66" ht="27" customHeight="1" thickBot="1">
      <c r="A8" s="317" t="s">
        <v>75</v>
      </c>
      <c r="B8" s="318"/>
      <c r="C8" s="318"/>
      <c r="D8" s="319"/>
      <c r="E8" s="329" t="s">
        <v>322</v>
      </c>
      <c r="F8" s="321"/>
      <c r="G8" s="321"/>
      <c r="H8" s="321"/>
      <c r="I8" s="321"/>
      <c r="J8" s="322"/>
    </row>
    <row r="9" spans="1:66" ht="27" customHeight="1" thickBot="1">
      <c r="A9" s="317" t="s">
        <v>77</v>
      </c>
      <c r="B9" s="318"/>
      <c r="C9" s="318"/>
      <c r="D9" s="319"/>
      <c r="E9" s="329"/>
      <c r="F9" s="321"/>
      <c r="G9" s="321"/>
      <c r="H9" s="321"/>
      <c r="I9" s="321"/>
      <c r="J9" s="322"/>
    </row>
    <row r="10" spans="1:66" ht="27" customHeight="1" thickBot="1">
      <c r="A10" s="317" t="s">
        <v>79</v>
      </c>
      <c r="B10" s="318"/>
      <c r="C10" s="318"/>
      <c r="D10" s="319"/>
      <c r="E10" s="329" t="s">
        <v>319</v>
      </c>
      <c r="F10" s="321"/>
      <c r="G10" s="321"/>
      <c r="H10" s="321"/>
      <c r="I10" s="321"/>
      <c r="J10" s="322"/>
    </row>
    <row r="11" spans="1:66" ht="27" customHeight="1" thickBot="1">
      <c r="A11" s="317" t="s">
        <v>81</v>
      </c>
      <c r="B11" s="318"/>
      <c r="C11" s="318"/>
      <c r="D11" s="319"/>
      <c r="E11" s="320">
        <v>1088260821</v>
      </c>
      <c r="F11" s="321"/>
      <c r="G11" s="321"/>
      <c r="H11" s="321"/>
      <c r="I11" s="321"/>
      <c r="J11" s="322"/>
    </row>
    <row r="12" spans="1:66" ht="225.75" customHeight="1" thickBot="1">
      <c r="A12" s="323" t="s">
        <v>82</v>
      </c>
      <c r="B12" s="324"/>
      <c r="C12" s="324"/>
      <c r="D12" s="324"/>
      <c r="E12" s="324"/>
      <c r="F12" s="324"/>
      <c r="G12" s="324"/>
      <c r="H12" s="324"/>
      <c r="I12" s="324"/>
      <c r="J12" s="325"/>
    </row>
    <row r="13" spans="1:66" ht="12.75" customHeight="1"/>
    <row r="14" spans="1:66" ht="48" customHeight="1">
      <c r="A14" s="326" t="s">
        <v>83</v>
      </c>
      <c r="B14" s="326"/>
      <c r="C14" s="326" t="s">
        <v>84</v>
      </c>
      <c r="D14" s="326"/>
      <c r="E14" s="326"/>
      <c r="F14" s="327" t="s">
        <v>85</v>
      </c>
      <c r="G14" s="327" t="s">
        <v>86</v>
      </c>
      <c r="H14" s="327" t="s">
        <v>87</v>
      </c>
      <c r="I14" s="328" t="s">
        <v>88</v>
      </c>
      <c r="J14" s="328"/>
      <c r="BN14" s="84"/>
    </row>
    <row r="15" spans="1:66" ht="48.75" customHeight="1">
      <c r="A15" s="326"/>
      <c r="B15" s="326"/>
      <c r="C15" s="326"/>
      <c r="D15" s="326"/>
      <c r="E15" s="326"/>
      <c r="F15" s="327"/>
      <c r="G15" s="327"/>
      <c r="H15" s="327"/>
      <c r="I15" s="85" t="s">
        <v>89</v>
      </c>
      <c r="J15" s="85" t="s">
        <v>90</v>
      </c>
      <c r="K15" s="132" t="s">
        <v>91</v>
      </c>
      <c r="L15" s="173" t="s">
        <v>296</v>
      </c>
      <c r="BN15" s="84"/>
    </row>
    <row r="16" spans="1:66" ht="60.75" customHeight="1">
      <c r="A16" s="310" t="s">
        <v>93</v>
      </c>
      <c r="B16" s="310"/>
      <c r="C16" s="303" t="s">
        <v>94</v>
      </c>
      <c r="D16" s="303"/>
      <c r="E16" s="303"/>
      <c r="F16" s="86" t="s">
        <v>95</v>
      </c>
      <c r="G16" s="87">
        <v>2000</v>
      </c>
      <c r="H16" s="88">
        <v>16341</v>
      </c>
      <c r="I16" s="88">
        <v>15361</v>
      </c>
      <c r="J16" s="88">
        <f>+ROUND(I16*G16,0)</f>
        <v>30722000</v>
      </c>
      <c r="K16" s="133">
        <f>I16-H16</f>
        <v>-980</v>
      </c>
      <c r="L16" s="134">
        <f>I16/H16</f>
        <v>0.94002815005201645</v>
      </c>
      <c r="M16" s="182"/>
      <c r="N16" s="182" t="str">
        <f>+IF(I16&lt;H16,"OK",IF(I16=0," "))</f>
        <v>OK</v>
      </c>
      <c r="BN16" s="89"/>
    </row>
    <row r="17" spans="1:66" ht="60.75" customHeight="1">
      <c r="A17" s="310" t="s">
        <v>96</v>
      </c>
      <c r="B17" s="310"/>
      <c r="C17" s="303" t="s">
        <v>97</v>
      </c>
      <c r="D17" s="303"/>
      <c r="E17" s="303"/>
      <c r="F17" s="86" t="s">
        <v>98</v>
      </c>
      <c r="G17" s="87">
        <v>300</v>
      </c>
      <c r="H17" s="88">
        <v>43227</v>
      </c>
      <c r="I17" s="88">
        <v>40633</v>
      </c>
      <c r="J17" s="88">
        <f t="shared" ref="J17:J72" si="0">+ROUND(I17*G17,0)</f>
        <v>12189900</v>
      </c>
      <c r="K17" s="133">
        <f t="shared" ref="K17:K80" si="1">I17-H17</f>
        <v>-2594</v>
      </c>
      <c r="L17" s="134">
        <f t="shared" ref="L17:L80" si="2">I17/H17</f>
        <v>0.93999120919795498</v>
      </c>
      <c r="M17" s="182"/>
      <c r="N17" s="182" t="str">
        <f t="shared" ref="N17:N80" si="3">+IF(I17&lt;H17,"OK",IF(I17=0," "))</f>
        <v>OK</v>
      </c>
      <c r="BN17" s="90"/>
    </row>
    <row r="18" spans="1:66" ht="60.75" customHeight="1">
      <c r="A18" s="310" t="s">
        <v>99</v>
      </c>
      <c r="B18" s="310"/>
      <c r="C18" s="303" t="s">
        <v>100</v>
      </c>
      <c r="D18" s="303"/>
      <c r="E18" s="303"/>
      <c r="F18" s="86" t="s">
        <v>98</v>
      </c>
      <c r="G18" s="87">
        <v>2332.42</v>
      </c>
      <c r="H18" s="88">
        <v>30375</v>
      </c>
      <c r="I18" s="88">
        <v>28553</v>
      </c>
      <c r="J18" s="88">
        <f t="shared" si="0"/>
        <v>66597588</v>
      </c>
      <c r="K18" s="133">
        <f t="shared" si="1"/>
        <v>-1822</v>
      </c>
      <c r="L18" s="134">
        <f t="shared" si="2"/>
        <v>0.94001646090534985</v>
      </c>
      <c r="M18" s="182"/>
      <c r="N18" s="182" t="str">
        <f t="shared" si="3"/>
        <v>OK</v>
      </c>
      <c r="BN18" s="89"/>
    </row>
    <row r="19" spans="1:66" ht="60.75" customHeight="1">
      <c r="A19" s="310" t="s">
        <v>101</v>
      </c>
      <c r="B19" s="310"/>
      <c r="C19" s="303" t="s">
        <v>102</v>
      </c>
      <c r="D19" s="303"/>
      <c r="E19" s="303"/>
      <c r="F19" s="86" t="s">
        <v>98</v>
      </c>
      <c r="G19" s="87">
        <v>2332.42</v>
      </c>
      <c r="H19" s="88">
        <v>64685</v>
      </c>
      <c r="I19" s="88">
        <v>60804</v>
      </c>
      <c r="J19" s="88">
        <f t="shared" si="0"/>
        <v>141820466</v>
      </c>
      <c r="K19" s="133">
        <f t="shared" si="1"/>
        <v>-3881</v>
      </c>
      <c r="L19" s="134">
        <f t="shared" si="2"/>
        <v>0.94000154595346685</v>
      </c>
      <c r="M19" s="182"/>
      <c r="N19" s="182" t="str">
        <f t="shared" si="3"/>
        <v>OK</v>
      </c>
      <c r="BN19" s="90"/>
    </row>
    <row r="20" spans="1:66" ht="60.75" customHeight="1">
      <c r="A20" s="310" t="s">
        <v>103</v>
      </c>
      <c r="B20" s="310"/>
      <c r="C20" s="303" t="s">
        <v>104</v>
      </c>
      <c r="D20" s="303"/>
      <c r="E20" s="303"/>
      <c r="F20" s="86" t="s">
        <v>98</v>
      </c>
      <c r="G20" s="87">
        <v>2332.42</v>
      </c>
      <c r="H20" s="88">
        <v>129968</v>
      </c>
      <c r="I20" s="88">
        <v>122170</v>
      </c>
      <c r="J20" s="88">
        <f t="shared" si="0"/>
        <v>284951751</v>
      </c>
      <c r="K20" s="133">
        <f t="shared" si="1"/>
        <v>-7798</v>
      </c>
      <c r="L20" s="134">
        <f t="shared" si="2"/>
        <v>0.94000061553613201</v>
      </c>
      <c r="M20" s="182"/>
      <c r="N20" s="182" t="str">
        <f t="shared" si="3"/>
        <v>OK</v>
      </c>
      <c r="BN20" s="90"/>
    </row>
    <row r="21" spans="1:66" ht="60.75" customHeight="1">
      <c r="A21" s="310" t="s">
        <v>105</v>
      </c>
      <c r="B21" s="310"/>
      <c r="C21" s="303" t="s">
        <v>106</v>
      </c>
      <c r="D21" s="303"/>
      <c r="E21" s="303"/>
      <c r="F21" s="86" t="s">
        <v>98</v>
      </c>
      <c r="G21" s="87">
        <v>150</v>
      </c>
      <c r="H21" s="88">
        <v>53922</v>
      </c>
      <c r="I21" s="88">
        <v>50687</v>
      </c>
      <c r="J21" s="88">
        <f t="shared" si="0"/>
        <v>7603050</v>
      </c>
      <c r="K21" s="133">
        <f t="shared" si="1"/>
        <v>-3235</v>
      </c>
      <c r="L21" s="134">
        <f t="shared" si="2"/>
        <v>0.94000593449797853</v>
      </c>
      <c r="M21" s="182"/>
      <c r="N21" s="182" t="str">
        <f t="shared" si="3"/>
        <v>OK</v>
      </c>
      <c r="BB21" s="91"/>
      <c r="BC21" s="92"/>
      <c r="BD21" s="91"/>
      <c r="BE21" s="91"/>
      <c r="BF21" s="93"/>
      <c r="BH21" s="91"/>
      <c r="BI21" s="92"/>
      <c r="BJ21" s="91"/>
      <c r="BK21" s="91"/>
      <c r="BL21" s="93"/>
      <c r="BN21" s="90"/>
    </row>
    <row r="22" spans="1:66" ht="60.75" customHeight="1">
      <c r="A22" s="310" t="s">
        <v>107</v>
      </c>
      <c r="B22" s="310"/>
      <c r="C22" s="303" t="s">
        <v>108</v>
      </c>
      <c r="D22" s="303"/>
      <c r="E22" s="303"/>
      <c r="F22" s="86" t="s">
        <v>98</v>
      </c>
      <c r="G22" s="87">
        <v>150</v>
      </c>
      <c r="H22" s="88">
        <v>305942</v>
      </c>
      <c r="I22" s="88">
        <v>287585</v>
      </c>
      <c r="J22" s="88">
        <f t="shared" si="0"/>
        <v>43137750</v>
      </c>
      <c r="K22" s="133">
        <f t="shared" si="1"/>
        <v>-18357</v>
      </c>
      <c r="L22" s="134">
        <f t="shared" si="2"/>
        <v>0.93999843107517111</v>
      </c>
      <c r="M22" s="182"/>
      <c r="N22" s="182" t="str">
        <f t="shared" si="3"/>
        <v>OK</v>
      </c>
      <c r="BB22" s="91"/>
      <c r="BC22" s="92"/>
      <c r="BD22" s="91"/>
      <c r="BE22" s="91"/>
      <c r="BF22" s="93"/>
      <c r="BH22" s="91"/>
      <c r="BI22" s="92"/>
      <c r="BJ22" s="91"/>
      <c r="BK22" s="91"/>
      <c r="BL22" s="93"/>
      <c r="BN22" s="90"/>
    </row>
    <row r="23" spans="1:66" ht="92.25" customHeight="1">
      <c r="A23" s="310" t="s">
        <v>109</v>
      </c>
      <c r="B23" s="310"/>
      <c r="C23" s="303" t="s">
        <v>110</v>
      </c>
      <c r="D23" s="303"/>
      <c r="E23" s="303"/>
      <c r="F23" s="86" t="s">
        <v>95</v>
      </c>
      <c r="G23" s="87">
        <v>231</v>
      </c>
      <c r="H23" s="88">
        <v>125271</v>
      </c>
      <c r="I23" s="88">
        <v>117755</v>
      </c>
      <c r="J23" s="88">
        <f t="shared" si="0"/>
        <v>27201405</v>
      </c>
      <c r="K23" s="133">
        <f t="shared" si="1"/>
        <v>-7516</v>
      </c>
      <c r="L23" s="134">
        <f t="shared" si="2"/>
        <v>0.94000207550031534</v>
      </c>
      <c r="M23" s="182"/>
      <c r="N23" s="182" t="str">
        <f t="shared" si="3"/>
        <v>OK</v>
      </c>
      <c r="BB23" s="91"/>
      <c r="BC23" s="92"/>
      <c r="BD23" s="91"/>
      <c r="BE23" s="91"/>
      <c r="BF23" s="93"/>
      <c r="BH23" s="91"/>
      <c r="BI23" s="92"/>
      <c r="BJ23" s="91"/>
      <c r="BK23" s="91"/>
      <c r="BL23" s="93"/>
      <c r="BN23" s="90"/>
    </row>
    <row r="24" spans="1:66" ht="60.75" customHeight="1">
      <c r="A24" s="310" t="s">
        <v>111</v>
      </c>
      <c r="B24" s="310"/>
      <c r="C24" s="303" t="s">
        <v>112</v>
      </c>
      <c r="D24" s="303"/>
      <c r="E24" s="303"/>
      <c r="F24" s="86" t="s">
        <v>113</v>
      </c>
      <c r="G24" s="87">
        <v>50</v>
      </c>
      <c r="H24" s="88">
        <v>88909</v>
      </c>
      <c r="I24" s="88">
        <v>83574</v>
      </c>
      <c r="J24" s="88">
        <f t="shared" si="0"/>
        <v>4178700</v>
      </c>
      <c r="K24" s="133">
        <f t="shared" si="1"/>
        <v>-5335</v>
      </c>
      <c r="L24" s="134">
        <f t="shared" si="2"/>
        <v>0.93999482617057895</v>
      </c>
      <c r="M24" s="182"/>
      <c r="N24" s="182" t="str">
        <f t="shared" si="3"/>
        <v>OK</v>
      </c>
      <c r="BB24" s="91"/>
      <c r="BC24" s="92"/>
      <c r="BD24" s="91"/>
      <c r="BE24" s="91"/>
      <c r="BF24" s="93"/>
      <c r="BH24" s="91"/>
      <c r="BI24" s="92"/>
      <c r="BJ24" s="91"/>
      <c r="BK24" s="91"/>
      <c r="BL24" s="93"/>
      <c r="BN24" s="90"/>
    </row>
    <row r="25" spans="1:66" ht="60.75" customHeight="1">
      <c r="A25" s="310" t="s">
        <v>114</v>
      </c>
      <c r="B25" s="310"/>
      <c r="C25" s="303" t="s">
        <v>115</v>
      </c>
      <c r="D25" s="303"/>
      <c r="E25" s="303"/>
      <c r="F25" s="86" t="s">
        <v>113</v>
      </c>
      <c r="G25" s="87">
        <v>50</v>
      </c>
      <c r="H25" s="88">
        <v>97000</v>
      </c>
      <c r="I25" s="88">
        <v>91180</v>
      </c>
      <c r="J25" s="88">
        <f t="shared" si="0"/>
        <v>4559000</v>
      </c>
      <c r="K25" s="133">
        <f t="shared" si="1"/>
        <v>-5820</v>
      </c>
      <c r="L25" s="134">
        <f t="shared" si="2"/>
        <v>0.94</v>
      </c>
      <c r="M25" s="182"/>
      <c r="N25" s="182" t="str">
        <f t="shared" si="3"/>
        <v>OK</v>
      </c>
      <c r="BB25" s="91"/>
      <c r="BC25" s="92"/>
      <c r="BD25" s="91"/>
      <c r="BE25" s="91"/>
      <c r="BF25" s="93"/>
      <c r="BH25" s="91"/>
      <c r="BI25" s="92"/>
      <c r="BJ25" s="91"/>
      <c r="BK25" s="91"/>
      <c r="BL25" s="93"/>
      <c r="BN25" s="90"/>
    </row>
    <row r="26" spans="1:66" ht="60.75" customHeight="1">
      <c r="A26" s="302" t="s">
        <v>116</v>
      </c>
      <c r="B26" s="302"/>
      <c r="C26" s="303" t="s">
        <v>117</v>
      </c>
      <c r="D26" s="303"/>
      <c r="E26" s="303"/>
      <c r="F26" s="94" t="s">
        <v>98</v>
      </c>
      <c r="G26" s="95">
        <v>80</v>
      </c>
      <c r="H26" s="88">
        <v>38338</v>
      </c>
      <c r="I26" s="88">
        <v>36038</v>
      </c>
      <c r="J26" s="88">
        <f t="shared" si="0"/>
        <v>2883040</v>
      </c>
      <c r="K26" s="133">
        <f t="shared" si="1"/>
        <v>-2300</v>
      </c>
      <c r="L26" s="134">
        <f t="shared" si="2"/>
        <v>0.94000730345870942</v>
      </c>
      <c r="M26" s="182"/>
      <c r="N26" s="182" t="str">
        <f t="shared" si="3"/>
        <v>OK</v>
      </c>
    </row>
    <row r="27" spans="1:66" ht="60.75" customHeight="1">
      <c r="A27" s="302" t="s">
        <v>118</v>
      </c>
      <c r="B27" s="302"/>
      <c r="C27" s="303" t="s">
        <v>119</v>
      </c>
      <c r="D27" s="303"/>
      <c r="E27" s="303"/>
      <c r="F27" s="94" t="s">
        <v>98</v>
      </c>
      <c r="G27" s="95">
        <v>1800</v>
      </c>
      <c r="H27" s="88">
        <v>35000</v>
      </c>
      <c r="I27" s="88">
        <v>32900</v>
      </c>
      <c r="J27" s="88">
        <f t="shared" si="0"/>
        <v>59220000</v>
      </c>
      <c r="K27" s="133">
        <f t="shared" si="1"/>
        <v>-2100</v>
      </c>
      <c r="L27" s="134">
        <f t="shared" si="2"/>
        <v>0.94</v>
      </c>
      <c r="M27" s="182"/>
      <c r="N27" s="182" t="str">
        <f t="shared" si="3"/>
        <v>OK</v>
      </c>
    </row>
    <row r="28" spans="1:66" ht="60.75" customHeight="1">
      <c r="A28" s="302" t="s">
        <v>120</v>
      </c>
      <c r="B28" s="302"/>
      <c r="C28" s="303" t="s">
        <v>121</v>
      </c>
      <c r="D28" s="303"/>
      <c r="E28" s="303"/>
      <c r="F28" s="94" t="s">
        <v>98</v>
      </c>
      <c r="G28" s="95">
        <v>80</v>
      </c>
      <c r="H28" s="88">
        <v>96707</v>
      </c>
      <c r="I28" s="88">
        <v>90905</v>
      </c>
      <c r="J28" s="88">
        <f t="shared" si="0"/>
        <v>7272400</v>
      </c>
      <c r="K28" s="133">
        <f t="shared" si="1"/>
        <v>-5802</v>
      </c>
      <c r="L28" s="134">
        <f t="shared" si="2"/>
        <v>0.9400043430155004</v>
      </c>
      <c r="M28" s="182"/>
      <c r="N28" s="182" t="str">
        <f t="shared" si="3"/>
        <v>OK</v>
      </c>
    </row>
    <row r="29" spans="1:66" ht="60.75" customHeight="1">
      <c r="A29" s="302" t="s">
        <v>122</v>
      </c>
      <c r="B29" s="302"/>
      <c r="C29" s="303" t="s">
        <v>123</v>
      </c>
      <c r="D29" s="303"/>
      <c r="E29" s="303"/>
      <c r="F29" s="94" t="s">
        <v>98</v>
      </c>
      <c r="G29" s="95">
        <v>80</v>
      </c>
      <c r="H29" s="88">
        <v>130500</v>
      </c>
      <c r="I29" s="88">
        <v>122670</v>
      </c>
      <c r="J29" s="88">
        <f t="shared" si="0"/>
        <v>9813600</v>
      </c>
      <c r="K29" s="133">
        <f t="shared" si="1"/>
        <v>-7830</v>
      </c>
      <c r="L29" s="134">
        <f t="shared" si="2"/>
        <v>0.94</v>
      </c>
      <c r="M29" s="182"/>
      <c r="N29" s="182" t="str">
        <f t="shared" si="3"/>
        <v>OK</v>
      </c>
    </row>
    <row r="30" spans="1:66" ht="60.75" customHeight="1">
      <c r="A30" s="310" t="s">
        <v>124</v>
      </c>
      <c r="B30" s="310"/>
      <c r="C30" s="303" t="s">
        <v>125</v>
      </c>
      <c r="D30" s="303"/>
      <c r="E30" s="303"/>
      <c r="F30" s="94" t="s">
        <v>113</v>
      </c>
      <c r="G30" s="95">
        <v>100</v>
      </c>
      <c r="H30" s="88">
        <v>1233196</v>
      </c>
      <c r="I30" s="88">
        <v>1159204</v>
      </c>
      <c r="J30" s="88">
        <f t="shared" si="0"/>
        <v>115920400</v>
      </c>
      <c r="K30" s="133">
        <f t="shared" si="1"/>
        <v>-73992</v>
      </c>
      <c r="L30" s="134">
        <f t="shared" si="2"/>
        <v>0.93999980538373462</v>
      </c>
      <c r="M30" s="182"/>
      <c r="N30" s="182" t="str">
        <f t="shared" si="3"/>
        <v>OK</v>
      </c>
    </row>
    <row r="31" spans="1:66" ht="60.75" customHeight="1">
      <c r="A31" s="310" t="s">
        <v>126</v>
      </c>
      <c r="B31" s="310"/>
      <c r="C31" s="303" t="s">
        <v>127</v>
      </c>
      <c r="D31" s="303"/>
      <c r="E31" s="303"/>
      <c r="F31" s="94" t="s">
        <v>113</v>
      </c>
      <c r="G31" s="95">
        <v>85</v>
      </c>
      <c r="H31" s="88">
        <v>749188</v>
      </c>
      <c r="I31" s="88">
        <v>704237</v>
      </c>
      <c r="J31" s="88">
        <f t="shared" si="0"/>
        <v>59860145</v>
      </c>
      <c r="K31" s="133">
        <f t="shared" si="1"/>
        <v>-44951</v>
      </c>
      <c r="L31" s="134">
        <f t="shared" si="2"/>
        <v>0.94000037373796697</v>
      </c>
      <c r="M31" s="182"/>
      <c r="N31" s="182" t="str">
        <f t="shared" si="3"/>
        <v>OK</v>
      </c>
    </row>
    <row r="32" spans="1:66" ht="60.75" customHeight="1">
      <c r="A32" s="310" t="s">
        <v>128</v>
      </c>
      <c r="B32" s="310"/>
      <c r="C32" s="303" t="s">
        <v>129</v>
      </c>
      <c r="D32" s="303"/>
      <c r="E32" s="303"/>
      <c r="F32" s="94" t="s">
        <v>113</v>
      </c>
      <c r="G32" s="95">
        <v>20</v>
      </c>
      <c r="H32" s="88">
        <v>1242026</v>
      </c>
      <c r="I32" s="88">
        <v>1167504</v>
      </c>
      <c r="J32" s="88">
        <f t="shared" si="0"/>
        <v>23350080</v>
      </c>
      <c r="K32" s="133">
        <f t="shared" si="1"/>
        <v>-74522</v>
      </c>
      <c r="L32" s="134">
        <f t="shared" si="2"/>
        <v>0.93999964574010531</v>
      </c>
      <c r="M32" s="182"/>
      <c r="N32" s="182" t="str">
        <f t="shared" si="3"/>
        <v>OK</v>
      </c>
    </row>
    <row r="33" spans="1:14" ht="60.75" customHeight="1">
      <c r="A33" s="310" t="s">
        <v>130</v>
      </c>
      <c r="B33" s="310"/>
      <c r="C33" s="303" t="s">
        <v>131</v>
      </c>
      <c r="D33" s="303"/>
      <c r="E33" s="303"/>
      <c r="F33" s="94" t="s">
        <v>98</v>
      </c>
      <c r="G33" s="95">
        <v>45</v>
      </c>
      <c r="H33" s="88">
        <v>40656</v>
      </c>
      <c r="I33" s="88">
        <v>38217</v>
      </c>
      <c r="J33" s="88">
        <f t="shared" si="0"/>
        <v>1719765</v>
      </c>
      <c r="K33" s="133">
        <f t="shared" si="1"/>
        <v>-2439</v>
      </c>
      <c r="L33" s="134">
        <f t="shared" si="2"/>
        <v>0.94000885478158203</v>
      </c>
      <c r="M33" s="182"/>
      <c r="N33" s="182" t="str">
        <f t="shared" si="3"/>
        <v>OK</v>
      </c>
    </row>
    <row r="34" spans="1:14" ht="60.75" customHeight="1">
      <c r="A34" s="310" t="s">
        <v>132</v>
      </c>
      <c r="B34" s="310"/>
      <c r="C34" s="303" t="s">
        <v>133</v>
      </c>
      <c r="D34" s="303"/>
      <c r="E34" s="303"/>
      <c r="F34" s="94" t="s">
        <v>98</v>
      </c>
      <c r="G34" s="95">
        <v>45</v>
      </c>
      <c r="H34" s="88">
        <v>1032471</v>
      </c>
      <c r="I34" s="88">
        <v>970523</v>
      </c>
      <c r="J34" s="88">
        <f t="shared" si="0"/>
        <v>43673535</v>
      </c>
      <c r="K34" s="133">
        <f t="shared" si="1"/>
        <v>-61948</v>
      </c>
      <c r="L34" s="134">
        <f t="shared" si="2"/>
        <v>0.94000025182305358</v>
      </c>
      <c r="M34" s="182"/>
      <c r="N34" s="182" t="str">
        <f t="shared" si="3"/>
        <v>OK</v>
      </c>
    </row>
    <row r="35" spans="1:14" ht="60.75" customHeight="1">
      <c r="A35" s="310" t="s">
        <v>134</v>
      </c>
      <c r="B35" s="310"/>
      <c r="C35" s="303" t="s">
        <v>135</v>
      </c>
      <c r="D35" s="303"/>
      <c r="E35" s="303"/>
      <c r="F35" s="94" t="s">
        <v>113</v>
      </c>
      <c r="G35" s="95">
        <v>275</v>
      </c>
      <c r="H35" s="88">
        <v>112609</v>
      </c>
      <c r="I35" s="88">
        <v>105852</v>
      </c>
      <c r="J35" s="88">
        <f t="shared" si="0"/>
        <v>29109300</v>
      </c>
      <c r="K35" s="133">
        <f t="shared" si="1"/>
        <v>-6757</v>
      </c>
      <c r="L35" s="134">
        <f t="shared" si="2"/>
        <v>0.93999591506895541</v>
      </c>
      <c r="M35" s="182"/>
      <c r="N35" s="182" t="str">
        <f t="shared" si="3"/>
        <v>OK</v>
      </c>
    </row>
    <row r="36" spans="1:14" ht="60.75" customHeight="1">
      <c r="A36" s="310" t="s">
        <v>136</v>
      </c>
      <c r="B36" s="310"/>
      <c r="C36" s="303" t="s">
        <v>137</v>
      </c>
      <c r="D36" s="303"/>
      <c r="E36" s="303"/>
      <c r="F36" s="94" t="s">
        <v>113</v>
      </c>
      <c r="G36" s="95">
        <v>1</v>
      </c>
      <c r="H36" s="88">
        <v>131148</v>
      </c>
      <c r="I36" s="88">
        <v>123279</v>
      </c>
      <c r="J36" s="88">
        <f t="shared" si="0"/>
        <v>123279</v>
      </c>
      <c r="K36" s="133">
        <f t="shared" si="1"/>
        <v>-7869</v>
      </c>
      <c r="L36" s="134">
        <f t="shared" si="2"/>
        <v>0.93999908500320251</v>
      </c>
      <c r="M36" s="182"/>
      <c r="N36" s="182" t="str">
        <f t="shared" si="3"/>
        <v>OK</v>
      </c>
    </row>
    <row r="37" spans="1:14" ht="60.75" customHeight="1">
      <c r="A37" s="310" t="s">
        <v>138</v>
      </c>
      <c r="B37" s="310"/>
      <c r="C37" s="303" t="s">
        <v>139</v>
      </c>
      <c r="D37" s="303"/>
      <c r="E37" s="303"/>
      <c r="F37" s="94" t="s">
        <v>113</v>
      </c>
      <c r="G37" s="95">
        <v>1</v>
      </c>
      <c r="H37" s="88">
        <v>1224745</v>
      </c>
      <c r="I37" s="88">
        <v>1151260</v>
      </c>
      <c r="J37" s="88">
        <f t="shared" si="0"/>
        <v>1151260</v>
      </c>
      <c r="K37" s="133">
        <f t="shared" si="1"/>
        <v>-73485</v>
      </c>
      <c r="L37" s="134">
        <f t="shared" si="2"/>
        <v>0.93999975505105149</v>
      </c>
      <c r="M37" s="182"/>
      <c r="N37" s="182" t="str">
        <f t="shared" si="3"/>
        <v>OK</v>
      </c>
    </row>
    <row r="38" spans="1:14" ht="60.75" customHeight="1">
      <c r="A38" s="310" t="s">
        <v>140</v>
      </c>
      <c r="B38" s="310"/>
      <c r="C38" s="303" t="s">
        <v>141</v>
      </c>
      <c r="D38" s="303"/>
      <c r="E38" s="303"/>
      <c r="F38" s="94" t="s">
        <v>98</v>
      </c>
      <c r="G38" s="95">
        <v>4500</v>
      </c>
      <c r="H38" s="88">
        <v>34663</v>
      </c>
      <c r="I38" s="88">
        <v>32583</v>
      </c>
      <c r="J38" s="88">
        <f t="shared" si="0"/>
        <v>146623500</v>
      </c>
      <c r="K38" s="133">
        <f t="shared" si="1"/>
        <v>-2080</v>
      </c>
      <c r="L38" s="134">
        <f t="shared" si="2"/>
        <v>0.93999365317485506</v>
      </c>
      <c r="M38" s="182"/>
      <c r="N38" s="182" t="str">
        <f t="shared" si="3"/>
        <v>OK</v>
      </c>
    </row>
    <row r="39" spans="1:14" ht="60.75" customHeight="1">
      <c r="A39" s="314" t="s">
        <v>142</v>
      </c>
      <c r="B39" s="315"/>
      <c r="C39" s="315"/>
      <c r="D39" s="315"/>
      <c r="E39" s="315"/>
      <c r="F39" s="315"/>
      <c r="G39" s="315"/>
      <c r="H39" s="315"/>
      <c r="I39" s="316"/>
      <c r="J39" s="96">
        <f>SUM(J16:J38)</f>
        <v>1123681914</v>
      </c>
      <c r="K39" s="133">
        <f t="shared" si="1"/>
        <v>0</v>
      </c>
      <c r="L39" s="134" t="e">
        <f t="shared" si="2"/>
        <v>#DIV/0!</v>
      </c>
      <c r="M39" s="182"/>
      <c r="N39" s="182" t="str">
        <f t="shared" si="3"/>
        <v xml:space="preserve"> </v>
      </c>
    </row>
    <row r="40" spans="1:14" ht="60.75" customHeight="1">
      <c r="A40" s="310" t="s">
        <v>93</v>
      </c>
      <c r="B40" s="310"/>
      <c r="C40" s="303" t="s">
        <v>143</v>
      </c>
      <c r="D40" s="303"/>
      <c r="E40" s="303"/>
      <c r="F40" s="94" t="s">
        <v>98</v>
      </c>
      <c r="G40" s="95">
        <v>250</v>
      </c>
      <c r="H40" s="88">
        <v>49033</v>
      </c>
      <c r="I40" s="88">
        <v>46091</v>
      </c>
      <c r="J40" s="88">
        <f t="shared" si="0"/>
        <v>11522750</v>
      </c>
      <c r="K40" s="133">
        <f t="shared" si="1"/>
        <v>-2942</v>
      </c>
      <c r="L40" s="134">
        <f t="shared" si="2"/>
        <v>0.93999959211143513</v>
      </c>
      <c r="M40" s="182"/>
      <c r="N40" s="182" t="str">
        <f t="shared" si="3"/>
        <v>OK</v>
      </c>
    </row>
    <row r="41" spans="1:14" ht="60.75" customHeight="1">
      <c r="A41" s="310" t="s">
        <v>96</v>
      </c>
      <c r="B41" s="310"/>
      <c r="C41" s="303" t="s">
        <v>144</v>
      </c>
      <c r="D41" s="303"/>
      <c r="E41" s="303"/>
      <c r="F41" s="94" t="s">
        <v>98</v>
      </c>
      <c r="G41" s="95">
        <v>61</v>
      </c>
      <c r="H41" s="88">
        <v>50667</v>
      </c>
      <c r="I41" s="88">
        <v>47627</v>
      </c>
      <c r="J41" s="88">
        <f t="shared" si="0"/>
        <v>2905247</v>
      </c>
      <c r="K41" s="133">
        <f t="shared" si="1"/>
        <v>-3040</v>
      </c>
      <c r="L41" s="134">
        <f t="shared" si="2"/>
        <v>0.94000039473424513</v>
      </c>
      <c r="M41" s="182"/>
      <c r="N41" s="182" t="str">
        <f t="shared" si="3"/>
        <v>OK</v>
      </c>
    </row>
    <row r="42" spans="1:14" ht="60.75" customHeight="1">
      <c r="A42" s="310" t="s">
        <v>145</v>
      </c>
      <c r="B42" s="310"/>
      <c r="C42" s="303" t="s">
        <v>117</v>
      </c>
      <c r="D42" s="303"/>
      <c r="E42" s="303"/>
      <c r="F42" s="94" t="s">
        <v>98</v>
      </c>
      <c r="G42" s="95">
        <v>1070</v>
      </c>
      <c r="H42" s="88">
        <v>36183</v>
      </c>
      <c r="I42" s="88">
        <v>34012</v>
      </c>
      <c r="J42" s="88">
        <f t="shared" si="0"/>
        <v>36392840</v>
      </c>
      <c r="K42" s="133">
        <f t="shared" si="1"/>
        <v>-2171</v>
      </c>
      <c r="L42" s="134">
        <f t="shared" si="2"/>
        <v>0.93999944725423545</v>
      </c>
      <c r="M42" s="182"/>
      <c r="N42" s="182" t="str">
        <f t="shared" si="3"/>
        <v>OK</v>
      </c>
    </row>
    <row r="43" spans="1:14" ht="60.75" customHeight="1">
      <c r="A43" s="310" t="s">
        <v>146</v>
      </c>
      <c r="B43" s="310"/>
      <c r="C43" s="303" t="s">
        <v>147</v>
      </c>
      <c r="D43" s="303"/>
      <c r="E43" s="303"/>
      <c r="F43" s="94" t="s">
        <v>148</v>
      </c>
      <c r="G43" s="95">
        <v>1</v>
      </c>
      <c r="H43" s="88">
        <v>13063210</v>
      </c>
      <c r="I43" s="88">
        <v>12279417</v>
      </c>
      <c r="J43" s="88">
        <f t="shared" si="0"/>
        <v>12279417</v>
      </c>
      <c r="K43" s="133">
        <f t="shared" si="1"/>
        <v>-783793</v>
      </c>
      <c r="L43" s="134">
        <f t="shared" si="2"/>
        <v>0.9399999693796548</v>
      </c>
      <c r="M43" s="182"/>
      <c r="N43" s="182" t="str">
        <f t="shared" si="3"/>
        <v>OK</v>
      </c>
    </row>
    <row r="44" spans="1:14" ht="60.75" customHeight="1">
      <c r="A44" s="310" t="s">
        <v>149</v>
      </c>
      <c r="B44" s="310"/>
      <c r="C44" s="303" t="s">
        <v>150</v>
      </c>
      <c r="D44" s="303"/>
      <c r="E44" s="303"/>
      <c r="F44" s="94" t="s">
        <v>113</v>
      </c>
      <c r="G44" s="95">
        <v>135</v>
      </c>
      <c r="H44" s="88">
        <v>96339</v>
      </c>
      <c r="I44" s="88">
        <v>90559</v>
      </c>
      <c r="J44" s="88">
        <f t="shared" si="0"/>
        <v>12225465</v>
      </c>
      <c r="K44" s="133">
        <f t="shared" si="1"/>
        <v>-5780</v>
      </c>
      <c r="L44" s="134">
        <f t="shared" si="2"/>
        <v>0.94000352920416441</v>
      </c>
      <c r="M44" s="182"/>
      <c r="N44" s="182" t="str">
        <f t="shared" si="3"/>
        <v>OK</v>
      </c>
    </row>
    <row r="45" spans="1:14" ht="60.75" customHeight="1">
      <c r="A45" s="310" t="s">
        <v>151</v>
      </c>
      <c r="B45" s="310"/>
      <c r="C45" s="303" t="s">
        <v>152</v>
      </c>
      <c r="D45" s="303"/>
      <c r="E45" s="303"/>
      <c r="F45" s="94" t="s">
        <v>98</v>
      </c>
      <c r="G45" s="95">
        <v>78</v>
      </c>
      <c r="H45" s="88">
        <v>95199</v>
      </c>
      <c r="I45" s="88">
        <v>89487</v>
      </c>
      <c r="J45" s="88">
        <f t="shared" si="0"/>
        <v>6979986</v>
      </c>
      <c r="K45" s="133">
        <f t="shared" si="1"/>
        <v>-5712</v>
      </c>
      <c r="L45" s="134">
        <f t="shared" si="2"/>
        <v>0.93999936974127885</v>
      </c>
      <c r="M45" s="182"/>
      <c r="N45" s="182" t="str">
        <f t="shared" si="3"/>
        <v>OK</v>
      </c>
    </row>
    <row r="46" spans="1:14" ht="60.75" customHeight="1">
      <c r="A46" s="310" t="s">
        <v>99</v>
      </c>
      <c r="B46" s="310"/>
      <c r="C46" s="303" t="s">
        <v>153</v>
      </c>
      <c r="D46" s="303"/>
      <c r="E46" s="303"/>
      <c r="F46" s="94" t="s">
        <v>95</v>
      </c>
      <c r="G46" s="95">
        <v>100</v>
      </c>
      <c r="H46" s="88">
        <v>203925</v>
      </c>
      <c r="I46" s="88">
        <v>191690</v>
      </c>
      <c r="J46" s="88">
        <f t="shared" si="0"/>
        <v>19169000</v>
      </c>
      <c r="K46" s="133">
        <f t="shared" si="1"/>
        <v>-12235</v>
      </c>
      <c r="L46" s="134">
        <f t="shared" si="2"/>
        <v>0.9400024518818193</v>
      </c>
      <c r="M46" s="182"/>
      <c r="N46" s="182" t="str">
        <f t="shared" si="3"/>
        <v>OK</v>
      </c>
    </row>
    <row r="47" spans="1:14" ht="60.75" customHeight="1">
      <c r="A47" s="310" t="s">
        <v>101</v>
      </c>
      <c r="B47" s="310"/>
      <c r="C47" s="303" t="s">
        <v>154</v>
      </c>
      <c r="D47" s="303"/>
      <c r="E47" s="303"/>
      <c r="F47" s="94" t="s">
        <v>95</v>
      </c>
      <c r="G47" s="95">
        <v>130</v>
      </c>
      <c r="H47" s="88">
        <v>186288</v>
      </c>
      <c r="I47" s="88">
        <v>175111</v>
      </c>
      <c r="J47" s="88">
        <f t="shared" si="0"/>
        <v>22764430</v>
      </c>
      <c r="K47" s="133">
        <f t="shared" si="1"/>
        <v>-11177</v>
      </c>
      <c r="L47" s="134">
        <f t="shared" si="2"/>
        <v>0.9400015030490424</v>
      </c>
      <c r="M47" s="182"/>
      <c r="N47" s="182" t="str">
        <f t="shared" si="3"/>
        <v>OK</v>
      </c>
    </row>
    <row r="48" spans="1:14" ht="60.75" customHeight="1">
      <c r="A48" s="310" t="s">
        <v>116</v>
      </c>
      <c r="B48" s="310"/>
      <c r="C48" s="303" t="s">
        <v>155</v>
      </c>
      <c r="D48" s="303"/>
      <c r="E48" s="303"/>
      <c r="F48" s="94" t="s">
        <v>98</v>
      </c>
      <c r="G48" s="95">
        <v>30</v>
      </c>
      <c r="H48" s="88">
        <v>205133</v>
      </c>
      <c r="I48" s="88">
        <v>192825</v>
      </c>
      <c r="J48" s="88">
        <f t="shared" si="0"/>
        <v>5784750</v>
      </c>
      <c r="K48" s="133">
        <f t="shared" si="1"/>
        <v>-12308</v>
      </c>
      <c r="L48" s="134">
        <f t="shared" si="2"/>
        <v>0.93999990250227905</v>
      </c>
      <c r="M48" s="182"/>
      <c r="N48" s="182" t="str">
        <f t="shared" si="3"/>
        <v>OK</v>
      </c>
    </row>
    <row r="49" spans="1:14" ht="60.75" customHeight="1">
      <c r="A49" s="310" t="s">
        <v>124</v>
      </c>
      <c r="B49" s="310"/>
      <c r="C49" s="303" t="s">
        <v>156</v>
      </c>
      <c r="D49" s="303"/>
      <c r="E49" s="303"/>
      <c r="F49" s="94" t="s">
        <v>98</v>
      </c>
      <c r="G49" s="95">
        <v>1301</v>
      </c>
      <c r="H49" s="88">
        <v>131613</v>
      </c>
      <c r="I49" s="88">
        <v>123716</v>
      </c>
      <c r="J49" s="88">
        <f t="shared" si="0"/>
        <v>160954516</v>
      </c>
      <c r="K49" s="133">
        <f t="shared" si="1"/>
        <v>-7897</v>
      </c>
      <c r="L49" s="134">
        <f t="shared" si="2"/>
        <v>0.93999832843260167</v>
      </c>
      <c r="M49" s="182"/>
      <c r="N49" s="182" t="str">
        <f t="shared" si="3"/>
        <v>OK</v>
      </c>
    </row>
    <row r="50" spans="1:14" ht="60.75" customHeight="1">
      <c r="A50" s="310" t="s">
        <v>126</v>
      </c>
      <c r="B50" s="310"/>
      <c r="C50" s="303" t="s">
        <v>157</v>
      </c>
      <c r="D50" s="303"/>
      <c r="E50" s="303"/>
      <c r="F50" s="94" t="s">
        <v>98</v>
      </c>
      <c r="G50" s="95">
        <v>1301</v>
      </c>
      <c r="H50" s="88">
        <v>33384</v>
      </c>
      <c r="I50" s="88">
        <v>31381</v>
      </c>
      <c r="J50" s="88">
        <f t="shared" si="0"/>
        <v>40826681</v>
      </c>
      <c r="K50" s="133">
        <f t="shared" si="1"/>
        <v>-2003</v>
      </c>
      <c r="L50" s="134">
        <f t="shared" si="2"/>
        <v>0.94000119817876826</v>
      </c>
      <c r="M50" s="182"/>
      <c r="N50" s="182" t="str">
        <f t="shared" si="3"/>
        <v>OK</v>
      </c>
    </row>
    <row r="51" spans="1:14" ht="60.75" customHeight="1">
      <c r="A51" s="302" t="s">
        <v>136</v>
      </c>
      <c r="B51" s="302"/>
      <c r="C51" s="303" t="s">
        <v>158</v>
      </c>
      <c r="D51" s="303"/>
      <c r="E51" s="303"/>
      <c r="F51" s="97" t="s">
        <v>98</v>
      </c>
      <c r="G51" s="98">
        <v>1070</v>
      </c>
      <c r="H51" s="88">
        <v>194913</v>
      </c>
      <c r="I51" s="88">
        <v>183218</v>
      </c>
      <c r="J51" s="88">
        <f t="shared" si="0"/>
        <v>196043260</v>
      </c>
      <c r="K51" s="133">
        <f t="shared" si="1"/>
        <v>-11695</v>
      </c>
      <c r="L51" s="134">
        <f t="shared" si="2"/>
        <v>0.93999887129129411</v>
      </c>
      <c r="M51" s="182"/>
      <c r="N51" s="182" t="str">
        <f t="shared" si="3"/>
        <v>OK</v>
      </c>
    </row>
    <row r="52" spans="1:14" ht="60.75" customHeight="1">
      <c r="A52" s="310" t="s">
        <v>140</v>
      </c>
      <c r="B52" s="310"/>
      <c r="C52" s="303" t="s">
        <v>159</v>
      </c>
      <c r="D52" s="303"/>
      <c r="E52" s="303"/>
      <c r="F52" s="97" t="s">
        <v>95</v>
      </c>
      <c r="G52" s="98">
        <v>2400</v>
      </c>
      <c r="H52" s="88">
        <v>20487</v>
      </c>
      <c r="I52" s="88">
        <v>19258</v>
      </c>
      <c r="J52" s="88">
        <f t="shared" si="0"/>
        <v>46219200</v>
      </c>
      <c r="K52" s="133">
        <f t="shared" si="1"/>
        <v>-1229</v>
      </c>
      <c r="L52" s="134">
        <f t="shared" si="2"/>
        <v>0.94001073851710837</v>
      </c>
      <c r="M52" s="182"/>
      <c r="N52" s="182" t="str">
        <f t="shared" si="3"/>
        <v>OK</v>
      </c>
    </row>
    <row r="53" spans="1:14" ht="60.75" customHeight="1">
      <c r="A53" s="310" t="s">
        <v>160</v>
      </c>
      <c r="B53" s="310"/>
      <c r="C53" s="303" t="s">
        <v>161</v>
      </c>
      <c r="D53" s="303"/>
      <c r="E53" s="303"/>
      <c r="F53" s="97" t="s">
        <v>95</v>
      </c>
      <c r="G53" s="98">
        <v>200</v>
      </c>
      <c r="H53" s="88">
        <v>373466</v>
      </c>
      <c r="I53" s="88">
        <v>351058</v>
      </c>
      <c r="J53" s="88">
        <f t="shared" si="0"/>
        <v>70211600</v>
      </c>
      <c r="K53" s="133">
        <f t="shared" si="1"/>
        <v>-22408</v>
      </c>
      <c r="L53" s="134">
        <f t="shared" si="2"/>
        <v>0.93999989289520336</v>
      </c>
      <c r="M53" s="182"/>
      <c r="N53" s="182" t="str">
        <f t="shared" si="3"/>
        <v>OK</v>
      </c>
    </row>
    <row r="54" spans="1:14" ht="60.75" customHeight="1">
      <c r="A54" s="310" t="s">
        <v>162</v>
      </c>
      <c r="B54" s="310"/>
      <c r="C54" s="303" t="s">
        <v>163</v>
      </c>
      <c r="D54" s="303"/>
      <c r="E54" s="303"/>
      <c r="F54" s="97" t="s">
        <v>113</v>
      </c>
      <c r="G54" s="98">
        <v>240</v>
      </c>
      <c r="H54" s="88">
        <v>157875</v>
      </c>
      <c r="I54" s="88">
        <v>148403</v>
      </c>
      <c r="J54" s="88">
        <f t="shared" si="0"/>
        <v>35616720</v>
      </c>
      <c r="K54" s="133">
        <f t="shared" si="1"/>
        <v>-9472</v>
      </c>
      <c r="L54" s="134">
        <f t="shared" si="2"/>
        <v>0.94000316706254949</v>
      </c>
      <c r="M54" s="182"/>
      <c r="N54" s="182" t="str">
        <f t="shared" si="3"/>
        <v>OK</v>
      </c>
    </row>
    <row r="55" spans="1:14" ht="60.75" customHeight="1">
      <c r="A55" s="310" t="s">
        <v>164</v>
      </c>
      <c r="B55" s="310"/>
      <c r="C55" s="303" t="s">
        <v>165</v>
      </c>
      <c r="D55" s="303"/>
      <c r="E55" s="303"/>
      <c r="F55" s="97" t="s">
        <v>113</v>
      </c>
      <c r="G55" s="98">
        <v>60</v>
      </c>
      <c r="H55" s="88">
        <v>177999</v>
      </c>
      <c r="I55" s="88">
        <v>167319</v>
      </c>
      <c r="J55" s="88">
        <f t="shared" si="0"/>
        <v>10039140</v>
      </c>
      <c r="K55" s="133">
        <f t="shared" si="1"/>
        <v>-10680</v>
      </c>
      <c r="L55" s="134">
        <f t="shared" si="2"/>
        <v>0.93999966291945458</v>
      </c>
      <c r="M55" s="182"/>
      <c r="N55" s="182" t="str">
        <f t="shared" si="3"/>
        <v>OK</v>
      </c>
    </row>
    <row r="56" spans="1:14" ht="60.75" customHeight="1">
      <c r="A56" s="310" t="s">
        <v>166</v>
      </c>
      <c r="B56" s="310"/>
      <c r="C56" s="303" t="s">
        <v>167</v>
      </c>
      <c r="D56" s="303"/>
      <c r="E56" s="303"/>
      <c r="F56" s="97" t="s">
        <v>113</v>
      </c>
      <c r="G56" s="98">
        <v>82</v>
      </c>
      <c r="H56" s="88">
        <v>327191</v>
      </c>
      <c r="I56" s="88">
        <v>307560</v>
      </c>
      <c r="J56" s="88">
        <f t="shared" si="0"/>
        <v>25219920</v>
      </c>
      <c r="K56" s="133">
        <f t="shared" si="1"/>
        <v>-19631</v>
      </c>
      <c r="L56" s="134">
        <f t="shared" si="2"/>
        <v>0.94000140590664172</v>
      </c>
      <c r="M56" s="182"/>
      <c r="N56" s="182" t="str">
        <f t="shared" si="3"/>
        <v>OK</v>
      </c>
    </row>
    <row r="57" spans="1:14" ht="60.75" customHeight="1">
      <c r="A57" s="310" t="s">
        <v>168</v>
      </c>
      <c r="B57" s="310"/>
      <c r="C57" s="303" t="s">
        <v>169</v>
      </c>
      <c r="D57" s="303"/>
      <c r="E57" s="303"/>
      <c r="F57" s="97" t="s">
        <v>113</v>
      </c>
      <c r="G57" s="98">
        <v>90</v>
      </c>
      <c r="H57" s="88">
        <v>230677</v>
      </c>
      <c r="I57" s="88">
        <v>216836</v>
      </c>
      <c r="J57" s="88">
        <f t="shared" si="0"/>
        <v>19515240</v>
      </c>
      <c r="K57" s="133">
        <f t="shared" si="1"/>
        <v>-13841</v>
      </c>
      <c r="L57" s="134">
        <f t="shared" si="2"/>
        <v>0.93999835267495246</v>
      </c>
      <c r="M57" s="182"/>
      <c r="N57" s="182" t="str">
        <f t="shared" si="3"/>
        <v>OK</v>
      </c>
    </row>
    <row r="58" spans="1:14" ht="60.75" customHeight="1">
      <c r="A58" s="310" t="s">
        <v>170</v>
      </c>
      <c r="B58" s="310"/>
      <c r="C58" s="303" t="s">
        <v>171</v>
      </c>
      <c r="D58" s="303"/>
      <c r="E58" s="303"/>
      <c r="F58" s="97" t="s">
        <v>113</v>
      </c>
      <c r="G58" s="98">
        <v>7</v>
      </c>
      <c r="H58" s="88">
        <v>196020</v>
      </c>
      <c r="I58" s="88">
        <v>184259</v>
      </c>
      <c r="J58" s="88">
        <f t="shared" si="0"/>
        <v>1289813</v>
      </c>
      <c r="K58" s="133">
        <f t="shared" si="1"/>
        <v>-11761</v>
      </c>
      <c r="L58" s="134">
        <f t="shared" si="2"/>
        <v>0.94000102030405064</v>
      </c>
      <c r="M58" s="182"/>
      <c r="N58" s="182" t="str">
        <f t="shared" si="3"/>
        <v>OK</v>
      </c>
    </row>
    <row r="59" spans="1:14" ht="60.75" customHeight="1">
      <c r="A59" s="310" t="s">
        <v>172</v>
      </c>
      <c r="B59" s="310"/>
      <c r="C59" s="303" t="s">
        <v>173</v>
      </c>
      <c r="D59" s="303"/>
      <c r="E59" s="303"/>
      <c r="F59" s="97" t="s">
        <v>113</v>
      </c>
      <c r="G59" s="98">
        <v>22</v>
      </c>
      <c r="H59" s="88">
        <v>181406</v>
      </c>
      <c r="I59" s="88">
        <v>170522</v>
      </c>
      <c r="J59" s="88">
        <f t="shared" si="0"/>
        <v>3751484</v>
      </c>
      <c r="K59" s="133">
        <f t="shared" si="1"/>
        <v>-10884</v>
      </c>
      <c r="L59" s="134">
        <f t="shared" si="2"/>
        <v>0.94000198449885897</v>
      </c>
      <c r="M59" s="182"/>
      <c r="N59" s="182" t="str">
        <f t="shared" si="3"/>
        <v>OK</v>
      </c>
    </row>
    <row r="60" spans="1:14" ht="60.75" customHeight="1">
      <c r="A60" s="310" t="s">
        <v>174</v>
      </c>
      <c r="B60" s="310"/>
      <c r="C60" s="303" t="s">
        <v>175</v>
      </c>
      <c r="D60" s="303"/>
      <c r="E60" s="303"/>
      <c r="F60" s="97" t="s">
        <v>113</v>
      </c>
      <c r="G60" s="98">
        <v>10</v>
      </c>
      <c r="H60" s="88">
        <v>200830</v>
      </c>
      <c r="I60" s="88">
        <v>188780</v>
      </c>
      <c r="J60" s="88">
        <f t="shared" si="0"/>
        <v>1887800</v>
      </c>
      <c r="K60" s="133">
        <f t="shared" si="1"/>
        <v>-12050</v>
      </c>
      <c r="L60" s="134">
        <f t="shared" si="2"/>
        <v>0.93999900413284865</v>
      </c>
      <c r="M60" s="182"/>
      <c r="N60" s="182" t="str">
        <f t="shared" si="3"/>
        <v>OK</v>
      </c>
    </row>
    <row r="61" spans="1:14" ht="60.75" customHeight="1">
      <c r="A61" s="310" t="s">
        <v>176</v>
      </c>
      <c r="B61" s="310"/>
      <c r="C61" s="303" t="s">
        <v>177</v>
      </c>
      <c r="D61" s="303"/>
      <c r="E61" s="303"/>
      <c r="F61" s="97" t="s">
        <v>113</v>
      </c>
      <c r="G61" s="98">
        <v>43</v>
      </c>
      <c r="H61" s="88">
        <v>178332</v>
      </c>
      <c r="I61" s="88">
        <v>167632</v>
      </c>
      <c r="J61" s="88">
        <f t="shared" si="0"/>
        <v>7208176</v>
      </c>
      <c r="K61" s="133">
        <f t="shared" si="1"/>
        <v>-10700</v>
      </c>
      <c r="L61" s="134">
        <f t="shared" si="2"/>
        <v>0.9399995513985151</v>
      </c>
      <c r="M61" s="182"/>
      <c r="N61" s="182" t="str">
        <f t="shared" si="3"/>
        <v>OK</v>
      </c>
    </row>
    <row r="62" spans="1:14" ht="60.75" customHeight="1">
      <c r="A62" s="310" t="s">
        <v>178</v>
      </c>
      <c r="B62" s="310"/>
      <c r="C62" s="303" t="s">
        <v>179</v>
      </c>
      <c r="D62" s="303"/>
      <c r="E62" s="303"/>
      <c r="F62" s="97" t="s">
        <v>180</v>
      </c>
      <c r="G62" s="98">
        <v>300</v>
      </c>
      <c r="H62" s="88">
        <v>16471</v>
      </c>
      <c r="I62" s="88">
        <v>15483</v>
      </c>
      <c r="J62" s="88">
        <f t="shared" si="0"/>
        <v>4644900</v>
      </c>
      <c r="K62" s="133">
        <f t="shared" si="1"/>
        <v>-988</v>
      </c>
      <c r="L62" s="134">
        <f t="shared" si="2"/>
        <v>0.94001578531965269</v>
      </c>
      <c r="M62" s="182"/>
      <c r="N62" s="182" t="str">
        <f t="shared" si="3"/>
        <v>OK</v>
      </c>
    </row>
    <row r="63" spans="1:14" ht="60.75" customHeight="1">
      <c r="A63" s="310" t="s">
        <v>181</v>
      </c>
      <c r="B63" s="310"/>
      <c r="C63" s="303" t="s">
        <v>182</v>
      </c>
      <c r="D63" s="303"/>
      <c r="E63" s="303"/>
      <c r="F63" s="97" t="s">
        <v>95</v>
      </c>
      <c r="G63" s="98">
        <v>180</v>
      </c>
      <c r="H63" s="88">
        <v>159622</v>
      </c>
      <c r="I63" s="88">
        <v>150045</v>
      </c>
      <c r="J63" s="88">
        <f t="shared" si="0"/>
        <v>27008100</v>
      </c>
      <c r="K63" s="133">
        <f t="shared" si="1"/>
        <v>-9577</v>
      </c>
      <c r="L63" s="134">
        <f t="shared" si="2"/>
        <v>0.94000200473618922</v>
      </c>
      <c r="M63" s="182"/>
      <c r="N63" s="182" t="str">
        <f t="shared" si="3"/>
        <v>OK</v>
      </c>
    </row>
    <row r="64" spans="1:14" ht="60.75" customHeight="1">
      <c r="A64" s="310" t="s">
        <v>183</v>
      </c>
      <c r="B64" s="310"/>
      <c r="C64" s="303" t="s">
        <v>184</v>
      </c>
      <c r="D64" s="303"/>
      <c r="E64" s="303"/>
      <c r="F64" s="97" t="s">
        <v>95</v>
      </c>
      <c r="G64" s="98">
        <v>220</v>
      </c>
      <c r="H64" s="88">
        <v>301400</v>
      </c>
      <c r="I64" s="88">
        <v>283316</v>
      </c>
      <c r="J64" s="88">
        <f t="shared" si="0"/>
        <v>62329520</v>
      </c>
      <c r="K64" s="133">
        <f t="shared" si="1"/>
        <v>-18084</v>
      </c>
      <c r="L64" s="134">
        <f t="shared" si="2"/>
        <v>0.94</v>
      </c>
      <c r="M64" s="182"/>
      <c r="N64" s="182" t="str">
        <f t="shared" si="3"/>
        <v>OK</v>
      </c>
    </row>
    <row r="65" spans="1:14" ht="60.75" customHeight="1">
      <c r="A65" s="310" t="s">
        <v>185</v>
      </c>
      <c r="B65" s="310"/>
      <c r="C65" s="303" t="s">
        <v>186</v>
      </c>
      <c r="D65" s="303"/>
      <c r="E65" s="303"/>
      <c r="F65" s="97" t="s">
        <v>113</v>
      </c>
      <c r="G65" s="98">
        <v>2</v>
      </c>
      <c r="H65" s="88">
        <v>3554535</v>
      </c>
      <c r="I65" s="88">
        <v>3341263</v>
      </c>
      <c r="J65" s="88">
        <f t="shared" si="0"/>
        <v>6682526</v>
      </c>
      <c r="K65" s="133">
        <f t="shared" si="1"/>
        <v>-213272</v>
      </c>
      <c r="L65" s="134">
        <f t="shared" si="2"/>
        <v>0.94000002813307504</v>
      </c>
      <c r="M65" s="182"/>
      <c r="N65" s="182" t="str">
        <f t="shared" si="3"/>
        <v>OK</v>
      </c>
    </row>
    <row r="66" spans="1:14" ht="60.75" customHeight="1">
      <c r="A66" s="310" t="s">
        <v>187</v>
      </c>
      <c r="B66" s="310"/>
      <c r="C66" s="303" t="s">
        <v>188</v>
      </c>
      <c r="D66" s="303"/>
      <c r="E66" s="303"/>
      <c r="F66" s="97" t="s">
        <v>98</v>
      </c>
      <c r="G66" s="98">
        <v>300</v>
      </c>
      <c r="H66" s="88">
        <v>853000</v>
      </c>
      <c r="I66" s="88">
        <v>801820</v>
      </c>
      <c r="J66" s="88">
        <f t="shared" si="0"/>
        <v>240546000</v>
      </c>
      <c r="K66" s="133">
        <f t="shared" si="1"/>
        <v>-51180</v>
      </c>
      <c r="L66" s="134">
        <f t="shared" si="2"/>
        <v>0.94</v>
      </c>
      <c r="M66" s="182"/>
      <c r="N66" s="182" t="str">
        <f t="shared" si="3"/>
        <v>OK</v>
      </c>
    </row>
    <row r="67" spans="1:14" ht="60.75" customHeight="1">
      <c r="A67" s="310" t="s">
        <v>189</v>
      </c>
      <c r="B67" s="310"/>
      <c r="C67" s="303" t="s">
        <v>190</v>
      </c>
      <c r="D67" s="303"/>
      <c r="E67" s="303"/>
      <c r="F67" s="97" t="s">
        <v>98</v>
      </c>
      <c r="G67" s="98">
        <v>30</v>
      </c>
      <c r="H67" s="88">
        <v>879613</v>
      </c>
      <c r="I67" s="88">
        <v>826836</v>
      </c>
      <c r="J67" s="88">
        <f t="shared" si="0"/>
        <v>24805080</v>
      </c>
      <c r="K67" s="133">
        <f t="shared" si="1"/>
        <v>-52777</v>
      </c>
      <c r="L67" s="134">
        <f t="shared" si="2"/>
        <v>0.93999974989000845</v>
      </c>
      <c r="M67" s="182"/>
      <c r="N67" s="182" t="str">
        <f t="shared" si="3"/>
        <v>OK</v>
      </c>
    </row>
    <row r="68" spans="1:14" ht="60.75" customHeight="1">
      <c r="A68" s="310" t="s">
        <v>191</v>
      </c>
      <c r="B68" s="310"/>
      <c r="C68" s="303" t="s">
        <v>192</v>
      </c>
      <c r="D68" s="303"/>
      <c r="E68" s="303"/>
      <c r="F68" s="97" t="s">
        <v>95</v>
      </c>
      <c r="G68" s="98">
        <v>60</v>
      </c>
      <c r="H68" s="88">
        <v>87418</v>
      </c>
      <c r="I68" s="88">
        <v>82173</v>
      </c>
      <c r="J68" s="88">
        <f t="shared" si="0"/>
        <v>4930380</v>
      </c>
      <c r="K68" s="133">
        <f t="shared" si="1"/>
        <v>-5245</v>
      </c>
      <c r="L68" s="134">
        <f t="shared" si="2"/>
        <v>0.94000091514333428</v>
      </c>
      <c r="M68" s="182"/>
      <c r="N68" s="182" t="str">
        <f t="shared" si="3"/>
        <v>OK</v>
      </c>
    </row>
    <row r="69" spans="1:14" ht="60.75" customHeight="1">
      <c r="A69" s="310" t="s">
        <v>193</v>
      </c>
      <c r="B69" s="310"/>
      <c r="C69" s="303" t="s">
        <v>194</v>
      </c>
      <c r="D69" s="303"/>
      <c r="E69" s="303"/>
      <c r="F69" s="97" t="s">
        <v>113</v>
      </c>
      <c r="G69" s="98">
        <v>41</v>
      </c>
      <c r="H69" s="88">
        <v>142900</v>
      </c>
      <c r="I69" s="88">
        <v>134326</v>
      </c>
      <c r="J69" s="88">
        <f t="shared" si="0"/>
        <v>5507366</v>
      </c>
      <c r="K69" s="133">
        <f t="shared" si="1"/>
        <v>-8574</v>
      </c>
      <c r="L69" s="134">
        <f t="shared" si="2"/>
        <v>0.94</v>
      </c>
      <c r="M69" s="182"/>
      <c r="N69" s="182" t="str">
        <f t="shared" si="3"/>
        <v>OK</v>
      </c>
    </row>
    <row r="70" spans="1:14" ht="60.75" customHeight="1">
      <c r="A70" s="310" t="s">
        <v>195</v>
      </c>
      <c r="B70" s="310"/>
      <c r="C70" s="303" t="s">
        <v>196</v>
      </c>
      <c r="D70" s="303"/>
      <c r="E70" s="303"/>
      <c r="F70" s="97" t="s">
        <v>113</v>
      </c>
      <c r="G70" s="98">
        <v>1</v>
      </c>
      <c r="H70" s="88">
        <v>1176585</v>
      </c>
      <c r="I70" s="88">
        <v>1105990</v>
      </c>
      <c r="J70" s="88">
        <f t="shared" si="0"/>
        <v>1105990</v>
      </c>
      <c r="K70" s="133">
        <f t="shared" si="1"/>
        <v>-70595</v>
      </c>
      <c r="L70" s="134">
        <f t="shared" si="2"/>
        <v>0.9400000849917346</v>
      </c>
      <c r="M70" s="182"/>
      <c r="N70" s="182" t="str">
        <f t="shared" si="3"/>
        <v>OK</v>
      </c>
    </row>
    <row r="71" spans="1:14" ht="60.75" customHeight="1">
      <c r="A71" s="310" t="s">
        <v>197</v>
      </c>
      <c r="B71" s="310"/>
      <c r="C71" s="303" t="s">
        <v>198</v>
      </c>
      <c r="D71" s="303"/>
      <c r="E71" s="303"/>
      <c r="F71" s="97" t="s">
        <v>98</v>
      </c>
      <c r="G71" s="98">
        <v>1000</v>
      </c>
      <c r="H71" s="88">
        <v>38208</v>
      </c>
      <c r="I71" s="88">
        <v>35916</v>
      </c>
      <c r="J71" s="88">
        <f t="shared" si="0"/>
        <v>35916000</v>
      </c>
      <c r="K71" s="133">
        <f t="shared" si="1"/>
        <v>-2292</v>
      </c>
      <c r="L71" s="134">
        <f t="shared" si="2"/>
        <v>0.94001256281407031</v>
      </c>
      <c r="M71" s="182"/>
      <c r="N71" s="182" t="str">
        <f t="shared" si="3"/>
        <v>OK</v>
      </c>
    </row>
    <row r="72" spans="1:14" ht="60.75" customHeight="1">
      <c r="A72" s="310" t="s">
        <v>199</v>
      </c>
      <c r="B72" s="310"/>
      <c r="C72" s="303" t="s">
        <v>200</v>
      </c>
      <c r="D72" s="303"/>
      <c r="E72" s="303"/>
      <c r="F72" s="97" t="s">
        <v>98</v>
      </c>
      <c r="G72" s="98">
        <v>230.61</v>
      </c>
      <c r="H72" s="88">
        <v>41123</v>
      </c>
      <c r="I72" s="88">
        <v>38656</v>
      </c>
      <c r="J72" s="88">
        <f t="shared" si="0"/>
        <v>8914460</v>
      </c>
      <c r="K72" s="133">
        <f t="shared" si="1"/>
        <v>-2467</v>
      </c>
      <c r="L72" s="134">
        <f t="shared" si="2"/>
        <v>0.94000924057097002</v>
      </c>
      <c r="M72" s="182"/>
      <c r="N72" s="182" t="str">
        <f t="shared" si="3"/>
        <v>OK</v>
      </c>
    </row>
    <row r="73" spans="1:14" ht="60.75" customHeight="1">
      <c r="A73" s="311" t="s">
        <v>201</v>
      </c>
      <c r="B73" s="312"/>
      <c r="C73" s="312"/>
      <c r="D73" s="312"/>
      <c r="E73" s="312"/>
      <c r="F73" s="312"/>
      <c r="G73" s="312"/>
      <c r="H73" s="312"/>
      <c r="I73" s="313"/>
      <c r="J73" s="99">
        <f>SUM(J40:J72)</f>
        <v>1171197757</v>
      </c>
      <c r="K73" s="133">
        <f t="shared" si="1"/>
        <v>0</v>
      </c>
      <c r="L73" s="134" t="e">
        <f t="shared" si="2"/>
        <v>#DIV/0!</v>
      </c>
      <c r="M73" s="182"/>
      <c r="N73" s="182" t="str">
        <f t="shared" si="3"/>
        <v xml:space="preserve"> </v>
      </c>
    </row>
    <row r="74" spans="1:14" ht="60.75" customHeight="1">
      <c r="A74" s="302" t="s">
        <v>202</v>
      </c>
      <c r="B74" s="302"/>
      <c r="C74" s="303" t="s">
        <v>203</v>
      </c>
      <c r="D74" s="303"/>
      <c r="E74" s="303"/>
      <c r="F74" s="97" t="s">
        <v>98</v>
      </c>
      <c r="G74" s="98">
        <v>450</v>
      </c>
      <c r="H74" s="88">
        <v>194913</v>
      </c>
      <c r="I74" s="88">
        <v>183218</v>
      </c>
      <c r="J74" s="88">
        <f t="shared" ref="J74:J130" si="4">+ROUND(I74*G74,0)</f>
        <v>82448100</v>
      </c>
      <c r="K74" s="133">
        <f t="shared" si="1"/>
        <v>-11695</v>
      </c>
      <c r="L74" s="134">
        <f t="shared" si="2"/>
        <v>0.93999887129129411</v>
      </c>
      <c r="M74" s="182"/>
      <c r="N74" s="182" t="str">
        <f t="shared" si="3"/>
        <v>OK</v>
      </c>
    </row>
    <row r="75" spans="1:14" ht="60.75" customHeight="1">
      <c r="A75" s="302" t="s">
        <v>197</v>
      </c>
      <c r="B75" s="302"/>
      <c r="C75" s="303" t="s">
        <v>204</v>
      </c>
      <c r="D75" s="303"/>
      <c r="E75" s="303"/>
      <c r="F75" s="97" t="s">
        <v>113</v>
      </c>
      <c r="G75" s="98">
        <v>2</v>
      </c>
      <c r="H75" s="88">
        <v>3334200</v>
      </c>
      <c r="I75" s="88">
        <v>3134148</v>
      </c>
      <c r="J75" s="88">
        <f t="shared" si="4"/>
        <v>6268296</v>
      </c>
      <c r="K75" s="133">
        <f t="shared" si="1"/>
        <v>-200052</v>
      </c>
      <c r="L75" s="134">
        <f t="shared" si="2"/>
        <v>0.94</v>
      </c>
      <c r="M75" s="182"/>
      <c r="N75" s="182" t="str">
        <f t="shared" si="3"/>
        <v>OK</v>
      </c>
    </row>
    <row r="76" spans="1:14" ht="60.75" customHeight="1">
      <c r="A76" s="302" t="s">
        <v>199</v>
      </c>
      <c r="B76" s="302"/>
      <c r="C76" s="303" t="s">
        <v>205</v>
      </c>
      <c r="D76" s="303"/>
      <c r="E76" s="303"/>
      <c r="F76" s="97" t="s">
        <v>113</v>
      </c>
      <c r="G76" s="98">
        <v>12</v>
      </c>
      <c r="H76" s="88">
        <v>858374</v>
      </c>
      <c r="I76" s="88">
        <v>806872</v>
      </c>
      <c r="J76" s="88">
        <f t="shared" si="4"/>
        <v>9682464</v>
      </c>
      <c r="K76" s="133">
        <f t="shared" si="1"/>
        <v>-51502</v>
      </c>
      <c r="L76" s="134">
        <f t="shared" si="2"/>
        <v>0.94000051259707307</v>
      </c>
      <c r="M76" s="182"/>
      <c r="N76" s="182" t="str">
        <f t="shared" si="3"/>
        <v>OK</v>
      </c>
    </row>
    <row r="77" spans="1:14" ht="60.75" customHeight="1">
      <c r="A77" s="302" t="s">
        <v>206</v>
      </c>
      <c r="B77" s="302"/>
      <c r="C77" s="303" t="s">
        <v>207</v>
      </c>
      <c r="D77" s="303"/>
      <c r="E77" s="303"/>
      <c r="F77" s="97" t="s">
        <v>98</v>
      </c>
      <c r="G77" s="98">
        <v>222.23000000000002</v>
      </c>
      <c r="H77" s="88">
        <v>34663</v>
      </c>
      <c r="I77" s="88">
        <v>32583</v>
      </c>
      <c r="J77" s="88">
        <f t="shared" si="4"/>
        <v>7240920</v>
      </c>
      <c r="K77" s="133">
        <f t="shared" si="1"/>
        <v>-2080</v>
      </c>
      <c r="L77" s="134">
        <f t="shared" si="2"/>
        <v>0.93999365317485506</v>
      </c>
      <c r="M77" s="182"/>
      <c r="N77" s="182" t="str">
        <f t="shared" si="3"/>
        <v>OK</v>
      </c>
    </row>
    <row r="78" spans="1:14" ht="60.75" customHeight="1">
      <c r="A78" s="307" t="s">
        <v>208</v>
      </c>
      <c r="B78" s="308"/>
      <c r="C78" s="308"/>
      <c r="D78" s="308"/>
      <c r="E78" s="308"/>
      <c r="F78" s="308"/>
      <c r="G78" s="308"/>
      <c r="H78" s="308"/>
      <c r="I78" s="309"/>
      <c r="J78" s="100">
        <f>SUM(J74:J77)</f>
        <v>105639780</v>
      </c>
      <c r="K78" s="133">
        <f t="shared" si="1"/>
        <v>0</v>
      </c>
      <c r="L78" s="134" t="e">
        <f t="shared" si="2"/>
        <v>#DIV/0!</v>
      </c>
      <c r="M78" s="182"/>
      <c r="N78" s="182" t="str">
        <f t="shared" si="3"/>
        <v xml:space="preserve"> </v>
      </c>
    </row>
    <row r="79" spans="1:14" ht="60.75" customHeight="1">
      <c r="A79" s="302" t="s">
        <v>93</v>
      </c>
      <c r="B79" s="302"/>
      <c r="C79" s="303" t="s">
        <v>143</v>
      </c>
      <c r="D79" s="303"/>
      <c r="E79" s="303"/>
      <c r="F79" s="97" t="s">
        <v>98</v>
      </c>
      <c r="G79" s="98">
        <v>161.58000000000001</v>
      </c>
      <c r="H79" s="88">
        <v>49033</v>
      </c>
      <c r="I79" s="88">
        <v>46091</v>
      </c>
      <c r="J79" s="88">
        <f t="shared" si="4"/>
        <v>7447384</v>
      </c>
      <c r="K79" s="133">
        <f t="shared" si="1"/>
        <v>-2942</v>
      </c>
      <c r="L79" s="134">
        <f t="shared" si="2"/>
        <v>0.93999959211143513</v>
      </c>
      <c r="M79" s="182"/>
      <c r="N79" s="182" t="str">
        <f t="shared" si="3"/>
        <v>OK</v>
      </c>
    </row>
    <row r="80" spans="1:14" ht="60.75" customHeight="1">
      <c r="A80" s="302" t="s">
        <v>96</v>
      </c>
      <c r="B80" s="302"/>
      <c r="C80" s="303" t="s">
        <v>144</v>
      </c>
      <c r="D80" s="303"/>
      <c r="E80" s="303"/>
      <c r="F80" s="97" t="s">
        <v>98</v>
      </c>
      <c r="G80" s="98">
        <v>246.96</v>
      </c>
      <c r="H80" s="88">
        <v>97950</v>
      </c>
      <c r="I80" s="88">
        <v>92073</v>
      </c>
      <c r="J80" s="88">
        <f t="shared" si="4"/>
        <v>22738348</v>
      </c>
      <c r="K80" s="133">
        <f t="shared" si="1"/>
        <v>-5877</v>
      </c>
      <c r="L80" s="134">
        <f t="shared" si="2"/>
        <v>0.94</v>
      </c>
      <c r="M80" s="182"/>
      <c r="N80" s="182" t="str">
        <f t="shared" si="3"/>
        <v>OK</v>
      </c>
    </row>
    <row r="81" spans="1:14" ht="60.75" customHeight="1">
      <c r="A81" s="302" t="s">
        <v>145</v>
      </c>
      <c r="B81" s="302"/>
      <c r="C81" s="303" t="s">
        <v>209</v>
      </c>
      <c r="D81" s="303"/>
      <c r="E81" s="303"/>
      <c r="F81" s="97" t="s">
        <v>98</v>
      </c>
      <c r="G81" s="98">
        <v>888.84</v>
      </c>
      <c r="H81" s="88">
        <v>36183</v>
      </c>
      <c r="I81" s="88">
        <v>34012</v>
      </c>
      <c r="J81" s="88">
        <f t="shared" si="4"/>
        <v>30231226</v>
      </c>
      <c r="K81" s="133">
        <f t="shared" ref="K81:K130" si="5">I81-H81</f>
        <v>-2171</v>
      </c>
      <c r="L81" s="134">
        <f t="shared" ref="L81:L130" si="6">I81/H81</f>
        <v>0.93999944725423545</v>
      </c>
      <c r="M81" s="182"/>
      <c r="N81" s="182" t="str">
        <f t="shared" ref="N81:N130" si="7">+IF(I81&lt;H81,"OK",IF(I81=0," "))</f>
        <v>OK</v>
      </c>
    </row>
    <row r="82" spans="1:14" ht="60.75" customHeight="1">
      <c r="A82" s="302" t="s">
        <v>146</v>
      </c>
      <c r="B82" s="302"/>
      <c r="C82" s="303" t="s">
        <v>147</v>
      </c>
      <c r="D82" s="303"/>
      <c r="E82" s="303"/>
      <c r="F82" s="97" t="s">
        <v>148</v>
      </c>
      <c r="G82" s="98">
        <v>1</v>
      </c>
      <c r="H82" s="88">
        <v>6960160</v>
      </c>
      <c r="I82" s="88">
        <v>6542550</v>
      </c>
      <c r="J82" s="88">
        <f t="shared" si="4"/>
        <v>6542550</v>
      </c>
      <c r="K82" s="133">
        <f t="shared" si="5"/>
        <v>-417610</v>
      </c>
      <c r="L82" s="134">
        <f t="shared" si="6"/>
        <v>0.93999994253005681</v>
      </c>
      <c r="M82" s="182"/>
      <c r="N82" s="182" t="str">
        <f t="shared" si="7"/>
        <v>OK</v>
      </c>
    </row>
    <row r="83" spans="1:14" ht="60.75" customHeight="1">
      <c r="A83" s="302" t="s">
        <v>149</v>
      </c>
      <c r="B83" s="302"/>
      <c r="C83" s="303" t="s">
        <v>210</v>
      </c>
      <c r="D83" s="303"/>
      <c r="E83" s="303"/>
      <c r="F83" s="97" t="s">
        <v>113</v>
      </c>
      <c r="G83" s="98">
        <v>150</v>
      </c>
      <c r="H83" s="88">
        <v>96339</v>
      </c>
      <c r="I83" s="88">
        <v>90559</v>
      </c>
      <c r="J83" s="88">
        <f t="shared" si="4"/>
        <v>13583850</v>
      </c>
      <c r="K83" s="133">
        <f t="shared" si="5"/>
        <v>-5780</v>
      </c>
      <c r="L83" s="134">
        <f t="shared" si="6"/>
        <v>0.94000352920416441</v>
      </c>
      <c r="M83" s="182"/>
      <c r="N83" s="182" t="str">
        <f t="shared" si="7"/>
        <v>OK</v>
      </c>
    </row>
    <row r="84" spans="1:14" ht="60.75" customHeight="1">
      <c r="A84" s="302" t="s">
        <v>151</v>
      </c>
      <c r="B84" s="302"/>
      <c r="C84" s="303" t="s">
        <v>211</v>
      </c>
      <c r="D84" s="303"/>
      <c r="E84" s="303"/>
      <c r="F84" s="97" t="s">
        <v>98</v>
      </c>
      <c r="G84" s="98">
        <v>37.5</v>
      </c>
      <c r="H84" s="88">
        <v>95199</v>
      </c>
      <c r="I84" s="88">
        <v>89487</v>
      </c>
      <c r="J84" s="88">
        <f t="shared" si="4"/>
        <v>3355763</v>
      </c>
      <c r="K84" s="133">
        <f t="shared" si="5"/>
        <v>-5712</v>
      </c>
      <c r="L84" s="134">
        <f t="shared" si="6"/>
        <v>0.93999936974127885</v>
      </c>
      <c r="M84" s="182"/>
      <c r="N84" s="182" t="str">
        <f t="shared" si="7"/>
        <v>OK</v>
      </c>
    </row>
    <row r="85" spans="1:14" ht="60.75" customHeight="1">
      <c r="A85" s="302" t="s">
        <v>99</v>
      </c>
      <c r="B85" s="302"/>
      <c r="C85" s="303" t="s">
        <v>153</v>
      </c>
      <c r="D85" s="303"/>
      <c r="E85" s="303"/>
      <c r="F85" s="97" t="s">
        <v>95</v>
      </c>
      <c r="G85" s="98">
        <v>121</v>
      </c>
      <c r="H85" s="88">
        <v>203925</v>
      </c>
      <c r="I85" s="88">
        <v>191690</v>
      </c>
      <c r="J85" s="88">
        <f t="shared" si="4"/>
        <v>23194490</v>
      </c>
      <c r="K85" s="133">
        <f t="shared" si="5"/>
        <v>-12235</v>
      </c>
      <c r="L85" s="134">
        <f t="shared" si="6"/>
        <v>0.9400024518818193</v>
      </c>
      <c r="M85" s="182"/>
      <c r="N85" s="182" t="str">
        <f t="shared" si="7"/>
        <v>OK</v>
      </c>
    </row>
    <row r="86" spans="1:14" ht="60.75" customHeight="1">
      <c r="A86" s="302" t="s">
        <v>101</v>
      </c>
      <c r="B86" s="302"/>
      <c r="C86" s="303" t="s">
        <v>154</v>
      </c>
      <c r="D86" s="303"/>
      <c r="E86" s="303"/>
      <c r="F86" s="97" t="s">
        <v>95</v>
      </c>
      <c r="G86" s="98">
        <v>145</v>
      </c>
      <c r="H86" s="88">
        <v>186288</v>
      </c>
      <c r="I86" s="88">
        <v>175111</v>
      </c>
      <c r="J86" s="88">
        <f t="shared" si="4"/>
        <v>25391095</v>
      </c>
      <c r="K86" s="133">
        <f t="shared" si="5"/>
        <v>-11177</v>
      </c>
      <c r="L86" s="134">
        <f t="shared" si="6"/>
        <v>0.9400015030490424</v>
      </c>
      <c r="M86" s="182"/>
      <c r="N86" s="182" t="str">
        <f t="shared" si="7"/>
        <v>OK</v>
      </c>
    </row>
    <row r="87" spans="1:14" ht="60.75" customHeight="1">
      <c r="A87" s="302" t="s">
        <v>103</v>
      </c>
      <c r="B87" s="302"/>
      <c r="C87" s="303" t="s">
        <v>212</v>
      </c>
      <c r="D87" s="303"/>
      <c r="E87" s="303"/>
      <c r="F87" s="97" t="s">
        <v>98</v>
      </c>
      <c r="G87" s="98">
        <v>40</v>
      </c>
      <c r="H87" s="88">
        <v>240790</v>
      </c>
      <c r="I87" s="88">
        <v>226343</v>
      </c>
      <c r="J87" s="88">
        <f t="shared" si="4"/>
        <v>9053720</v>
      </c>
      <c r="K87" s="133">
        <f t="shared" si="5"/>
        <v>-14447</v>
      </c>
      <c r="L87" s="134">
        <f t="shared" si="6"/>
        <v>0.94000166119855477</v>
      </c>
      <c r="M87" s="182"/>
      <c r="N87" s="182" t="str">
        <f t="shared" si="7"/>
        <v>OK</v>
      </c>
    </row>
    <row r="88" spans="1:14" ht="60.75" customHeight="1">
      <c r="A88" s="302" t="s">
        <v>116</v>
      </c>
      <c r="B88" s="302"/>
      <c r="C88" s="303" t="s">
        <v>213</v>
      </c>
      <c r="D88" s="303"/>
      <c r="E88" s="303"/>
      <c r="F88" s="97" t="s">
        <v>98</v>
      </c>
      <c r="G88" s="98">
        <v>5</v>
      </c>
      <c r="H88" s="88">
        <v>161174</v>
      </c>
      <c r="I88" s="88">
        <v>151504</v>
      </c>
      <c r="J88" s="88">
        <f t="shared" si="4"/>
        <v>757520</v>
      </c>
      <c r="K88" s="133">
        <f t="shared" si="5"/>
        <v>-9670</v>
      </c>
      <c r="L88" s="134">
        <f t="shared" si="6"/>
        <v>0.94000272996885359</v>
      </c>
      <c r="M88" s="182"/>
      <c r="N88" s="182" t="str">
        <f t="shared" si="7"/>
        <v>OK</v>
      </c>
    </row>
    <row r="89" spans="1:14" ht="60.75" customHeight="1">
      <c r="A89" s="302" t="s">
        <v>124</v>
      </c>
      <c r="B89" s="302"/>
      <c r="C89" s="303" t="s">
        <v>214</v>
      </c>
      <c r="D89" s="303"/>
      <c r="E89" s="303"/>
      <c r="F89" s="97" t="s">
        <v>98</v>
      </c>
      <c r="G89" s="98">
        <v>888.84</v>
      </c>
      <c r="H89" s="88">
        <v>116086</v>
      </c>
      <c r="I89" s="88">
        <v>109121</v>
      </c>
      <c r="J89" s="88">
        <f t="shared" si="4"/>
        <v>96991110</v>
      </c>
      <c r="K89" s="133">
        <f t="shared" si="5"/>
        <v>-6965</v>
      </c>
      <c r="L89" s="134">
        <f t="shared" si="6"/>
        <v>0.94000137828851027</v>
      </c>
      <c r="M89" s="182"/>
      <c r="N89" s="182" t="str">
        <f t="shared" si="7"/>
        <v>OK</v>
      </c>
    </row>
    <row r="90" spans="1:14" ht="60.75" customHeight="1">
      <c r="A90" s="302" t="s">
        <v>136</v>
      </c>
      <c r="B90" s="302"/>
      <c r="C90" s="303" t="s">
        <v>215</v>
      </c>
      <c r="D90" s="303"/>
      <c r="E90" s="303"/>
      <c r="F90" s="97" t="s">
        <v>98</v>
      </c>
      <c r="G90" s="98">
        <v>888.84</v>
      </c>
      <c r="H90" s="88">
        <v>194913</v>
      </c>
      <c r="I90" s="88">
        <v>183218</v>
      </c>
      <c r="J90" s="88">
        <f t="shared" si="4"/>
        <v>162851487</v>
      </c>
      <c r="K90" s="133">
        <f t="shared" si="5"/>
        <v>-11695</v>
      </c>
      <c r="L90" s="134">
        <f t="shared" si="6"/>
        <v>0.93999887129129411</v>
      </c>
      <c r="M90" s="182"/>
      <c r="N90" s="182" t="str">
        <f t="shared" si="7"/>
        <v>OK</v>
      </c>
    </row>
    <row r="91" spans="1:14" ht="60.75" customHeight="1">
      <c r="A91" s="302" t="s">
        <v>140</v>
      </c>
      <c r="B91" s="302"/>
      <c r="C91" s="303" t="s">
        <v>159</v>
      </c>
      <c r="D91" s="303"/>
      <c r="E91" s="303"/>
      <c r="F91" s="97" t="s">
        <v>95</v>
      </c>
      <c r="G91" s="98">
        <v>1800</v>
      </c>
      <c r="H91" s="88">
        <v>20382</v>
      </c>
      <c r="I91" s="88">
        <v>19159</v>
      </c>
      <c r="J91" s="88">
        <f t="shared" si="4"/>
        <v>34486200</v>
      </c>
      <c r="K91" s="133">
        <f t="shared" si="5"/>
        <v>-1223</v>
      </c>
      <c r="L91" s="134">
        <f t="shared" si="6"/>
        <v>0.93999607496810911</v>
      </c>
      <c r="M91" s="182"/>
      <c r="N91" s="182" t="str">
        <f t="shared" si="7"/>
        <v>OK</v>
      </c>
    </row>
    <row r="92" spans="1:14" ht="60.75" customHeight="1">
      <c r="A92" s="302" t="s">
        <v>160</v>
      </c>
      <c r="B92" s="302"/>
      <c r="C92" s="303" t="s">
        <v>161</v>
      </c>
      <c r="D92" s="303"/>
      <c r="E92" s="303"/>
      <c r="F92" s="97" t="s">
        <v>95</v>
      </c>
      <c r="G92" s="98">
        <v>50</v>
      </c>
      <c r="H92" s="88">
        <v>226317</v>
      </c>
      <c r="I92" s="88">
        <v>212738</v>
      </c>
      <c r="J92" s="88">
        <f t="shared" si="4"/>
        <v>10636900</v>
      </c>
      <c r="K92" s="133">
        <f t="shared" si="5"/>
        <v>-13579</v>
      </c>
      <c r="L92" s="134">
        <f t="shared" si="6"/>
        <v>0.9400000883716203</v>
      </c>
      <c r="M92" s="182"/>
      <c r="N92" s="182" t="str">
        <f t="shared" si="7"/>
        <v>OK</v>
      </c>
    </row>
    <row r="93" spans="1:14" ht="60.75" customHeight="1">
      <c r="A93" s="302" t="s">
        <v>162</v>
      </c>
      <c r="B93" s="302"/>
      <c r="C93" s="303" t="s">
        <v>216</v>
      </c>
      <c r="D93" s="303"/>
      <c r="E93" s="303"/>
      <c r="F93" s="97" t="s">
        <v>113</v>
      </c>
      <c r="G93" s="98">
        <v>180</v>
      </c>
      <c r="H93" s="88">
        <v>151650</v>
      </c>
      <c r="I93" s="88">
        <v>142551</v>
      </c>
      <c r="J93" s="88">
        <f t="shared" si="4"/>
        <v>25659180</v>
      </c>
      <c r="K93" s="133">
        <f t="shared" si="5"/>
        <v>-9099</v>
      </c>
      <c r="L93" s="134">
        <f t="shared" si="6"/>
        <v>0.94</v>
      </c>
      <c r="M93" s="182"/>
      <c r="N93" s="182" t="str">
        <f t="shared" si="7"/>
        <v>OK</v>
      </c>
    </row>
    <row r="94" spans="1:14" ht="60.75" customHeight="1">
      <c r="A94" s="302" t="s">
        <v>164</v>
      </c>
      <c r="B94" s="302"/>
      <c r="C94" s="303" t="s">
        <v>217</v>
      </c>
      <c r="D94" s="303"/>
      <c r="E94" s="303"/>
      <c r="F94" s="97" t="s">
        <v>113</v>
      </c>
      <c r="G94" s="98">
        <v>60</v>
      </c>
      <c r="H94" s="88">
        <v>170847</v>
      </c>
      <c r="I94" s="88">
        <v>160596</v>
      </c>
      <c r="J94" s="88">
        <f t="shared" si="4"/>
        <v>9635760</v>
      </c>
      <c r="K94" s="133">
        <f t="shared" si="5"/>
        <v>-10251</v>
      </c>
      <c r="L94" s="134">
        <f t="shared" si="6"/>
        <v>0.93999894642574933</v>
      </c>
      <c r="M94" s="182"/>
      <c r="N94" s="182" t="str">
        <f t="shared" si="7"/>
        <v>OK</v>
      </c>
    </row>
    <row r="95" spans="1:14" ht="60.75" customHeight="1">
      <c r="A95" s="302" t="s">
        <v>166</v>
      </c>
      <c r="B95" s="302"/>
      <c r="C95" s="303" t="s">
        <v>218</v>
      </c>
      <c r="D95" s="303"/>
      <c r="E95" s="303"/>
      <c r="F95" s="97" t="s">
        <v>113</v>
      </c>
      <c r="G95" s="98">
        <v>42</v>
      </c>
      <c r="H95" s="88">
        <v>308438</v>
      </c>
      <c r="I95" s="88">
        <v>289932</v>
      </c>
      <c r="J95" s="88">
        <f t="shared" si="4"/>
        <v>12177144</v>
      </c>
      <c r="K95" s="133">
        <f t="shared" si="5"/>
        <v>-18506</v>
      </c>
      <c r="L95" s="134">
        <f t="shared" si="6"/>
        <v>0.94000090779994683</v>
      </c>
      <c r="M95" s="182"/>
      <c r="N95" s="182" t="str">
        <f t="shared" si="7"/>
        <v>OK</v>
      </c>
    </row>
    <row r="96" spans="1:14" ht="60.75" customHeight="1">
      <c r="A96" s="302" t="s">
        <v>168</v>
      </c>
      <c r="B96" s="302"/>
      <c r="C96" s="303" t="s">
        <v>219</v>
      </c>
      <c r="D96" s="303"/>
      <c r="E96" s="303"/>
      <c r="F96" s="97" t="s">
        <v>113</v>
      </c>
      <c r="G96" s="98">
        <v>88</v>
      </c>
      <c r="H96" s="88">
        <v>106167</v>
      </c>
      <c r="I96" s="88">
        <v>99797</v>
      </c>
      <c r="J96" s="88">
        <f t="shared" si="4"/>
        <v>8782136</v>
      </c>
      <c r="K96" s="133">
        <f t="shared" si="5"/>
        <v>-6370</v>
      </c>
      <c r="L96" s="134">
        <f t="shared" si="6"/>
        <v>0.94000018838245403</v>
      </c>
      <c r="M96" s="182"/>
      <c r="N96" s="182" t="str">
        <f t="shared" si="7"/>
        <v>OK</v>
      </c>
    </row>
    <row r="97" spans="1:14" ht="60.75" customHeight="1">
      <c r="A97" s="302" t="s">
        <v>220</v>
      </c>
      <c r="B97" s="302"/>
      <c r="C97" s="303" t="s">
        <v>169</v>
      </c>
      <c r="D97" s="303"/>
      <c r="E97" s="303"/>
      <c r="F97" s="97" t="s">
        <v>113</v>
      </c>
      <c r="G97" s="98">
        <v>22</v>
      </c>
      <c r="H97" s="88">
        <v>215408</v>
      </c>
      <c r="I97" s="88">
        <v>202484</v>
      </c>
      <c r="J97" s="88">
        <f t="shared" si="4"/>
        <v>4454648</v>
      </c>
      <c r="K97" s="133">
        <f t="shared" si="5"/>
        <v>-12924</v>
      </c>
      <c r="L97" s="134">
        <f t="shared" si="6"/>
        <v>0.94000222832949565</v>
      </c>
      <c r="M97" s="182"/>
      <c r="N97" s="182" t="str">
        <f t="shared" si="7"/>
        <v>OK</v>
      </c>
    </row>
    <row r="98" spans="1:14" ht="60.75" customHeight="1">
      <c r="A98" s="302" t="s">
        <v>172</v>
      </c>
      <c r="B98" s="302"/>
      <c r="C98" s="303" t="s">
        <v>173</v>
      </c>
      <c r="D98" s="303"/>
      <c r="E98" s="303"/>
      <c r="F98" s="97" t="s">
        <v>113</v>
      </c>
      <c r="G98" s="98">
        <v>14</v>
      </c>
      <c r="H98" s="88">
        <v>226550</v>
      </c>
      <c r="I98" s="88">
        <v>212957</v>
      </c>
      <c r="J98" s="88">
        <f t="shared" si="4"/>
        <v>2981398</v>
      </c>
      <c r="K98" s="133">
        <f t="shared" si="5"/>
        <v>-13593</v>
      </c>
      <c r="L98" s="134">
        <f t="shared" si="6"/>
        <v>0.94</v>
      </c>
      <c r="M98" s="182"/>
      <c r="N98" s="182" t="str">
        <f t="shared" si="7"/>
        <v>OK</v>
      </c>
    </row>
    <row r="99" spans="1:14" ht="60.75" customHeight="1">
      <c r="A99" s="302" t="s">
        <v>174</v>
      </c>
      <c r="B99" s="302"/>
      <c r="C99" s="303" t="s">
        <v>221</v>
      </c>
      <c r="D99" s="303"/>
      <c r="E99" s="303"/>
      <c r="F99" s="97" t="s">
        <v>113</v>
      </c>
      <c r="G99" s="98">
        <v>11</v>
      </c>
      <c r="H99" s="88">
        <v>203875</v>
      </c>
      <c r="I99" s="88">
        <v>191643</v>
      </c>
      <c r="J99" s="88">
        <f t="shared" si="4"/>
        <v>2108073</v>
      </c>
      <c r="K99" s="133">
        <f t="shared" si="5"/>
        <v>-12232</v>
      </c>
      <c r="L99" s="134">
        <f t="shared" si="6"/>
        <v>0.94000245248313918</v>
      </c>
      <c r="M99" s="182"/>
      <c r="N99" s="182" t="str">
        <f t="shared" si="7"/>
        <v>OK</v>
      </c>
    </row>
    <row r="100" spans="1:14" ht="60.75" customHeight="1">
      <c r="A100" s="302" t="s">
        <v>176</v>
      </c>
      <c r="B100" s="302"/>
      <c r="C100" s="303" t="s">
        <v>222</v>
      </c>
      <c r="D100" s="303"/>
      <c r="E100" s="303"/>
      <c r="F100" s="97" t="s">
        <v>113</v>
      </c>
      <c r="G100" s="98">
        <v>23</v>
      </c>
      <c r="H100" s="88">
        <v>178332</v>
      </c>
      <c r="I100" s="88">
        <v>167632</v>
      </c>
      <c r="J100" s="88">
        <f t="shared" si="4"/>
        <v>3855536</v>
      </c>
      <c r="K100" s="133">
        <f t="shared" si="5"/>
        <v>-10700</v>
      </c>
      <c r="L100" s="134">
        <f t="shared" si="6"/>
        <v>0.9399995513985151</v>
      </c>
      <c r="M100" s="182"/>
      <c r="N100" s="182" t="str">
        <f t="shared" si="7"/>
        <v>OK</v>
      </c>
    </row>
    <row r="101" spans="1:14" ht="60.75" customHeight="1">
      <c r="A101" s="302" t="s">
        <v>178</v>
      </c>
      <c r="B101" s="302"/>
      <c r="C101" s="303" t="s">
        <v>223</v>
      </c>
      <c r="D101" s="303"/>
      <c r="E101" s="303"/>
      <c r="F101" s="97" t="s">
        <v>95</v>
      </c>
      <c r="G101" s="98">
        <v>150</v>
      </c>
      <c r="H101" s="88">
        <v>16471</v>
      </c>
      <c r="I101" s="88">
        <v>15483</v>
      </c>
      <c r="J101" s="88">
        <f t="shared" si="4"/>
        <v>2322450</v>
      </c>
      <c r="K101" s="133">
        <f t="shared" si="5"/>
        <v>-988</v>
      </c>
      <c r="L101" s="134">
        <f t="shared" si="6"/>
        <v>0.94001578531965269</v>
      </c>
      <c r="M101" s="182"/>
      <c r="N101" s="182" t="str">
        <f t="shared" si="7"/>
        <v>OK</v>
      </c>
    </row>
    <row r="102" spans="1:14" ht="60.75" customHeight="1">
      <c r="A102" s="302" t="s">
        <v>181</v>
      </c>
      <c r="B102" s="302"/>
      <c r="C102" s="303" t="s">
        <v>224</v>
      </c>
      <c r="D102" s="303"/>
      <c r="E102" s="303"/>
      <c r="F102" s="97" t="s">
        <v>95</v>
      </c>
      <c r="G102" s="98">
        <v>50</v>
      </c>
      <c r="H102" s="88">
        <v>159622</v>
      </c>
      <c r="I102" s="88">
        <v>150045</v>
      </c>
      <c r="J102" s="88">
        <f t="shared" si="4"/>
        <v>7502250</v>
      </c>
      <c r="K102" s="133">
        <f t="shared" si="5"/>
        <v>-9577</v>
      </c>
      <c r="L102" s="134">
        <f t="shared" si="6"/>
        <v>0.94000200473618922</v>
      </c>
      <c r="M102" s="182"/>
      <c r="N102" s="182" t="str">
        <f t="shared" si="7"/>
        <v>OK</v>
      </c>
    </row>
    <row r="103" spans="1:14" ht="60.75" customHeight="1">
      <c r="A103" s="302" t="s">
        <v>183</v>
      </c>
      <c r="B103" s="302"/>
      <c r="C103" s="303" t="s">
        <v>225</v>
      </c>
      <c r="D103" s="303"/>
      <c r="E103" s="303"/>
      <c r="F103" s="97" t="s">
        <v>95</v>
      </c>
      <c r="G103" s="98">
        <v>120</v>
      </c>
      <c r="H103" s="88">
        <v>326273</v>
      </c>
      <c r="I103" s="88">
        <v>306697</v>
      </c>
      <c r="J103" s="88">
        <f t="shared" si="4"/>
        <v>36803640</v>
      </c>
      <c r="K103" s="133">
        <f t="shared" si="5"/>
        <v>-19576</v>
      </c>
      <c r="L103" s="134">
        <f t="shared" si="6"/>
        <v>0.94000116466885097</v>
      </c>
      <c r="M103" s="182"/>
      <c r="N103" s="182" t="str">
        <f t="shared" si="7"/>
        <v>OK</v>
      </c>
    </row>
    <row r="104" spans="1:14" ht="60.75" customHeight="1">
      <c r="A104" s="302" t="s">
        <v>185</v>
      </c>
      <c r="B104" s="302"/>
      <c r="C104" s="303" t="s">
        <v>226</v>
      </c>
      <c r="D104" s="303"/>
      <c r="E104" s="303"/>
      <c r="F104" s="97" t="s">
        <v>113</v>
      </c>
      <c r="G104" s="98">
        <v>1</v>
      </c>
      <c r="H104" s="88">
        <v>3554535</v>
      </c>
      <c r="I104" s="88">
        <v>3341263</v>
      </c>
      <c r="J104" s="88">
        <f t="shared" si="4"/>
        <v>3341263</v>
      </c>
      <c r="K104" s="133">
        <f t="shared" si="5"/>
        <v>-213272</v>
      </c>
      <c r="L104" s="134">
        <f t="shared" si="6"/>
        <v>0.94000002813307504</v>
      </c>
      <c r="M104" s="182"/>
      <c r="N104" s="182" t="str">
        <f t="shared" si="7"/>
        <v>OK</v>
      </c>
    </row>
    <row r="105" spans="1:14" ht="60.75" customHeight="1">
      <c r="A105" s="302" t="s">
        <v>187</v>
      </c>
      <c r="B105" s="302"/>
      <c r="C105" s="303" t="s">
        <v>227</v>
      </c>
      <c r="D105" s="303"/>
      <c r="E105" s="303"/>
      <c r="F105" s="97" t="s">
        <v>95</v>
      </c>
      <c r="G105" s="98">
        <v>3.22</v>
      </c>
      <c r="H105" s="88">
        <v>1454712</v>
      </c>
      <c r="I105" s="88">
        <v>1367429</v>
      </c>
      <c r="J105" s="88">
        <f t="shared" si="4"/>
        <v>4403121</v>
      </c>
      <c r="K105" s="133">
        <f t="shared" si="5"/>
        <v>-87283</v>
      </c>
      <c r="L105" s="134">
        <f t="shared" si="6"/>
        <v>0.93999980752203871</v>
      </c>
      <c r="M105" s="182"/>
      <c r="N105" s="182" t="str">
        <f t="shared" si="7"/>
        <v>OK</v>
      </c>
    </row>
    <row r="106" spans="1:14" ht="60.75" customHeight="1">
      <c r="A106" s="302" t="s">
        <v>189</v>
      </c>
      <c r="B106" s="302"/>
      <c r="C106" s="303" t="s">
        <v>228</v>
      </c>
      <c r="D106" s="303"/>
      <c r="E106" s="303"/>
      <c r="F106" s="97" t="s">
        <v>113</v>
      </c>
      <c r="G106" s="98">
        <v>1</v>
      </c>
      <c r="H106" s="88">
        <v>2638957</v>
      </c>
      <c r="I106" s="88">
        <v>2480620</v>
      </c>
      <c r="J106" s="88">
        <f t="shared" si="4"/>
        <v>2480620</v>
      </c>
      <c r="K106" s="133">
        <f t="shared" si="5"/>
        <v>-158337</v>
      </c>
      <c r="L106" s="134">
        <f t="shared" si="6"/>
        <v>0.94000015915378687</v>
      </c>
      <c r="M106" s="182"/>
      <c r="N106" s="182" t="str">
        <f t="shared" si="7"/>
        <v>OK</v>
      </c>
    </row>
    <row r="107" spans="1:14" ht="60.75" customHeight="1">
      <c r="A107" s="302" t="s">
        <v>195</v>
      </c>
      <c r="B107" s="302"/>
      <c r="C107" s="303" t="s">
        <v>229</v>
      </c>
      <c r="D107" s="303"/>
      <c r="E107" s="303"/>
      <c r="F107" s="97" t="s">
        <v>98</v>
      </c>
      <c r="G107" s="98">
        <v>279.83999999999997</v>
      </c>
      <c r="H107" s="88">
        <v>879575</v>
      </c>
      <c r="I107" s="88">
        <v>826801</v>
      </c>
      <c r="J107" s="88">
        <f t="shared" si="4"/>
        <v>231371992</v>
      </c>
      <c r="K107" s="133">
        <f t="shared" si="5"/>
        <v>-52774</v>
      </c>
      <c r="L107" s="134">
        <f t="shared" si="6"/>
        <v>0.94000056845635671</v>
      </c>
      <c r="M107" s="182"/>
      <c r="N107" s="182" t="str">
        <f t="shared" si="7"/>
        <v>OK</v>
      </c>
    </row>
    <row r="108" spans="1:14" ht="60.75" customHeight="1">
      <c r="A108" s="302" t="s">
        <v>230</v>
      </c>
      <c r="B108" s="302"/>
      <c r="C108" s="303" t="s">
        <v>231</v>
      </c>
      <c r="D108" s="303"/>
      <c r="E108" s="303"/>
      <c r="F108" s="97" t="s">
        <v>98</v>
      </c>
      <c r="G108" s="98">
        <v>40</v>
      </c>
      <c r="H108" s="88">
        <v>882113</v>
      </c>
      <c r="I108" s="88">
        <v>829186</v>
      </c>
      <c r="J108" s="88">
        <f t="shared" si="4"/>
        <v>33167440</v>
      </c>
      <c r="K108" s="133">
        <f t="shared" si="5"/>
        <v>-52927</v>
      </c>
      <c r="L108" s="134">
        <f t="shared" si="6"/>
        <v>0.93999975059884622</v>
      </c>
      <c r="M108" s="182"/>
      <c r="N108" s="182" t="str">
        <f t="shared" si="7"/>
        <v>OK</v>
      </c>
    </row>
    <row r="109" spans="1:14" ht="60.75" customHeight="1">
      <c r="A109" s="302" t="s">
        <v>232</v>
      </c>
      <c r="B109" s="302"/>
      <c r="C109" s="303" t="s">
        <v>233</v>
      </c>
      <c r="D109" s="303"/>
      <c r="E109" s="303"/>
      <c r="F109" s="97" t="s">
        <v>98</v>
      </c>
      <c r="G109" s="98">
        <v>8</v>
      </c>
      <c r="H109" s="88">
        <v>1651657</v>
      </c>
      <c r="I109" s="88">
        <v>1552558</v>
      </c>
      <c r="J109" s="88">
        <f t="shared" si="4"/>
        <v>12420464</v>
      </c>
      <c r="K109" s="133">
        <f t="shared" si="5"/>
        <v>-99099</v>
      </c>
      <c r="L109" s="134">
        <f t="shared" si="6"/>
        <v>0.9400002542900856</v>
      </c>
      <c r="M109" s="182"/>
      <c r="N109" s="182" t="str">
        <f t="shared" si="7"/>
        <v>OK</v>
      </c>
    </row>
    <row r="110" spans="1:14" ht="60.75" customHeight="1">
      <c r="A110" s="302" t="s">
        <v>234</v>
      </c>
      <c r="B110" s="302"/>
      <c r="C110" s="303" t="s">
        <v>235</v>
      </c>
      <c r="D110" s="303"/>
      <c r="E110" s="303"/>
      <c r="F110" s="97" t="s">
        <v>95</v>
      </c>
      <c r="G110" s="98">
        <v>60</v>
      </c>
      <c r="H110" s="88">
        <v>84894</v>
      </c>
      <c r="I110" s="88">
        <v>79800</v>
      </c>
      <c r="J110" s="88">
        <f t="shared" si="4"/>
        <v>4788000</v>
      </c>
      <c r="K110" s="133">
        <f t="shared" si="5"/>
        <v>-5094</v>
      </c>
      <c r="L110" s="134">
        <f t="shared" si="6"/>
        <v>0.9399957594176267</v>
      </c>
      <c r="M110" s="182"/>
      <c r="N110" s="182" t="str">
        <f t="shared" si="7"/>
        <v>OK</v>
      </c>
    </row>
    <row r="111" spans="1:14" ht="60.75" customHeight="1">
      <c r="A111" s="302" t="s">
        <v>236</v>
      </c>
      <c r="B111" s="302"/>
      <c r="C111" s="303" t="s">
        <v>237</v>
      </c>
      <c r="D111" s="303"/>
      <c r="E111" s="303"/>
      <c r="F111" s="97" t="s">
        <v>113</v>
      </c>
      <c r="G111" s="98">
        <v>46</v>
      </c>
      <c r="H111" s="88">
        <v>142900</v>
      </c>
      <c r="I111" s="88">
        <v>134326</v>
      </c>
      <c r="J111" s="88">
        <f t="shared" si="4"/>
        <v>6178996</v>
      </c>
      <c r="K111" s="133">
        <f t="shared" si="5"/>
        <v>-8574</v>
      </c>
      <c r="L111" s="134">
        <f t="shared" si="6"/>
        <v>0.94</v>
      </c>
      <c r="M111" s="182"/>
      <c r="N111" s="182" t="str">
        <f t="shared" si="7"/>
        <v>OK</v>
      </c>
    </row>
    <row r="112" spans="1:14" ht="60.75" customHeight="1">
      <c r="A112" s="302" t="s">
        <v>197</v>
      </c>
      <c r="B112" s="302"/>
      <c r="C112" s="303" t="s">
        <v>238</v>
      </c>
      <c r="D112" s="303"/>
      <c r="E112" s="303"/>
      <c r="F112" s="97" t="s">
        <v>113</v>
      </c>
      <c r="G112" s="98">
        <v>1</v>
      </c>
      <c r="H112" s="88">
        <v>1176585</v>
      </c>
      <c r="I112" s="88">
        <v>1105990</v>
      </c>
      <c r="J112" s="88">
        <f t="shared" si="4"/>
        <v>1105990</v>
      </c>
      <c r="K112" s="133">
        <f t="shared" si="5"/>
        <v>-70595</v>
      </c>
      <c r="L112" s="134">
        <f t="shared" si="6"/>
        <v>0.9400000849917346</v>
      </c>
      <c r="M112" s="182"/>
      <c r="N112" s="182" t="str">
        <f t="shared" si="7"/>
        <v>OK</v>
      </c>
    </row>
    <row r="113" spans="1:14" ht="60.75" customHeight="1">
      <c r="A113" s="302" t="s">
        <v>199</v>
      </c>
      <c r="B113" s="302"/>
      <c r="C113" s="303" t="s">
        <v>239</v>
      </c>
      <c r="D113" s="303"/>
      <c r="E113" s="303"/>
      <c r="F113" s="97" t="s">
        <v>95</v>
      </c>
      <c r="G113" s="98">
        <v>30</v>
      </c>
      <c r="H113" s="88">
        <v>363800</v>
      </c>
      <c r="I113" s="88">
        <v>341972</v>
      </c>
      <c r="J113" s="88">
        <f t="shared" si="4"/>
        <v>10259160</v>
      </c>
      <c r="K113" s="133">
        <f t="shared" si="5"/>
        <v>-21828</v>
      </c>
      <c r="L113" s="134">
        <f t="shared" si="6"/>
        <v>0.94</v>
      </c>
      <c r="M113" s="182"/>
      <c r="N113" s="182" t="str">
        <f t="shared" si="7"/>
        <v>OK</v>
      </c>
    </row>
    <row r="114" spans="1:14" ht="60.75" customHeight="1">
      <c r="A114" s="302" t="s">
        <v>240</v>
      </c>
      <c r="B114" s="302"/>
      <c r="C114" s="303" t="s">
        <v>241</v>
      </c>
      <c r="D114" s="303"/>
      <c r="E114" s="303"/>
      <c r="F114" s="94" t="s">
        <v>98</v>
      </c>
      <c r="G114" s="95">
        <v>509.69</v>
      </c>
      <c r="H114" s="88">
        <v>33664</v>
      </c>
      <c r="I114" s="88">
        <v>31644</v>
      </c>
      <c r="J114" s="88">
        <f t="shared" si="4"/>
        <v>16128630</v>
      </c>
      <c r="K114" s="133">
        <f t="shared" si="5"/>
        <v>-2020</v>
      </c>
      <c r="L114" s="134">
        <f t="shared" si="6"/>
        <v>0.93999524714828897</v>
      </c>
      <c r="M114" s="182"/>
      <c r="N114" s="182" t="str">
        <f t="shared" si="7"/>
        <v>OK</v>
      </c>
    </row>
    <row r="115" spans="1:14" ht="60.75" customHeight="1">
      <c r="A115" s="302" t="s">
        <v>242</v>
      </c>
      <c r="B115" s="302"/>
      <c r="C115" s="303" t="s">
        <v>243</v>
      </c>
      <c r="D115" s="303"/>
      <c r="E115" s="303"/>
      <c r="F115" s="94" t="s">
        <v>98</v>
      </c>
      <c r="G115" s="95">
        <v>100</v>
      </c>
      <c r="H115" s="88">
        <v>40123</v>
      </c>
      <c r="I115" s="88">
        <v>37716</v>
      </c>
      <c r="J115" s="88">
        <f t="shared" si="4"/>
        <v>3771600</v>
      </c>
      <c r="K115" s="133">
        <f t="shared" si="5"/>
        <v>-2407</v>
      </c>
      <c r="L115" s="134">
        <f t="shared" si="6"/>
        <v>0.94000947087705311</v>
      </c>
      <c r="M115" s="182"/>
      <c r="N115" s="182" t="str">
        <f t="shared" si="7"/>
        <v>OK</v>
      </c>
    </row>
    <row r="116" spans="1:14" ht="60.75" customHeight="1">
      <c r="A116" s="302" t="s">
        <v>244</v>
      </c>
      <c r="B116" s="302"/>
      <c r="C116" s="303" t="s">
        <v>245</v>
      </c>
      <c r="D116" s="303"/>
      <c r="E116" s="303"/>
      <c r="F116" s="94" t="s">
        <v>98</v>
      </c>
      <c r="G116" s="95">
        <v>40</v>
      </c>
      <c r="H116" s="88">
        <v>38208</v>
      </c>
      <c r="I116" s="88">
        <v>35916</v>
      </c>
      <c r="J116" s="88">
        <f t="shared" si="4"/>
        <v>1436640</v>
      </c>
      <c r="K116" s="133">
        <f t="shared" si="5"/>
        <v>-2292</v>
      </c>
      <c r="L116" s="134">
        <f t="shared" si="6"/>
        <v>0.94001256281407031</v>
      </c>
      <c r="M116" s="182"/>
      <c r="N116" s="182" t="str">
        <f t="shared" si="7"/>
        <v>OK</v>
      </c>
    </row>
    <row r="117" spans="1:14" ht="60.75" customHeight="1">
      <c r="A117" s="302" t="s">
        <v>246</v>
      </c>
      <c r="B117" s="302"/>
      <c r="C117" s="303" t="s">
        <v>247</v>
      </c>
      <c r="D117" s="303"/>
      <c r="E117" s="303"/>
      <c r="F117" s="94" t="s">
        <v>98</v>
      </c>
      <c r="G117" s="95">
        <v>25</v>
      </c>
      <c r="H117" s="88">
        <v>38208</v>
      </c>
      <c r="I117" s="88">
        <v>35916</v>
      </c>
      <c r="J117" s="88">
        <f t="shared" si="4"/>
        <v>897900</v>
      </c>
      <c r="K117" s="133">
        <f t="shared" si="5"/>
        <v>-2292</v>
      </c>
      <c r="L117" s="134">
        <f t="shared" si="6"/>
        <v>0.94001256281407031</v>
      </c>
      <c r="M117" s="182"/>
      <c r="N117" s="182" t="str">
        <f t="shared" si="7"/>
        <v>OK</v>
      </c>
    </row>
    <row r="118" spans="1:14" ht="60.75" customHeight="1">
      <c r="A118" s="304" t="s">
        <v>248</v>
      </c>
      <c r="B118" s="305"/>
      <c r="C118" s="305"/>
      <c r="D118" s="305"/>
      <c r="E118" s="305"/>
      <c r="F118" s="305"/>
      <c r="G118" s="305"/>
      <c r="H118" s="305"/>
      <c r="I118" s="306"/>
      <c r="J118" s="101">
        <f>SUM(J79:J117)</f>
        <v>895295674</v>
      </c>
      <c r="K118" s="133">
        <f t="shared" si="5"/>
        <v>0</v>
      </c>
      <c r="L118" s="134" t="e">
        <f t="shared" si="6"/>
        <v>#DIV/0!</v>
      </c>
      <c r="M118" s="182"/>
      <c r="N118" s="182" t="str">
        <f t="shared" si="7"/>
        <v xml:space="preserve"> </v>
      </c>
    </row>
    <row r="119" spans="1:14" ht="60.75" customHeight="1">
      <c r="A119" s="302" t="s">
        <v>93</v>
      </c>
      <c r="B119" s="302"/>
      <c r="C119" s="303" t="s">
        <v>249</v>
      </c>
      <c r="D119" s="303"/>
      <c r="E119" s="303"/>
      <c r="F119" s="94" t="s">
        <v>98</v>
      </c>
      <c r="G119" s="95">
        <v>860</v>
      </c>
      <c r="H119" s="88">
        <v>38338</v>
      </c>
      <c r="I119" s="88">
        <v>36038</v>
      </c>
      <c r="J119" s="88">
        <f t="shared" si="4"/>
        <v>30992680</v>
      </c>
      <c r="K119" s="133">
        <f t="shared" si="5"/>
        <v>-2300</v>
      </c>
      <c r="L119" s="134">
        <f t="shared" si="6"/>
        <v>0.94000730345870942</v>
      </c>
      <c r="M119" s="182"/>
      <c r="N119" s="182" t="str">
        <f t="shared" si="7"/>
        <v>OK</v>
      </c>
    </row>
    <row r="120" spans="1:14" ht="60.75" customHeight="1">
      <c r="A120" s="302" t="s">
        <v>96</v>
      </c>
      <c r="B120" s="302"/>
      <c r="C120" s="303" t="s">
        <v>150</v>
      </c>
      <c r="D120" s="303"/>
      <c r="E120" s="303"/>
      <c r="F120" s="94" t="s">
        <v>113</v>
      </c>
      <c r="G120" s="95">
        <v>180</v>
      </c>
      <c r="H120" s="88">
        <v>96339</v>
      </c>
      <c r="I120" s="88">
        <v>90559</v>
      </c>
      <c r="J120" s="88">
        <f t="shared" si="4"/>
        <v>16300620</v>
      </c>
      <c r="K120" s="133">
        <f t="shared" si="5"/>
        <v>-5780</v>
      </c>
      <c r="L120" s="134">
        <f t="shared" si="6"/>
        <v>0.94000352920416441</v>
      </c>
      <c r="M120" s="182"/>
      <c r="N120" s="182" t="str">
        <f t="shared" si="7"/>
        <v>OK</v>
      </c>
    </row>
    <row r="121" spans="1:14" ht="60.75" customHeight="1">
      <c r="A121" s="302" t="s">
        <v>145</v>
      </c>
      <c r="B121" s="302"/>
      <c r="C121" s="303" t="s">
        <v>152</v>
      </c>
      <c r="D121" s="303"/>
      <c r="E121" s="303"/>
      <c r="F121" s="94" t="s">
        <v>98</v>
      </c>
      <c r="G121" s="102">
        <v>4</v>
      </c>
      <c r="H121" s="88">
        <v>95199</v>
      </c>
      <c r="I121" s="88">
        <v>89487</v>
      </c>
      <c r="J121" s="88">
        <f t="shared" si="4"/>
        <v>357948</v>
      </c>
      <c r="K121" s="133">
        <f t="shared" si="5"/>
        <v>-5712</v>
      </c>
      <c r="L121" s="134">
        <f t="shared" si="6"/>
        <v>0.93999936974127885</v>
      </c>
      <c r="M121" s="182"/>
      <c r="N121" s="182" t="str">
        <f t="shared" si="7"/>
        <v>OK</v>
      </c>
    </row>
    <row r="122" spans="1:14" ht="60.75" customHeight="1">
      <c r="A122" s="302" t="s">
        <v>99</v>
      </c>
      <c r="B122" s="302"/>
      <c r="C122" s="303" t="s">
        <v>250</v>
      </c>
      <c r="D122" s="303"/>
      <c r="E122" s="303"/>
      <c r="F122" s="94" t="s">
        <v>98</v>
      </c>
      <c r="G122" s="95">
        <v>860</v>
      </c>
      <c r="H122" s="88">
        <v>130620</v>
      </c>
      <c r="I122" s="88">
        <v>122783</v>
      </c>
      <c r="J122" s="88">
        <f t="shared" si="4"/>
        <v>105593380</v>
      </c>
      <c r="K122" s="133">
        <f t="shared" si="5"/>
        <v>-7837</v>
      </c>
      <c r="L122" s="134">
        <f t="shared" si="6"/>
        <v>0.94000153115908747</v>
      </c>
      <c r="M122" s="182"/>
      <c r="N122" s="182" t="str">
        <f t="shared" si="7"/>
        <v>OK</v>
      </c>
    </row>
    <row r="123" spans="1:14" ht="60.75" customHeight="1">
      <c r="A123" s="302" t="s">
        <v>116</v>
      </c>
      <c r="B123" s="302"/>
      <c r="C123" s="303" t="s">
        <v>158</v>
      </c>
      <c r="D123" s="303"/>
      <c r="E123" s="303"/>
      <c r="F123" s="94" t="s">
        <v>98</v>
      </c>
      <c r="G123" s="95">
        <v>860</v>
      </c>
      <c r="H123" s="88">
        <v>194913</v>
      </c>
      <c r="I123" s="88">
        <v>183218</v>
      </c>
      <c r="J123" s="88">
        <f t="shared" si="4"/>
        <v>157567480</v>
      </c>
      <c r="K123" s="133">
        <f t="shared" si="5"/>
        <v>-11695</v>
      </c>
      <c r="L123" s="134">
        <f t="shared" si="6"/>
        <v>0.93999887129129411</v>
      </c>
      <c r="M123" s="182"/>
      <c r="N123" s="182" t="str">
        <f t="shared" si="7"/>
        <v>OK</v>
      </c>
    </row>
    <row r="124" spans="1:14" ht="60.75" customHeight="1">
      <c r="A124" s="302" t="s">
        <v>124</v>
      </c>
      <c r="B124" s="302"/>
      <c r="C124" s="303" t="s">
        <v>167</v>
      </c>
      <c r="D124" s="303"/>
      <c r="E124" s="303"/>
      <c r="F124" s="94" t="s">
        <v>113</v>
      </c>
      <c r="G124" s="95">
        <v>20</v>
      </c>
      <c r="H124" s="88">
        <v>319533</v>
      </c>
      <c r="I124" s="88">
        <v>300361</v>
      </c>
      <c r="J124" s="88">
        <f t="shared" si="4"/>
        <v>6007220</v>
      </c>
      <c r="K124" s="133">
        <f t="shared" si="5"/>
        <v>-19172</v>
      </c>
      <c r="L124" s="134">
        <f t="shared" si="6"/>
        <v>0.93999993740865573</v>
      </c>
      <c r="M124" s="182"/>
      <c r="N124" s="182" t="str">
        <f t="shared" si="7"/>
        <v>OK</v>
      </c>
    </row>
    <row r="125" spans="1:14" ht="60.75" customHeight="1">
      <c r="A125" s="302" t="s">
        <v>126</v>
      </c>
      <c r="B125" s="302"/>
      <c r="C125" s="303" t="s">
        <v>169</v>
      </c>
      <c r="D125" s="303"/>
      <c r="E125" s="303"/>
      <c r="F125" s="94" t="s">
        <v>113</v>
      </c>
      <c r="G125" s="95">
        <v>20</v>
      </c>
      <c r="H125" s="88">
        <v>233891</v>
      </c>
      <c r="I125" s="88">
        <v>219858</v>
      </c>
      <c r="J125" s="88">
        <f t="shared" si="4"/>
        <v>4397160</v>
      </c>
      <c r="K125" s="133">
        <f t="shared" si="5"/>
        <v>-14033</v>
      </c>
      <c r="L125" s="134">
        <f t="shared" si="6"/>
        <v>0.94000196672809133</v>
      </c>
      <c r="M125" s="182"/>
      <c r="N125" s="182" t="str">
        <f t="shared" si="7"/>
        <v>OK</v>
      </c>
    </row>
    <row r="126" spans="1:14" ht="60.75" customHeight="1">
      <c r="A126" s="302" t="s">
        <v>128</v>
      </c>
      <c r="B126" s="302"/>
      <c r="C126" s="303" t="s">
        <v>251</v>
      </c>
      <c r="D126" s="303"/>
      <c r="E126" s="303"/>
      <c r="F126" s="94" t="s">
        <v>113</v>
      </c>
      <c r="G126" s="95">
        <v>113</v>
      </c>
      <c r="H126" s="88">
        <v>98830</v>
      </c>
      <c r="I126" s="88">
        <v>92900</v>
      </c>
      <c r="J126" s="88">
        <f t="shared" si="4"/>
        <v>10497700</v>
      </c>
      <c r="K126" s="133">
        <f t="shared" si="5"/>
        <v>-5930</v>
      </c>
      <c r="L126" s="134">
        <f t="shared" si="6"/>
        <v>0.93999797632297888</v>
      </c>
      <c r="M126" s="182"/>
      <c r="N126" s="182" t="str">
        <f t="shared" si="7"/>
        <v>OK</v>
      </c>
    </row>
    <row r="127" spans="1:14" ht="60.75" customHeight="1">
      <c r="A127" s="302" t="s">
        <v>130</v>
      </c>
      <c r="B127" s="302"/>
      <c r="C127" s="303" t="s">
        <v>173</v>
      </c>
      <c r="D127" s="303"/>
      <c r="E127" s="303"/>
      <c r="F127" s="94" t="s">
        <v>113</v>
      </c>
      <c r="G127" s="95">
        <v>8</v>
      </c>
      <c r="H127" s="88">
        <v>215750</v>
      </c>
      <c r="I127" s="88">
        <v>202805</v>
      </c>
      <c r="J127" s="88">
        <f t="shared" si="4"/>
        <v>1622440</v>
      </c>
      <c r="K127" s="133">
        <f t="shared" si="5"/>
        <v>-12945</v>
      </c>
      <c r="L127" s="134">
        <f t="shared" si="6"/>
        <v>0.94</v>
      </c>
      <c r="M127" s="182"/>
      <c r="N127" s="182" t="str">
        <f t="shared" si="7"/>
        <v>OK</v>
      </c>
    </row>
    <row r="128" spans="1:14" ht="60.75" customHeight="1">
      <c r="A128" s="302" t="s">
        <v>132</v>
      </c>
      <c r="B128" s="302"/>
      <c r="C128" s="303" t="s">
        <v>175</v>
      </c>
      <c r="D128" s="303"/>
      <c r="E128" s="303"/>
      <c r="F128" s="94" t="s">
        <v>113</v>
      </c>
      <c r="G128" s="95">
        <v>4</v>
      </c>
      <c r="H128" s="88">
        <v>200830</v>
      </c>
      <c r="I128" s="88">
        <v>188780</v>
      </c>
      <c r="J128" s="88">
        <f t="shared" si="4"/>
        <v>755120</v>
      </c>
      <c r="K128" s="133">
        <f t="shared" si="5"/>
        <v>-12050</v>
      </c>
      <c r="L128" s="134">
        <f t="shared" si="6"/>
        <v>0.93999900413284865</v>
      </c>
      <c r="M128" s="182"/>
      <c r="N128" s="182" t="str">
        <f t="shared" si="7"/>
        <v>OK</v>
      </c>
    </row>
    <row r="129" spans="1:14" ht="60.75" customHeight="1">
      <c r="A129" s="302" t="s">
        <v>136</v>
      </c>
      <c r="B129" s="302"/>
      <c r="C129" s="303" t="s">
        <v>196</v>
      </c>
      <c r="D129" s="303"/>
      <c r="E129" s="303"/>
      <c r="F129" s="94" t="s">
        <v>113</v>
      </c>
      <c r="G129" s="95">
        <v>1</v>
      </c>
      <c r="H129" s="88">
        <v>1025000</v>
      </c>
      <c r="I129" s="88">
        <v>963500</v>
      </c>
      <c r="J129" s="88">
        <f t="shared" si="4"/>
        <v>963500</v>
      </c>
      <c r="K129" s="133">
        <f t="shared" si="5"/>
        <v>-61500</v>
      </c>
      <c r="L129" s="134">
        <f t="shared" si="6"/>
        <v>0.94</v>
      </c>
      <c r="M129" s="182"/>
      <c r="N129" s="182" t="str">
        <f t="shared" si="7"/>
        <v>OK</v>
      </c>
    </row>
    <row r="130" spans="1:14" ht="60.75" customHeight="1">
      <c r="A130" s="302" t="s">
        <v>140</v>
      </c>
      <c r="B130" s="302"/>
      <c r="C130" s="303" t="s">
        <v>198</v>
      </c>
      <c r="D130" s="303"/>
      <c r="E130" s="303"/>
      <c r="F130" s="94" t="s">
        <v>98</v>
      </c>
      <c r="G130" s="95">
        <v>880</v>
      </c>
      <c r="H130" s="88">
        <v>35833</v>
      </c>
      <c r="I130" s="88">
        <v>33683</v>
      </c>
      <c r="J130" s="88">
        <f t="shared" si="4"/>
        <v>29641040</v>
      </c>
      <c r="K130" s="133">
        <f t="shared" si="5"/>
        <v>-2150</v>
      </c>
      <c r="L130" s="134">
        <f t="shared" si="6"/>
        <v>0.93999944185527307</v>
      </c>
      <c r="M130" s="182"/>
      <c r="N130" s="182" t="str">
        <f t="shared" si="7"/>
        <v>OK</v>
      </c>
    </row>
    <row r="131" spans="1:14" ht="60.75" customHeight="1">
      <c r="A131" s="296" t="s">
        <v>252</v>
      </c>
      <c r="B131" s="297"/>
      <c r="C131" s="297"/>
      <c r="D131" s="297"/>
      <c r="E131" s="297"/>
      <c r="F131" s="297"/>
      <c r="G131" s="297"/>
      <c r="H131" s="297"/>
      <c r="I131" s="298"/>
      <c r="J131" s="104">
        <f>SUM(J119:J130)</f>
        <v>364696288</v>
      </c>
    </row>
    <row r="132" spans="1:14" ht="60.75" customHeight="1">
      <c r="A132" s="299" t="s">
        <v>253</v>
      </c>
      <c r="B132" s="300"/>
      <c r="C132" s="300"/>
      <c r="D132" s="300"/>
      <c r="E132" s="300"/>
      <c r="F132" s="300"/>
      <c r="G132" s="300"/>
      <c r="H132" s="301"/>
      <c r="I132" s="105">
        <f>+ROUND(J132*10%,0)</f>
        <v>366051141</v>
      </c>
      <c r="J132" s="104">
        <f>+J118+J78+J73+J39+J131</f>
        <v>3660511413</v>
      </c>
    </row>
    <row r="133" spans="1:14" ht="41.25" customHeight="1">
      <c r="A133" s="286" t="s">
        <v>254</v>
      </c>
      <c r="B133" s="287"/>
      <c r="C133" s="287"/>
      <c r="D133" s="288"/>
      <c r="E133" s="106">
        <v>0.12</v>
      </c>
      <c r="F133" s="289">
        <v>0.12</v>
      </c>
      <c r="G133" s="290"/>
      <c r="H133" s="291"/>
      <c r="I133" s="108">
        <f>+ROUND($I$132*F133,0)</f>
        <v>43926137</v>
      </c>
      <c r="J133" s="108">
        <f>+ROUND($J$132*F133,0)</f>
        <v>439261370</v>
      </c>
      <c r="K133" s="133">
        <f>F133-E133</f>
        <v>0</v>
      </c>
      <c r="L133" s="134">
        <f>F133/E133</f>
        <v>1</v>
      </c>
    </row>
    <row r="134" spans="1:14" ht="35.25" customHeight="1">
      <c r="A134" s="286" t="s">
        <v>255</v>
      </c>
      <c r="B134" s="287"/>
      <c r="C134" s="287"/>
      <c r="D134" s="288"/>
      <c r="E134" s="106">
        <v>0.03</v>
      </c>
      <c r="F134" s="289">
        <v>0.03</v>
      </c>
      <c r="G134" s="290"/>
      <c r="H134" s="291"/>
      <c r="I134" s="108">
        <f>+ROUND($I$132*F134,0)</f>
        <v>10981534</v>
      </c>
      <c r="J134" s="108">
        <f>+ROUND($J$132*F134,0)</f>
        <v>109815342</v>
      </c>
      <c r="K134" s="133">
        <f t="shared" ref="K134:K135" si="8">F134-E134</f>
        <v>0</v>
      </c>
      <c r="L134" s="134">
        <f t="shared" ref="L134:L135" si="9">F134/E134</f>
        <v>1</v>
      </c>
    </row>
    <row r="135" spans="1:14" ht="31.5" customHeight="1">
      <c r="A135" s="286" t="s">
        <v>256</v>
      </c>
      <c r="B135" s="287"/>
      <c r="C135" s="287"/>
      <c r="D135" s="288"/>
      <c r="E135" s="106">
        <v>7.0000000000000007E-2</v>
      </c>
      <c r="F135" s="289">
        <v>7.0000000000000007E-2</v>
      </c>
      <c r="G135" s="290"/>
      <c r="H135" s="291"/>
      <c r="I135" s="108">
        <f>+ROUND($I$132*F135,0)</f>
        <v>25623580</v>
      </c>
      <c r="J135" s="108">
        <f>+ROUND($J$132*F135,0)</f>
        <v>256235799</v>
      </c>
      <c r="K135" s="133">
        <f t="shared" si="8"/>
        <v>0</v>
      </c>
      <c r="L135" s="134">
        <f t="shared" si="9"/>
        <v>1</v>
      </c>
    </row>
    <row r="136" spans="1:14" ht="33.75" customHeight="1">
      <c r="A136" s="286" t="s">
        <v>257</v>
      </c>
      <c r="B136" s="287"/>
      <c r="C136" s="287"/>
      <c r="D136" s="288"/>
      <c r="E136" s="289">
        <v>0.19</v>
      </c>
      <c r="F136" s="290"/>
      <c r="G136" s="290"/>
      <c r="H136" s="291"/>
      <c r="I136" s="108">
        <f>+ROUND(I135*E136,0)</f>
        <v>4868480</v>
      </c>
      <c r="J136" s="108">
        <f>+ROUND(J135*E136,0)</f>
        <v>48684802</v>
      </c>
      <c r="K136" s="151"/>
      <c r="L136" s="151"/>
    </row>
    <row r="137" spans="1:14" ht="42" customHeight="1">
      <c r="A137" s="292" t="s">
        <v>258</v>
      </c>
      <c r="B137" s="293"/>
      <c r="C137" s="293"/>
      <c r="D137" s="293"/>
      <c r="E137" s="293"/>
      <c r="F137" s="293"/>
      <c r="G137" s="293"/>
      <c r="H137" s="294"/>
      <c r="I137" s="109">
        <f>SUM(I132:I136)</f>
        <v>451450872</v>
      </c>
      <c r="J137" s="109">
        <f>SUM(J132:J136)</f>
        <v>4514508726</v>
      </c>
    </row>
    <row r="138" spans="1:14" ht="60.75" customHeight="1">
      <c r="A138" s="295" t="s">
        <v>259</v>
      </c>
      <c r="B138" s="295"/>
      <c r="C138" s="295"/>
      <c r="D138" s="295"/>
      <c r="E138" s="295"/>
      <c r="F138" s="295"/>
      <c r="G138" s="295"/>
      <c r="H138" s="295"/>
      <c r="I138" s="295"/>
      <c r="J138" s="111">
        <f>+I137+J137</f>
        <v>4965959598</v>
      </c>
      <c r="K138" s="133">
        <f>J138-'[3]CONSOLIDADO FINANCIERO'!L7</f>
        <v>-316972368</v>
      </c>
      <c r="L138" s="183">
        <f>+J138/'CONSOLIDADO FINANCIERO'!L7</f>
        <v>0.94000067196776771</v>
      </c>
    </row>
    <row r="139" spans="1:14" ht="15.75" customHeight="1" thickBot="1"/>
    <row r="140" spans="1:14" ht="215.25" customHeight="1" thickBot="1">
      <c r="A140" s="399" t="s">
        <v>260</v>
      </c>
      <c r="B140" s="400"/>
      <c r="C140" s="400"/>
      <c r="D140" s="400"/>
      <c r="E140" s="400"/>
      <c r="F140" s="400"/>
      <c r="G140" s="400"/>
      <c r="H140" s="400"/>
      <c r="I140" s="400"/>
      <c r="J140" s="400"/>
      <c r="K140" s="400"/>
      <c r="L140" s="400"/>
      <c r="M140" s="401"/>
    </row>
    <row r="141" spans="1:14" ht="2.25" customHeight="1" thickBot="1">
      <c r="A141" s="112"/>
      <c r="B141" s="112"/>
      <c r="C141" s="112"/>
      <c r="D141" s="112"/>
      <c r="E141" s="112"/>
      <c r="F141" s="113"/>
      <c r="G141" s="113"/>
      <c r="H141" s="113"/>
      <c r="I141" s="113"/>
      <c r="J141" s="113"/>
      <c r="K141" s="113"/>
      <c r="L141" s="113"/>
      <c r="M141" s="113"/>
    </row>
    <row r="142" spans="1:14" ht="57" customHeight="1" thickBot="1">
      <c r="A142" s="114"/>
      <c r="B142" s="115"/>
      <c r="C142" s="116"/>
      <c r="D142" s="116"/>
      <c r="E142" s="117"/>
      <c r="F142" s="117"/>
      <c r="G142" s="117"/>
      <c r="H142" s="117"/>
      <c r="I142" s="117"/>
      <c r="J142" s="117"/>
      <c r="K142" s="117"/>
      <c r="L142" s="117"/>
      <c r="M142" s="112"/>
    </row>
    <row r="143" spans="1:14" ht="25.5" customHeight="1">
      <c r="A143" s="119"/>
      <c r="B143" s="285" t="s">
        <v>261</v>
      </c>
      <c r="C143" s="285"/>
      <c r="D143" s="121"/>
      <c r="E143" s="122"/>
      <c r="F143" s="112"/>
      <c r="G143" s="112"/>
      <c r="H143" s="112"/>
      <c r="I143" s="112"/>
      <c r="J143" s="112"/>
      <c r="K143" s="112"/>
      <c r="L143" s="112"/>
      <c r="M143" s="112"/>
    </row>
    <row r="144" spans="1:14" ht="25.5" customHeight="1">
      <c r="A144" s="119"/>
      <c r="B144" s="285" t="s">
        <v>319</v>
      </c>
      <c r="C144" s="285"/>
      <c r="D144" s="285"/>
      <c r="E144" s="285"/>
      <c r="F144" s="112"/>
      <c r="G144" s="112"/>
      <c r="H144" s="112"/>
      <c r="I144" s="112"/>
      <c r="J144" s="112"/>
      <c r="K144" s="112"/>
      <c r="L144" s="112"/>
      <c r="M144" s="112"/>
    </row>
    <row r="145" spans="1:13" ht="25.5" customHeight="1">
      <c r="A145" s="119"/>
      <c r="B145" s="285" t="s">
        <v>320</v>
      </c>
      <c r="C145" s="285"/>
      <c r="D145" s="285"/>
      <c r="E145" s="285"/>
      <c r="F145" s="112"/>
      <c r="G145" s="112"/>
      <c r="H145" s="112"/>
      <c r="I145" s="112"/>
      <c r="J145" s="112"/>
      <c r="K145" s="112"/>
      <c r="L145" s="112"/>
      <c r="M145" s="112"/>
    </row>
    <row r="146" spans="1:13" ht="25.5" customHeight="1">
      <c r="A146" s="119"/>
      <c r="B146" s="285" t="s">
        <v>321</v>
      </c>
      <c r="C146" s="285"/>
      <c r="D146" s="285"/>
      <c r="E146" s="285"/>
      <c r="F146" s="112"/>
      <c r="G146" s="112"/>
      <c r="H146" s="112"/>
      <c r="I146" s="112"/>
      <c r="J146" s="112"/>
      <c r="K146" s="112"/>
      <c r="L146" s="112"/>
      <c r="M146" s="112"/>
    </row>
    <row r="147" spans="1:13" ht="36" customHeight="1" thickBot="1">
      <c r="A147" s="124"/>
      <c r="B147" s="402"/>
      <c r="C147" s="402"/>
      <c r="D147" s="402"/>
      <c r="E147" s="402"/>
      <c r="F147" s="128"/>
      <c r="G147" s="128"/>
      <c r="H147" s="128"/>
      <c r="I147" s="128"/>
      <c r="J147" s="128"/>
      <c r="K147" s="128"/>
      <c r="L147" s="128"/>
      <c r="M147" s="146"/>
    </row>
    <row r="148" spans="1:13">
      <c r="A148" s="130"/>
      <c r="C148" s="131"/>
      <c r="D148" s="131"/>
      <c r="E148" s="131"/>
      <c r="F148" s="131"/>
      <c r="G148" s="131"/>
    </row>
  </sheetData>
  <sheetProtection algorithmName="SHA-512" hashValue="lzOLOgkoN+CYEPcKwScI47xewPBWylTwni669K6zWzzLcAWxaCb5gL1qPeIBZss6LZs0BfdJhRh4NASQ1bSuEw==" saltValue="W6mhe6iK4oguX2+7M0Qr4A==" spinCount="100000" sheet="1" objects="1" scenarios="1"/>
  <mergeCells count="266">
    <mergeCell ref="A8:D8"/>
    <mergeCell ref="E8:J8"/>
    <mergeCell ref="A9:D9"/>
    <mergeCell ref="E9:J9"/>
    <mergeCell ref="A10:D10"/>
    <mergeCell ref="E10:J10"/>
    <mergeCell ref="A1:D4"/>
    <mergeCell ref="E1:J4"/>
    <mergeCell ref="A5:J5"/>
    <mergeCell ref="A6:D6"/>
    <mergeCell ref="E6:J6"/>
    <mergeCell ref="A7:D7"/>
    <mergeCell ref="E7:J7"/>
    <mergeCell ref="A11:D11"/>
    <mergeCell ref="E11:J11"/>
    <mergeCell ref="A12:J12"/>
    <mergeCell ref="A14:B15"/>
    <mergeCell ref="C14:E15"/>
    <mergeCell ref="F14:F15"/>
    <mergeCell ref="G14:G15"/>
    <mergeCell ref="H14:H15"/>
    <mergeCell ref="I14:J14"/>
    <mergeCell ref="A19:B19"/>
    <mergeCell ref="C19:E19"/>
    <mergeCell ref="A20:B20"/>
    <mergeCell ref="C20:E20"/>
    <mergeCell ref="A21:B21"/>
    <mergeCell ref="C21:E21"/>
    <mergeCell ref="A16:B16"/>
    <mergeCell ref="C16:E16"/>
    <mergeCell ref="A17:B17"/>
    <mergeCell ref="C17:E17"/>
    <mergeCell ref="A18:B18"/>
    <mergeCell ref="C18:E18"/>
    <mergeCell ref="A25:B25"/>
    <mergeCell ref="C25:E25"/>
    <mergeCell ref="A26:B26"/>
    <mergeCell ref="C26:E26"/>
    <mergeCell ref="A27:B27"/>
    <mergeCell ref="C27:E27"/>
    <mergeCell ref="A22:B22"/>
    <mergeCell ref="C22:E22"/>
    <mergeCell ref="A23:B23"/>
    <mergeCell ref="C23:E23"/>
    <mergeCell ref="A24:B24"/>
    <mergeCell ref="C24:E24"/>
    <mergeCell ref="A31:B31"/>
    <mergeCell ref="C31:E31"/>
    <mergeCell ref="A32:B32"/>
    <mergeCell ref="C32:E32"/>
    <mergeCell ref="A33:B33"/>
    <mergeCell ref="C33:E33"/>
    <mergeCell ref="A28:B28"/>
    <mergeCell ref="C28:E28"/>
    <mergeCell ref="A29:B29"/>
    <mergeCell ref="C29:E29"/>
    <mergeCell ref="A30:B30"/>
    <mergeCell ref="C30:E30"/>
    <mergeCell ref="A37:B37"/>
    <mergeCell ref="C37:E37"/>
    <mergeCell ref="A38:B38"/>
    <mergeCell ref="C38:E38"/>
    <mergeCell ref="A39:I39"/>
    <mergeCell ref="A40:B40"/>
    <mergeCell ref="C40:E40"/>
    <mergeCell ref="A34:B34"/>
    <mergeCell ref="C34:E34"/>
    <mergeCell ref="A35:B35"/>
    <mergeCell ref="C35:E35"/>
    <mergeCell ref="A36:B36"/>
    <mergeCell ref="C36:E36"/>
    <mergeCell ref="A44:B44"/>
    <mergeCell ref="C44:E44"/>
    <mergeCell ref="A45:B45"/>
    <mergeCell ref="C45:E45"/>
    <mergeCell ref="A46:B46"/>
    <mergeCell ref="C46:E46"/>
    <mergeCell ref="A41:B41"/>
    <mergeCell ref="C41:E41"/>
    <mergeCell ref="A42:B42"/>
    <mergeCell ref="C42:E42"/>
    <mergeCell ref="A43:B43"/>
    <mergeCell ref="C43:E43"/>
    <mergeCell ref="A50:B50"/>
    <mergeCell ref="C50:E50"/>
    <mergeCell ref="A51:B51"/>
    <mergeCell ref="C51:E51"/>
    <mergeCell ref="A52:B52"/>
    <mergeCell ref="C52:E52"/>
    <mergeCell ref="A47:B47"/>
    <mergeCell ref="C47:E47"/>
    <mergeCell ref="A48:B48"/>
    <mergeCell ref="C48:E48"/>
    <mergeCell ref="A49:B49"/>
    <mergeCell ref="C49:E49"/>
    <mergeCell ref="A56:B56"/>
    <mergeCell ref="C56:E56"/>
    <mergeCell ref="A57:B57"/>
    <mergeCell ref="C57:E57"/>
    <mergeCell ref="A58:B58"/>
    <mergeCell ref="C58:E58"/>
    <mergeCell ref="A53:B53"/>
    <mergeCell ref="C53:E53"/>
    <mergeCell ref="A54:B54"/>
    <mergeCell ref="C54:E54"/>
    <mergeCell ref="A55:B55"/>
    <mergeCell ref="C55:E55"/>
    <mergeCell ref="A62:B62"/>
    <mergeCell ref="C62:E62"/>
    <mergeCell ref="A63:B63"/>
    <mergeCell ref="C63:E63"/>
    <mergeCell ref="A64:B64"/>
    <mergeCell ref="C64:E64"/>
    <mergeCell ref="A59:B59"/>
    <mergeCell ref="C59:E59"/>
    <mergeCell ref="A60:B60"/>
    <mergeCell ref="C60:E60"/>
    <mergeCell ref="A61:B61"/>
    <mergeCell ref="C61:E61"/>
    <mergeCell ref="A68:B68"/>
    <mergeCell ref="C68:E68"/>
    <mergeCell ref="A69:B69"/>
    <mergeCell ref="C69:E69"/>
    <mergeCell ref="A70:B70"/>
    <mergeCell ref="C70:E70"/>
    <mergeCell ref="A65:B65"/>
    <mergeCell ref="C65:E65"/>
    <mergeCell ref="A66:B66"/>
    <mergeCell ref="C66:E66"/>
    <mergeCell ref="A67:B67"/>
    <mergeCell ref="C67:E67"/>
    <mergeCell ref="A75:B75"/>
    <mergeCell ref="C75:E75"/>
    <mergeCell ref="A76:B76"/>
    <mergeCell ref="C76:E76"/>
    <mergeCell ref="A77:B77"/>
    <mergeCell ref="C77:E77"/>
    <mergeCell ref="A71:B71"/>
    <mergeCell ref="C71:E71"/>
    <mergeCell ref="A72:B72"/>
    <mergeCell ref="C72:E72"/>
    <mergeCell ref="A73:I73"/>
    <mergeCell ref="A74:B74"/>
    <mergeCell ref="C74:E74"/>
    <mergeCell ref="A82:B82"/>
    <mergeCell ref="C82:E82"/>
    <mergeCell ref="A83:B83"/>
    <mergeCell ref="C83:E83"/>
    <mergeCell ref="A84:B84"/>
    <mergeCell ref="C84:E84"/>
    <mergeCell ref="A78:I78"/>
    <mergeCell ref="A79:B79"/>
    <mergeCell ref="C79:E79"/>
    <mergeCell ref="A80:B80"/>
    <mergeCell ref="C80:E80"/>
    <mergeCell ref="A81:B81"/>
    <mergeCell ref="C81:E81"/>
    <mergeCell ref="A88:B88"/>
    <mergeCell ref="C88:E88"/>
    <mergeCell ref="A89:B89"/>
    <mergeCell ref="C89:E89"/>
    <mergeCell ref="A90:B90"/>
    <mergeCell ref="C90:E90"/>
    <mergeCell ref="A85:B85"/>
    <mergeCell ref="C85:E85"/>
    <mergeCell ref="A86:B86"/>
    <mergeCell ref="C86:E86"/>
    <mergeCell ref="A87:B87"/>
    <mergeCell ref="C87:E87"/>
    <mergeCell ref="A94:B94"/>
    <mergeCell ref="C94:E94"/>
    <mergeCell ref="A95:B95"/>
    <mergeCell ref="C95:E95"/>
    <mergeCell ref="A96:B96"/>
    <mergeCell ref="C96:E96"/>
    <mergeCell ref="A91:B91"/>
    <mergeCell ref="C91:E91"/>
    <mergeCell ref="A92:B92"/>
    <mergeCell ref="C92:E92"/>
    <mergeCell ref="A93:B93"/>
    <mergeCell ref="C93:E93"/>
    <mergeCell ref="A100:B100"/>
    <mergeCell ref="C100:E100"/>
    <mergeCell ref="A101:B101"/>
    <mergeCell ref="C101:E101"/>
    <mergeCell ref="A102:B102"/>
    <mergeCell ref="C102:E102"/>
    <mergeCell ref="A97:B97"/>
    <mergeCell ref="C97:E97"/>
    <mergeCell ref="A98:B98"/>
    <mergeCell ref="C98:E98"/>
    <mergeCell ref="A99:B99"/>
    <mergeCell ref="C99:E99"/>
    <mergeCell ref="A106:B106"/>
    <mergeCell ref="C106:E106"/>
    <mergeCell ref="A107:B107"/>
    <mergeCell ref="C107:E107"/>
    <mergeCell ref="A108:B108"/>
    <mergeCell ref="C108:E108"/>
    <mergeCell ref="A103:B103"/>
    <mergeCell ref="C103:E103"/>
    <mergeCell ref="A104:B104"/>
    <mergeCell ref="C104:E104"/>
    <mergeCell ref="A105:B105"/>
    <mergeCell ref="C105:E105"/>
    <mergeCell ref="A112:B112"/>
    <mergeCell ref="C112:E112"/>
    <mergeCell ref="A113:B113"/>
    <mergeCell ref="C113:E113"/>
    <mergeCell ref="A114:B114"/>
    <mergeCell ref="C114:E114"/>
    <mergeCell ref="A109:B109"/>
    <mergeCell ref="C109:E109"/>
    <mergeCell ref="A110:B110"/>
    <mergeCell ref="C110:E110"/>
    <mergeCell ref="A111:B111"/>
    <mergeCell ref="C111:E111"/>
    <mergeCell ref="A118:I118"/>
    <mergeCell ref="A119:B119"/>
    <mergeCell ref="C119:E119"/>
    <mergeCell ref="A120:B120"/>
    <mergeCell ref="C120:E120"/>
    <mergeCell ref="A121:B121"/>
    <mergeCell ref="C121:E121"/>
    <mergeCell ref="A115:B115"/>
    <mergeCell ref="C115:E115"/>
    <mergeCell ref="A116:B116"/>
    <mergeCell ref="C116:E116"/>
    <mergeCell ref="A117:B117"/>
    <mergeCell ref="C117:E117"/>
    <mergeCell ref="A125:B125"/>
    <mergeCell ref="C125:E125"/>
    <mergeCell ref="A126:B126"/>
    <mergeCell ref="C126:E126"/>
    <mergeCell ref="A127:B127"/>
    <mergeCell ref="C127:E127"/>
    <mergeCell ref="A122:B122"/>
    <mergeCell ref="C122:E122"/>
    <mergeCell ref="A123:B123"/>
    <mergeCell ref="C123:E123"/>
    <mergeCell ref="A124:B124"/>
    <mergeCell ref="C124:E124"/>
    <mergeCell ref="A131:I131"/>
    <mergeCell ref="A132:H132"/>
    <mergeCell ref="A133:D133"/>
    <mergeCell ref="F133:H133"/>
    <mergeCell ref="A134:D134"/>
    <mergeCell ref="F134:H134"/>
    <mergeCell ref="A128:B128"/>
    <mergeCell ref="C128:E128"/>
    <mergeCell ref="A129:B129"/>
    <mergeCell ref="C129:E129"/>
    <mergeCell ref="A130:B130"/>
    <mergeCell ref="C130:E130"/>
    <mergeCell ref="A140:M140"/>
    <mergeCell ref="B143:C143"/>
    <mergeCell ref="B144:E144"/>
    <mergeCell ref="B145:E145"/>
    <mergeCell ref="B146:E146"/>
    <mergeCell ref="B147:E147"/>
    <mergeCell ref="A135:D135"/>
    <mergeCell ref="F135:H135"/>
    <mergeCell ref="A136:D136"/>
    <mergeCell ref="E136:H136"/>
    <mergeCell ref="A137:H137"/>
    <mergeCell ref="A138:I138"/>
  </mergeCells>
  <conditionalFormatting sqref="K16:K130">
    <cfRule type="cellIs" dxfId="82" priority="18" operator="greaterThan">
      <formula>0</formula>
    </cfRule>
    <cfRule type="cellIs" dxfId="81" priority="19" operator="lessThan">
      <formula>0</formula>
    </cfRule>
    <cfRule type="cellIs" dxfId="80" priority="20" operator="lessThan">
      <formula>0</formula>
    </cfRule>
  </conditionalFormatting>
  <conditionalFormatting sqref="K133:K135">
    <cfRule type="cellIs" dxfId="79" priority="13" operator="greaterThan">
      <formula>0</formula>
    </cfRule>
    <cfRule type="cellIs" dxfId="78" priority="14" operator="lessThan">
      <formula>0</formula>
    </cfRule>
    <cfRule type="cellIs" dxfId="77" priority="15" operator="lessThan">
      <formula>0</formula>
    </cfRule>
  </conditionalFormatting>
  <conditionalFormatting sqref="K138">
    <cfRule type="cellIs" dxfId="76" priority="3" operator="greaterThan">
      <formula>0</formula>
    </cfRule>
    <cfRule type="cellIs" dxfId="75" priority="4" operator="lessThan">
      <formula>0</formula>
    </cfRule>
    <cfRule type="cellIs" dxfId="74" priority="5" operator="lessThan">
      <formula>0</formula>
    </cfRule>
  </conditionalFormatting>
  <conditionalFormatting sqref="L16:L130">
    <cfRule type="cellIs" dxfId="73" priority="16" operator="greaterThan">
      <formula>0.8</formula>
    </cfRule>
    <cfRule type="cellIs" dxfId="72" priority="17" operator="lessThan">
      <formula>0.8</formula>
    </cfRule>
  </conditionalFormatting>
  <conditionalFormatting sqref="L133:L135">
    <cfRule type="cellIs" dxfId="71" priority="11" operator="greaterThan">
      <formula>0.8</formula>
    </cfRule>
    <cfRule type="cellIs" dxfId="70" priority="12" operator="lessThan">
      <formula>0.8</formula>
    </cfRule>
  </conditionalFormatting>
  <conditionalFormatting sqref="L138">
    <cfRule type="cellIs" dxfId="69" priority="1" operator="greaterThan">
      <formula>0.8</formula>
    </cfRule>
    <cfRule type="cellIs" dxfId="68" priority="2" operator="lessThan">
      <formula>0.8</formula>
    </cfRule>
  </conditionalFormatting>
  <pageMargins left="0.7" right="0.7" top="0.75" bottom="0.75" header="0.3" footer="0.3"/>
  <pageSetup scale="34"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ABCEC-2A17-494C-9F83-820D0FD262D3}">
  <sheetPr>
    <tabColor rgb="FF92D050"/>
    <pageSetUpPr fitToPage="1"/>
  </sheetPr>
  <dimension ref="A1:AZ48"/>
  <sheetViews>
    <sheetView topLeftCell="A33" zoomScale="55" zoomScaleNormal="55" zoomScaleSheetLayoutView="50" workbookViewId="0">
      <selection activeCell="F56" sqref="F56"/>
    </sheetView>
  </sheetViews>
  <sheetFormatPr baseColWidth="10" defaultColWidth="11.42578125" defaultRowHeight="16.5"/>
  <cols>
    <col min="1" max="1" width="16" style="2" customWidth="1"/>
    <col min="2" max="2" width="25.42578125" style="2" customWidth="1"/>
    <col min="3" max="3" width="43.42578125" style="2" customWidth="1"/>
    <col min="4" max="4" width="28.28515625" style="2" customWidth="1"/>
    <col min="5" max="5" width="26.140625" style="2" customWidth="1"/>
    <col min="6" max="6" width="32.42578125" style="2" customWidth="1"/>
    <col min="7" max="7" width="29.5703125" style="2" hidden="1" customWidth="1"/>
    <col min="8" max="8" width="32.42578125" style="2" hidden="1" customWidth="1"/>
    <col min="9" max="9" width="33.85546875" style="2" customWidth="1"/>
    <col min="10" max="10" width="23.28515625" style="2" customWidth="1"/>
    <col min="11" max="11" width="28.42578125" style="2" customWidth="1"/>
    <col min="12" max="12" width="33.28515625" style="2" customWidth="1"/>
    <col min="13" max="13" width="11.42578125" style="3" hidden="1" customWidth="1"/>
    <col min="14" max="14" width="15.7109375" style="14" customWidth="1"/>
    <col min="15" max="15" width="41.7109375" style="14" customWidth="1"/>
    <col min="16" max="16" width="23.28515625" style="14" customWidth="1"/>
    <col min="17" max="17" width="11.42578125" style="14" customWidth="1"/>
    <col min="18" max="18" width="11.42578125" style="2"/>
    <col min="19" max="19" width="53.7109375" style="2" customWidth="1"/>
    <col min="20" max="16384" width="11.42578125" style="2"/>
  </cols>
  <sheetData>
    <row r="1" spans="1:17" ht="85.5" customHeight="1" thickBot="1">
      <c r="A1" s="1">
        <v>9</v>
      </c>
      <c r="C1" s="214" t="s">
        <v>29</v>
      </c>
      <c r="D1" s="215"/>
      <c r="E1" s="215"/>
      <c r="F1" s="215"/>
      <c r="G1" s="215"/>
      <c r="H1" s="215"/>
      <c r="I1" s="215"/>
      <c r="J1" s="215"/>
      <c r="K1" s="216"/>
      <c r="L1" s="39"/>
      <c r="N1" s="3"/>
      <c r="O1" s="3"/>
      <c r="P1" s="3"/>
      <c r="Q1" s="3"/>
    </row>
    <row r="2" spans="1:17" ht="16.5" customHeight="1" thickBot="1">
      <c r="A2" s="4"/>
      <c r="B2" s="5"/>
      <c r="C2" s="5"/>
      <c r="D2" s="5"/>
      <c r="E2" s="5"/>
      <c r="F2" s="5"/>
      <c r="G2" s="5"/>
      <c r="H2" s="5"/>
      <c r="I2" s="5"/>
      <c r="J2" s="5"/>
      <c r="K2" s="5"/>
      <c r="L2" s="5"/>
      <c r="N2" s="3"/>
      <c r="O2" s="3"/>
      <c r="P2" s="3"/>
      <c r="Q2" s="3"/>
    </row>
    <row r="3" spans="1:17" ht="54.75" customHeight="1" thickBot="1">
      <c r="A3" s="4"/>
      <c r="B3" s="4"/>
      <c r="C3" s="80" t="s">
        <v>2</v>
      </c>
      <c r="D3" s="372" t="str">
        <f>+'CONSOLIDADO FINANCIERO'!L5</f>
        <v>REALIZAR LAS REPARACIONES LOCATIVAS DE LA INFRAESTRUCTURA FÍSICA DE LA SEDE PRINCIPAL - CNA DEL FONDO NACIONAL DEL AHORRO S.A.</v>
      </c>
      <c r="E3" s="373"/>
      <c r="F3" s="373"/>
      <c r="G3" s="373"/>
      <c r="H3" s="373"/>
      <c r="I3" s="373"/>
      <c r="J3" s="373"/>
      <c r="K3" s="374"/>
      <c r="L3" s="40"/>
      <c r="N3" s="3"/>
      <c r="O3" s="3"/>
      <c r="P3" s="3"/>
      <c r="Q3" s="3"/>
    </row>
    <row r="4" spans="1:17" ht="36.75" customHeight="1" thickBot="1">
      <c r="A4" s="4"/>
      <c r="B4" s="4"/>
      <c r="C4" s="7" t="s">
        <v>4</v>
      </c>
      <c r="D4" s="372" t="str">
        <f>+'CONSOLIDADO FINANCIERO'!D6</f>
        <v>FNA-VGHA-CP-015-2024</v>
      </c>
      <c r="E4" s="373"/>
      <c r="F4" s="373"/>
      <c r="G4" s="373"/>
      <c r="H4" s="373"/>
      <c r="I4" s="373"/>
      <c r="J4" s="373"/>
      <c r="K4" s="374"/>
      <c r="L4" s="40"/>
      <c r="N4" s="3"/>
      <c r="O4" s="3"/>
      <c r="P4" s="3"/>
      <c r="Q4" s="3"/>
    </row>
    <row r="5" spans="1:17" ht="35.25" customHeight="1" thickBot="1">
      <c r="A5" s="4"/>
      <c r="B5" s="4"/>
      <c r="C5" s="8" t="s">
        <v>30</v>
      </c>
      <c r="D5" s="222" t="s">
        <v>325</v>
      </c>
      <c r="E5" s="222"/>
      <c r="F5" s="222"/>
      <c r="G5" s="222"/>
      <c r="H5" s="222"/>
      <c r="I5" s="222"/>
      <c r="J5" s="222"/>
      <c r="K5" s="223"/>
      <c r="L5" s="40"/>
      <c r="N5" s="3"/>
      <c r="O5" s="3"/>
      <c r="P5" s="3"/>
      <c r="Q5" s="3"/>
    </row>
    <row r="6" spans="1:17" ht="16.5" customHeight="1" thickBot="1">
      <c r="A6" s="4"/>
      <c r="B6" s="4"/>
      <c r="C6" s="9"/>
      <c r="D6" s="10"/>
      <c r="E6" s="10"/>
      <c r="F6" s="10"/>
      <c r="G6" s="10"/>
      <c r="H6" s="10"/>
      <c r="I6" s="10"/>
      <c r="J6" s="10"/>
      <c r="K6" s="10"/>
      <c r="L6" s="40"/>
      <c r="N6" s="3"/>
      <c r="O6" s="3"/>
      <c r="P6" s="3"/>
      <c r="Q6" s="3"/>
    </row>
    <row r="7" spans="1:17" ht="60" customHeight="1" thickBot="1">
      <c r="A7" s="4"/>
      <c r="B7" s="4"/>
      <c r="C7" s="224" t="s">
        <v>31</v>
      </c>
      <c r="D7" s="225"/>
      <c r="E7" s="225"/>
      <c r="F7" s="225"/>
      <c r="G7" s="225"/>
      <c r="H7" s="225"/>
      <c r="I7" s="225"/>
      <c r="J7" s="225"/>
      <c r="K7" s="226"/>
      <c r="L7" s="40"/>
      <c r="N7" s="3"/>
      <c r="O7" s="3"/>
      <c r="P7" s="3"/>
      <c r="Q7" s="3"/>
    </row>
    <row r="8" spans="1:17" ht="42.75" customHeight="1" thickBot="1">
      <c r="A8" s="4"/>
      <c r="B8" s="4"/>
      <c r="C8" s="227" t="s">
        <v>326</v>
      </c>
      <c r="D8" s="228"/>
      <c r="E8" s="228"/>
      <c r="F8" s="228"/>
      <c r="G8" s="228"/>
      <c r="H8" s="228"/>
      <c r="I8" s="228"/>
      <c r="J8" s="228"/>
      <c r="K8" s="229"/>
      <c r="L8" s="40"/>
      <c r="N8" s="3"/>
      <c r="O8" s="3"/>
      <c r="P8" s="3"/>
      <c r="Q8" s="3"/>
    </row>
    <row r="9" spans="1:17" ht="36.75" customHeight="1">
      <c r="A9" s="4"/>
      <c r="B9" s="4"/>
      <c r="C9" s="6" t="s">
        <v>33</v>
      </c>
      <c r="D9" s="234">
        <v>45643</v>
      </c>
      <c r="E9" s="234"/>
      <c r="F9" s="234"/>
      <c r="G9" s="234"/>
      <c r="H9" s="234"/>
      <c r="I9" s="234"/>
      <c r="J9" s="235"/>
      <c r="K9" s="236"/>
      <c r="L9" s="40"/>
      <c r="N9" s="3"/>
      <c r="O9" s="3"/>
      <c r="P9" s="3"/>
      <c r="Q9" s="3"/>
    </row>
    <row r="10" spans="1:17" ht="36.75" customHeight="1" thickBot="1">
      <c r="A10" s="4"/>
      <c r="B10" s="4"/>
      <c r="C10" s="7" t="s">
        <v>34</v>
      </c>
      <c r="D10" s="230">
        <v>45614</v>
      </c>
      <c r="E10" s="230"/>
      <c r="F10" s="230"/>
      <c r="G10" s="230"/>
      <c r="H10" s="230"/>
      <c r="I10" s="230"/>
      <c r="J10" s="237" t="str">
        <f>IF(D10&gt;=O10,"CUMPLE","NO CUMPLE")</f>
        <v>CUMPLE</v>
      </c>
      <c r="K10" s="238"/>
      <c r="L10" s="41" t="s">
        <v>35</v>
      </c>
      <c r="M10" s="42">
        <f>IF(J10="CUMPLE",0,1)</f>
        <v>0</v>
      </c>
      <c r="N10" s="13">
        <f ca="1">+TODAY()-30</f>
        <v>45622</v>
      </c>
      <c r="O10" s="12">
        <f>+D9-30</f>
        <v>45613</v>
      </c>
      <c r="P10" s="3" t="s">
        <v>36</v>
      </c>
      <c r="Q10" s="3"/>
    </row>
    <row r="11" spans="1:17" ht="36.75" customHeight="1" thickBot="1">
      <c r="A11" s="4"/>
      <c r="B11" s="4"/>
      <c r="C11" s="7" t="s">
        <v>37</v>
      </c>
      <c r="D11" s="230">
        <v>45378</v>
      </c>
      <c r="E11" s="230"/>
      <c r="F11" s="230"/>
      <c r="G11" s="230"/>
      <c r="H11" s="230"/>
      <c r="I11" s="230"/>
      <c r="J11" s="237" t="str">
        <f>IF(D10&gt;=O11,"CUMPLE","NO CUMPLE")</f>
        <v>CUMPLE</v>
      </c>
      <c r="K11" s="238"/>
      <c r="L11" s="41" t="s">
        <v>35</v>
      </c>
      <c r="M11" s="11">
        <f>IF(J11="CUMPLE",0,1)</f>
        <v>0</v>
      </c>
      <c r="N11" s="3"/>
      <c r="O11" s="13">
        <f>+D11+15</f>
        <v>45393</v>
      </c>
      <c r="P11" s="3" t="s">
        <v>38</v>
      </c>
      <c r="Q11" s="3"/>
    </row>
    <row r="12" spans="1:17" s="14" customFormat="1" ht="41.25" customHeight="1" thickBot="1">
      <c r="A12" s="4"/>
      <c r="B12" s="4"/>
      <c r="C12" s="8" t="s">
        <v>39</v>
      </c>
      <c r="D12" s="230">
        <v>45291</v>
      </c>
      <c r="E12" s="230"/>
      <c r="F12" s="230"/>
      <c r="G12" s="230"/>
      <c r="H12" s="230"/>
      <c r="I12" s="230"/>
      <c r="J12" s="231" t="str">
        <f>IF(D10&gt;=O12,"CUMPLE","NO CUMPLE")</f>
        <v>CUMPLE</v>
      </c>
      <c r="K12" s="232"/>
      <c r="L12" s="41" t="s">
        <v>35</v>
      </c>
      <c r="M12" s="11">
        <f>IF(J12="CUMPLE",0,1)</f>
        <v>0</v>
      </c>
      <c r="N12" s="3"/>
      <c r="O12" s="13">
        <f>+D12+15</f>
        <v>45306</v>
      </c>
      <c r="P12" s="3"/>
      <c r="Q12" s="3"/>
    </row>
    <row r="13" spans="1:17" ht="31.5" customHeight="1" thickBot="1">
      <c r="A13" s="4"/>
      <c r="B13" s="4"/>
      <c r="C13" s="233"/>
      <c r="D13" s="233"/>
      <c r="E13" s="233"/>
      <c r="F13" s="233"/>
      <c r="G13" s="233"/>
      <c r="H13" s="233"/>
      <c r="I13" s="233"/>
      <c r="J13" s="233"/>
      <c r="K13" s="233"/>
      <c r="L13" s="41"/>
      <c r="N13" s="3"/>
      <c r="O13" s="3"/>
      <c r="P13" s="3"/>
      <c r="Q13" s="3"/>
    </row>
    <row r="14" spans="1:17" ht="37.5" hidden="1" customHeight="1" thickBot="1">
      <c r="A14" s="4"/>
      <c r="B14" s="4"/>
      <c r="C14" s="227"/>
      <c r="D14" s="228"/>
      <c r="E14" s="228"/>
      <c r="F14" s="228"/>
      <c r="G14" s="228"/>
      <c r="H14" s="228"/>
      <c r="I14" s="228"/>
      <c r="J14" s="228"/>
      <c r="K14" s="229"/>
      <c r="L14" s="41"/>
      <c r="N14" s="3"/>
      <c r="O14" s="3"/>
      <c r="P14" s="3"/>
      <c r="Q14" s="3"/>
    </row>
    <row r="15" spans="1:17" ht="36.75" hidden="1" customHeight="1">
      <c r="A15" s="4"/>
      <c r="B15" s="4"/>
      <c r="C15" s="6" t="s">
        <v>33</v>
      </c>
      <c r="D15" s="234">
        <v>45638</v>
      </c>
      <c r="E15" s="234"/>
      <c r="F15" s="234"/>
      <c r="G15" s="234"/>
      <c r="H15" s="234"/>
      <c r="I15" s="234"/>
      <c r="J15" s="235"/>
      <c r="K15" s="236"/>
      <c r="L15" s="41"/>
      <c r="N15" s="3"/>
      <c r="O15" s="3"/>
      <c r="P15" s="3"/>
      <c r="Q15" s="3"/>
    </row>
    <row r="16" spans="1:17" ht="36.75" hidden="1" customHeight="1">
      <c r="A16" s="4"/>
      <c r="B16" s="4"/>
      <c r="C16" s="7" t="s">
        <v>34</v>
      </c>
      <c r="D16" s="239">
        <v>45616</v>
      </c>
      <c r="E16" s="239"/>
      <c r="F16" s="239"/>
      <c r="G16" s="239"/>
      <c r="H16" s="239"/>
      <c r="I16" s="239"/>
      <c r="J16" s="237" t="str">
        <f>IF(D16&gt;=O16,"CUMPLE","NO CUMPLE")</f>
        <v>CUMPLE</v>
      </c>
      <c r="K16" s="238"/>
      <c r="L16" s="41" t="s">
        <v>35</v>
      </c>
      <c r="M16" s="11">
        <f>IF(J16="CUMPLE",0,1)</f>
        <v>0</v>
      </c>
      <c r="N16" s="3"/>
      <c r="O16" s="12">
        <f>+D15-30</f>
        <v>45608</v>
      </c>
      <c r="P16" s="3" t="s">
        <v>36</v>
      </c>
      <c r="Q16" s="3"/>
    </row>
    <row r="17" spans="1:19" ht="36.75" hidden="1" customHeight="1">
      <c r="A17" s="4"/>
      <c r="B17" s="4"/>
      <c r="C17" s="7" t="s">
        <v>37</v>
      </c>
      <c r="D17" s="239">
        <v>45416</v>
      </c>
      <c r="E17" s="239"/>
      <c r="F17" s="239"/>
      <c r="G17" s="239"/>
      <c r="H17" s="239"/>
      <c r="I17" s="239"/>
      <c r="J17" s="237" t="str">
        <f>IF(D16&gt;=O17,"CUMPLE","NO CUMPLE")</f>
        <v>CUMPLE</v>
      </c>
      <c r="K17" s="238"/>
      <c r="L17" s="41" t="s">
        <v>35</v>
      </c>
      <c r="M17" s="11">
        <f>IF(J17="CUMPLE",0,1)</f>
        <v>0</v>
      </c>
      <c r="N17" s="3"/>
      <c r="O17" s="13">
        <f>+D17+15</f>
        <v>45431</v>
      </c>
      <c r="P17" s="3" t="s">
        <v>38</v>
      </c>
      <c r="Q17" s="3"/>
    </row>
    <row r="18" spans="1:19" s="14" customFormat="1" ht="36" hidden="1" customHeight="1" thickBot="1">
      <c r="A18" s="4"/>
      <c r="B18" s="4"/>
      <c r="C18" s="8" t="s">
        <v>39</v>
      </c>
      <c r="D18" s="230">
        <v>45291</v>
      </c>
      <c r="E18" s="230"/>
      <c r="F18" s="230"/>
      <c r="G18" s="230"/>
      <c r="H18" s="230"/>
      <c r="I18" s="230"/>
      <c r="J18" s="231" t="str">
        <f>IF(D16&gt;=O18,"CUMPLE","NO CUMPLE")</f>
        <v>CUMPLE</v>
      </c>
      <c r="K18" s="232"/>
      <c r="L18" s="41" t="s">
        <v>35</v>
      </c>
      <c r="M18" s="11">
        <f>IF(J18="CUMPLE",0,1)</f>
        <v>0</v>
      </c>
      <c r="N18" s="3"/>
      <c r="O18" s="13">
        <f>+D18+15</f>
        <v>45306</v>
      </c>
      <c r="P18" s="3"/>
      <c r="Q18" s="3"/>
    </row>
    <row r="19" spans="1:19" ht="13.5" hidden="1" customHeight="1">
      <c r="B19" s="4"/>
      <c r="C19" s="15"/>
      <c r="D19" s="16"/>
      <c r="E19" s="16"/>
      <c r="F19" s="17"/>
      <c r="G19" s="16"/>
      <c r="H19" s="16"/>
      <c r="I19" s="16"/>
      <c r="J19" s="18"/>
      <c r="K19" s="19"/>
      <c r="L19" s="40"/>
      <c r="M19" s="11"/>
      <c r="N19" s="3"/>
      <c r="O19" s="3"/>
      <c r="P19" s="3"/>
      <c r="Q19" s="3"/>
    </row>
    <row r="20" spans="1:19" ht="31.5" hidden="1" customHeight="1" thickBot="1">
      <c r="A20" s="4"/>
      <c r="B20" s="4"/>
      <c r="C20" s="224"/>
      <c r="D20" s="225"/>
      <c r="E20" s="225"/>
      <c r="F20" s="225"/>
      <c r="G20" s="225"/>
      <c r="H20" s="225"/>
      <c r="I20" s="225"/>
      <c r="J20" s="225"/>
      <c r="K20" s="226"/>
      <c r="L20" s="41"/>
      <c r="N20" s="3"/>
      <c r="O20" s="3"/>
      <c r="P20" s="3"/>
      <c r="Q20" s="3"/>
    </row>
    <row r="21" spans="1:19" ht="5.0999999999999996" hidden="1" customHeight="1" thickBot="1">
      <c r="A21" s="4"/>
      <c r="B21" s="4"/>
      <c r="C21" s="9"/>
      <c r="D21" s="10"/>
      <c r="E21" s="10"/>
      <c r="F21" s="10"/>
      <c r="G21" s="10"/>
      <c r="H21" s="10"/>
      <c r="I21" s="10"/>
      <c r="J21" s="10"/>
      <c r="K21" s="10"/>
      <c r="L21" s="41"/>
      <c r="N21" s="3"/>
      <c r="O21" s="3"/>
      <c r="P21" s="3"/>
      <c r="Q21" s="3"/>
    </row>
    <row r="22" spans="1:19" ht="36.75" hidden="1" customHeight="1">
      <c r="A22" s="4"/>
      <c r="B22" s="4"/>
      <c r="C22" s="6" t="s">
        <v>33</v>
      </c>
      <c r="D22" s="234"/>
      <c r="E22" s="234"/>
      <c r="F22" s="234"/>
      <c r="G22" s="234"/>
      <c r="H22" s="234"/>
      <c r="I22" s="234"/>
      <c r="J22" s="235"/>
      <c r="K22" s="236"/>
      <c r="L22" s="41"/>
      <c r="N22" s="3"/>
      <c r="O22" s="3"/>
      <c r="P22" s="3"/>
      <c r="Q22" s="3"/>
    </row>
    <row r="23" spans="1:19" ht="36.75" hidden="1" customHeight="1">
      <c r="A23" s="4"/>
      <c r="B23" s="4"/>
      <c r="C23" s="7" t="s">
        <v>34</v>
      </c>
      <c r="D23" s="239"/>
      <c r="E23" s="239"/>
      <c r="F23" s="239"/>
      <c r="G23" s="239"/>
      <c r="H23" s="239"/>
      <c r="I23" s="239"/>
      <c r="J23" s="237"/>
      <c r="K23" s="237"/>
      <c r="L23" s="41" t="s">
        <v>35</v>
      </c>
      <c r="M23" s="11">
        <f>IF(J23="CUMPLE",0,1)</f>
        <v>1</v>
      </c>
      <c r="N23" s="3"/>
      <c r="O23" s="12">
        <f>+D22-30</f>
        <v>-30</v>
      </c>
      <c r="P23" s="3" t="s">
        <v>36</v>
      </c>
      <c r="Q23" s="3"/>
    </row>
    <row r="24" spans="1:19" ht="36.75" hidden="1" customHeight="1">
      <c r="A24" s="4"/>
      <c r="B24" s="4"/>
      <c r="C24" s="7" t="s">
        <v>37</v>
      </c>
      <c r="D24" s="239"/>
      <c r="E24" s="239"/>
      <c r="F24" s="240"/>
      <c r="G24" s="240"/>
      <c r="H24" s="240"/>
      <c r="I24" s="239"/>
      <c r="J24" s="237"/>
      <c r="K24" s="237"/>
      <c r="L24" s="41" t="s">
        <v>35</v>
      </c>
      <c r="M24" s="11">
        <f>IF(J24="CUMPLE",0,1)</f>
        <v>1</v>
      </c>
      <c r="N24" s="3"/>
      <c r="O24" s="13">
        <f>+D24+15</f>
        <v>15</v>
      </c>
      <c r="P24" s="3" t="s">
        <v>38</v>
      </c>
      <c r="Q24" s="3"/>
    </row>
    <row r="25" spans="1:19" s="14" customFormat="1" ht="36" hidden="1" customHeight="1" thickBot="1">
      <c r="A25" s="4"/>
      <c r="B25" s="4"/>
      <c r="C25" s="8" t="s">
        <v>39</v>
      </c>
      <c r="D25" s="230"/>
      <c r="E25" s="230"/>
      <c r="F25" s="230"/>
      <c r="G25" s="230"/>
      <c r="H25" s="230"/>
      <c r="I25" s="230"/>
      <c r="J25" s="237"/>
      <c r="K25" s="237"/>
      <c r="L25" s="41" t="s">
        <v>35</v>
      </c>
      <c r="M25" s="11">
        <f>IF(J25="CUMPLE",0,1)</f>
        <v>1</v>
      </c>
      <c r="N25" s="3"/>
      <c r="O25" s="13">
        <f>+D25+15</f>
        <v>15</v>
      </c>
      <c r="P25" s="3"/>
      <c r="Q25" s="3"/>
    </row>
    <row r="26" spans="1:19" ht="13.5" hidden="1" customHeight="1" thickBot="1">
      <c r="B26" s="4"/>
      <c r="C26" s="15"/>
      <c r="D26" s="16"/>
      <c r="E26" s="16"/>
      <c r="F26" s="17"/>
      <c r="G26" s="16"/>
      <c r="H26" s="16"/>
      <c r="I26" s="16"/>
      <c r="J26" s="18"/>
      <c r="K26" s="19"/>
      <c r="L26" s="40"/>
      <c r="M26" s="11"/>
      <c r="N26" s="3"/>
      <c r="O26" s="3"/>
      <c r="P26" s="3"/>
      <c r="Q26" s="3"/>
    </row>
    <row r="27" spans="1:19" ht="39" customHeight="1" thickBot="1">
      <c r="A27" s="4"/>
      <c r="B27" s="5"/>
      <c r="C27" s="241" t="s">
        <v>40</v>
      </c>
      <c r="D27" s="242"/>
      <c r="E27" s="242"/>
      <c r="F27" s="243"/>
      <c r="G27" s="242"/>
      <c r="H27" s="242"/>
      <c r="I27" s="242"/>
      <c r="J27" s="242"/>
      <c r="K27" s="244"/>
      <c r="L27" s="5"/>
      <c r="N27" s="3"/>
      <c r="O27" s="3"/>
      <c r="P27" s="3"/>
      <c r="Q27" s="3"/>
    </row>
    <row r="28" spans="1:19" ht="7.5" customHeight="1">
      <c r="A28" s="4"/>
      <c r="B28" s="5"/>
      <c r="C28" s="5"/>
      <c r="D28" s="5"/>
      <c r="E28" s="5"/>
      <c r="F28" s="20"/>
      <c r="G28" s="5"/>
      <c r="H28" s="5"/>
      <c r="I28" s="5"/>
      <c r="J28" s="5"/>
      <c r="K28" s="21"/>
      <c r="L28" s="5"/>
      <c r="N28" s="3"/>
      <c r="O28" s="3"/>
      <c r="P28" s="3"/>
      <c r="Q28" s="3"/>
    </row>
    <row r="29" spans="1:19" s="24" customFormat="1" ht="92.25" customHeight="1">
      <c r="A29" s="245" t="s">
        <v>41</v>
      </c>
      <c r="B29" s="245" t="s">
        <v>42</v>
      </c>
      <c r="C29" s="245" t="s">
        <v>43</v>
      </c>
      <c r="D29" s="245" t="s">
        <v>44</v>
      </c>
      <c r="E29" s="245" t="s">
        <v>45</v>
      </c>
      <c r="F29" s="23" t="str">
        <f>+C8</f>
        <v>INGEBYP SAS  NIT:830.121.507 - 2</v>
      </c>
      <c r="G29" s="22">
        <f>+C14</f>
        <v>0</v>
      </c>
      <c r="H29" s="22"/>
      <c r="I29" s="245" t="s">
        <v>46</v>
      </c>
      <c r="J29" s="245" t="s">
        <v>47</v>
      </c>
      <c r="K29" s="245" t="s">
        <v>48</v>
      </c>
      <c r="L29" s="246" t="s">
        <v>49</v>
      </c>
      <c r="M29" s="3"/>
      <c r="N29" s="3"/>
      <c r="O29" s="3"/>
      <c r="P29" s="3"/>
      <c r="Q29" s="3"/>
    </row>
    <row r="30" spans="1:19" s="24" customFormat="1" ht="27" customHeight="1">
      <c r="A30" s="245"/>
      <c r="B30" s="245"/>
      <c r="C30" s="245"/>
      <c r="D30" s="245"/>
      <c r="E30" s="245"/>
      <c r="F30" s="25">
        <v>1</v>
      </c>
      <c r="G30" s="26"/>
      <c r="H30" s="26"/>
      <c r="I30" s="245"/>
      <c r="J30" s="245"/>
      <c r="K30" s="245"/>
      <c r="L30" s="246"/>
      <c r="M30" s="3"/>
      <c r="N30" s="3"/>
      <c r="O30" s="3"/>
      <c r="P30" s="3"/>
      <c r="Q30" s="3"/>
    </row>
    <row r="31" spans="1:19" ht="33" customHeight="1">
      <c r="A31" s="247">
        <v>4.3</v>
      </c>
      <c r="B31" s="248" t="s">
        <v>51</v>
      </c>
      <c r="C31" s="249" t="s">
        <v>52</v>
      </c>
      <c r="D31" s="250">
        <f>'[3]CONSOLIDADO FINANCIERO'!L7*25%</f>
        <v>1320732991.5</v>
      </c>
      <c r="E31" s="27" t="s">
        <v>53</v>
      </c>
      <c r="F31" s="74">
        <v>10357875433</v>
      </c>
      <c r="G31" s="74"/>
      <c r="H31" s="28"/>
      <c r="I31" s="251">
        <f>(F31-F32)+(G31-G32)</f>
        <v>9038303057</v>
      </c>
      <c r="J31" s="252" t="str">
        <f>IF(I31&gt;=D31,"CUMPLE","NO CUMPLE")</f>
        <v>CUMPLE</v>
      </c>
      <c r="K31" s="253" t="s">
        <v>54</v>
      </c>
      <c r="L31" s="254" t="s">
        <v>295</v>
      </c>
      <c r="M31" s="261">
        <f>IF(J31="CUMPLE",0,1)</f>
        <v>0</v>
      </c>
      <c r="N31" s="29"/>
      <c r="O31" s="3"/>
      <c r="P31" s="3"/>
      <c r="Q31" s="3"/>
      <c r="S31" s="46"/>
    </row>
    <row r="32" spans="1:19" ht="33" customHeight="1">
      <c r="A32" s="247"/>
      <c r="B32" s="248"/>
      <c r="C32" s="249"/>
      <c r="D32" s="250"/>
      <c r="E32" s="27" t="s">
        <v>56</v>
      </c>
      <c r="F32" s="74">
        <v>1319572376</v>
      </c>
      <c r="G32" s="74"/>
      <c r="H32" s="28"/>
      <c r="I32" s="251"/>
      <c r="J32" s="252"/>
      <c r="K32" s="253"/>
      <c r="L32" s="255"/>
      <c r="M32" s="261"/>
      <c r="N32" s="3"/>
      <c r="O32" s="3"/>
      <c r="P32" s="3"/>
      <c r="Q32" s="3"/>
      <c r="S32" s="46"/>
    </row>
    <row r="33" spans="1:52" ht="33" customHeight="1">
      <c r="A33" s="247">
        <v>4.3</v>
      </c>
      <c r="B33" s="248" t="str">
        <f>B31</f>
        <v>4.3.1 CAPACIDAD FINANCIERA</v>
      </c>
      <c r="C33" s="249" t="s">
        <v>10</v>
      </c>
      <c r="D33" s="262">
        <v>1.9</v>
      </c>
      <c r="E33" s="27" t="s">
        <v>53</v>
      </c>
      <c r="F33" s="75">
        <f>+F31</f>
        <v>10357875433</v>
      </c>
      <c r="G33" s="75"/>
      <c r="H33" s="43"/>
      <c r="I33" s="263">
        <f>+((F33*F30)+(G33*G30)+(H33*H30))/((F34*F30)+(G34*G30)+(H34*H30))</f>
        <v>7.8494182065235956</v>
      </c>
      <c r="J33" s="264" t="str">
        <f>IF(I33&gt;=D33,"CUMPLE","NO CUMPLE")</f>
        <v>CUMPLE</v>
      </c>
      <c r="K33" s="253" t="s">
        <v>54</v>
      </c>
      <c r="L33" s="255"/>
      <c r="M33" s="261">
        <f>IF(J33="CUMPLE",0,1)</f>
        <v>0</v>
      </c>
      <c r="N33" s="3"/>
      <c r="O33" s="3"/>
      <c r="P33" s="3"/>
      <c r="Q33" s="3"/>
      <c r="S33" s="46"/>
    </row>
    <row r="34" spans="1:52" ht="33" customHeight="1">
      <c r="A34" s="247"/>
      <c r="B34" s="248"/>
      <c r="C34" s="249"/>
      <c r="D34" s="262"/>
      <c r="E34" s="27" t="s">
        <v>56</v>
      </c>
      <c r="F34" s="75">
        <f>+F32</f>
        <v>1319572376</v>
      </c>
      <c r="G34" s="75"/>
      <c r="H34" s="35"/>
      <c r="I34" s="263"/>
      <c r="J34" s="264"/>
      <c r="K34" s="257"/>
      <c r="L34" s="255"/>
      <c r="M34" s="261"/>
      <c r="N34" s="3"/>
      <c r="O34" s="3"/>
      <c r="P34" s="3"/>
      <c r="Q34" s="3"/>
    </row>
    <row r="35" spans="1:52" ht="33" customHeight="1">
      <c r="A35" s="247">
        <v>4.3</v>
      </c>
      <c r="B35" s="248" t="str">
        <f>B33</f>
        <v>4.3.1 CAPACIDAD FINANCIERA</v>
      </c>
      <c r="C35" s="249" t="s">
        <v>11</v>
      </c>
      <c r="D35" s="267">
        <v>0.6</v>
      </c>
      <c r="E35" s="30" t="s">
        <v>57</v>
      </c>
      <c r="F35" s="74">
        <v>5105028931</v>
      </c>
      <c r="G35" s="74"/>
      <c r="H35" s="35"/>
      <c r="I35" s="371">
        <f>((F35*F30)+(G35*G30)+(H35*H30))/((F36*F30)+(G36*G30)+(H36*H30))</f>
        <v>0.35204333696195989</v>
      </c>
      <c r="J35" s="264" t="str">
        <f>IF(I35&lt;=D35,"CUMPLE","NO CUMPLE")</f>
        <v>CUMPLE</v>
      </c>
      <c r="K35" s="253" t="s">
        <v>54</v>
      </c>
      <c r="L35" s="255"/>
      <c r="M35" s="261">
        <f>IF(J35="CUMPLE",0,1)</f>
        <v>0</v>
      </c>
      <c r="N35" s="3"/>
      <c r="O35" s="3"/>
      <c r="P35" s="3"/>
      <c r="Q35" s="3"/>
    </row>
    <row r="36" spans="1:52" ht="33" customHeight="1">
      <c r="A36" s="247"/>
      <c r="B36" s="248"/>
      <c r="C36" s="249"/>
      <c r="D36" s="267"/>
      <c r="E36" s="30" t="s">
        <v>58</v>
      </c>
      <c r="F36" s="74">
        <v>14501137772</v>
      </c>
      <c r="G36" s="74"/>
      <c r="H36" s="35"/>
      <c r="I36" s="371"/>
      <c r="J36" s="264"/>
      <c r="K36" s="257"/>
      <c r="L36" s="255"/>
      <c r="M36" s="261"/>
      <c r="N36" s="3"/>
      <c r="O36" s="3"/>
      <c r="P36" s="3"/>
      <c r="Q36" s="3"/>
    </row>
    <row r="37" spans="1:52" s="32" customFormat="1" ht="27.75" customHeight="1">
      <c r="A37" s="247">
        <v>4.3</v>
      </c>
      <c r="B37" s="248" t="str">
        <f>B35</f>
        <v>4.3.1 CAPACIDAD FINANCIERA</v>
      </c>
      <c r="C37" s="249" t="s">
        <v>12</v>
      </c>
      <c r="D37" s="265">
        <v>1.49</v>
      </c>
      <c r="E37" s="30" t="s">
        <v>59</v>
      </c>
      <c r="F37" s="74">
        <v>2716391749</v>
      </c>
      <c r="G37" s="74"/>
      <c r="H37" s="35"/>
      <c r="I37" s="370">
        <f>F37/F38</f>
        <v>3.43984738250911</v>
      </c>
      <c r="J37" s="264" t="str">
        <f>IF(I37&gt;=D37,"CUMPLE","NO CUMPLE")</f>
        <v>CUMPLE</v>
      </c>
      <c r="K37" s="258" t="s">
        <v>54</v>
      </c>
      <c r="L37" s="255"/>
      <c r="M37" s="261">
        <f>IF(J37="CUMPLE",0,1)</f>
        <v>0</v>
      </c>
      <c r="N37" s="31"/>
      <c r="O37" s="31"/>
      <c r="P37" s="31"/>
      <c r="Q37" s="31"/>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row>
    <row r="38" spans="1:52" s="32" customFormat="1" ht="27.75" customHeight="1">
      <c r="A38" s="247"/>
      <c r="B38" s="248"/>
      <c r="C38" s="249"/>
      <c r="D38" s="265"/>
      <c r="E38" s="30" t="s">
        <v>60</v>
      </c>
      <c r="F38" s="74">
        <v>789683799</v>
      </c>
      <c r="G38" s="74"/>
      <c r="H38" s="35"/>
      <c r="I38" s="370"/>
      <c r="J38" s="264"/>
      <c r="K38" s="258"/>
      <c r="L38" s="255"/>
      <c r="M38" s="261"/>
      <c r="N38" s="31"/>
      <c r="O38" s="31"/>
      <c r="P38" s="31"/>
      <c r="Q38" s="31"/>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row>
    <row r="39" spans="1:52" s="34" customFormat="1" ht="33" customHeight="1">
      <c r="A39" s="247">
        <v>4.3</v>
      </c>
      <c r="B39" s="248" t="s">
        <v>62</v>
      </c>
      <c r="C39" s="269" t="s">
        <v>13</v>
      </c>
      <c r="D39" s="270">
        <v>0.11</v>
      </c>
      <c r="E39" s="30" t="s">
        <v>63</v>
      </c>
      <c r="F39" s="75">
        <f>+F37</f>
        <v>2716391749</v>
      </c>
      <c r="G39" s="75"/>
      <c r="H39" s="33"/>
      <c r="I39" s="271">
        <f>((F39*F30)+(G39*G30)+(H39*H30))/((F40*F30)+(G40*G30)+(H40*H30))</f>
        <v>0.289097518447956</v>
      </c>
      <c r="J39" s="264" t="str">
        <f>IF(I39&gt;=D39,"CUMPLE","NO CUMPLE")</f>
        <v>CUMPLE</v>
      </c>
      <c r="K39" s="258" t="s">
        <v>54</v>
      </c>
      <c r="L39" s="255"/>
      <c r="M39" s="261">
        <f>IF(J39="CUMPLE",0,1)</f>
        <v>0</v>
      </c>
      <c r="N39" s="3"/>
      <c r="O39" s="3"/>
      <c r="P39" s="3"/>
      <c r="Q39" s="3"/>
      <c r="R39" s="2"/>
    </row>
    <row r="40" spans="1:52" s="34" customFormat="1" ht="33" customHeight="1">
      <c r="A40" s="247"/>
      <c r="B40" s="248"/>
      <c r="C40" s="269"/>
      <c r="D40" s="270"/>
      <c r="E40" s="30" t="s">
        <v>64</v>
      </c>
      <c r="F40" s="74">
        <v>9396108841</v>
      </c>
      <c r="G40" s="74"/>
      <c r="H40" s="35"/>
      <c r="I40" s="271"/>
      <c r="J40" s="264"/>
      <c r="K40" s="258"/>
      <c r="L40" s="255"/>
      <c r="M40" s="261"/>
      <c r="N40" s="3"/>
      <c r="O40" s="3"/>
      <c r="P40" s="3"/>
      <c r="Q40" s="3"/>
      <c r="R40" s="2"/>
    </row>
    <row r="41" spans="1:52" s="34" customFormat="1" ht="33" customHeight="1">
      <c r="A41" s="247">
        <v>4.3</v>
      </c>
      <c r="B41" s="248" t="str">
        <f>+B39</f>
        <v>4.3.2 capacidad Organizacional</v>
      </c>
      <c r="C41" s="269" t="s">
        <v>65</v>
      </c>
      <c r="D41" s="270">
        <v>0.05</v>
      </c>
      <c r="E41" s="30" t="s">
        <v>63</v>
      </c>
      <c r="F41" s="75">
        <f>+F37</f>
        <v>2716391749</v>
      </c>
      <c r="G41" s="75"/>
      <c r="H41" s="35"/>
      <c r="I41" s="271">
        <f>((F41*F30)+(G41*G30)+(H41*H30))/((F42*F30)+(G42*G30)+(H42*H30))</f>
        <v>0.18732266334611583</v>
      </c>
      <c r="J41" s="264" t="str">
        <f>IF(I41&gt;=D41,"CUMPLE","NO CUMPLE")</f>
        <v>CUMPLE</v>
      </c>
      <c r="K41" s="258" t="s">
        <v>54</v>
      </c>
      <c r="L41" s="255"/>
      <c r="M41" s="261">
        <f>IF(J41="CUMPLE",0,1)</f>
        <v>0</v>
      </c>
      <c r="N41" s="3"/>
      <c r="O41" s="3"/>
      <c r="P41" s="3"/>
      <c r="Q41" s="3"/>
      <c r="R41" s="2"/>
    </row>
    <row r="42" spans="1:52" s="34" customFormat="1" ht="33" customHeight="1">
      <c r="A42" s="247"/>
      <c r="B42" s="248"/>
      <c r="C42" s="269"/>
      <c r="D42" s="270"/>
      <c r="E42" s="30" t="s">
        <v>66</v>
      </c>
      <c r="F42" s="75">
        <f>+F36</f>
        <v>14501137772</v>
      </c>
      <c r="G42" s="75"/>
      <c r="H42" s="35"/>
      <c r="I42" s="271"/>
      <c r="J42" s="264"/>
      <c r="K42" s="258"/>
      <c r="L42" s="255"/>
      <c r="M42" s="261"/>
      <c r="N42" s="3"/>
      <c r="O42" s="3"/>
      <c r="P42" s="3"/>
      <c r="Q42" s="3"/>
      <c r="R42" s="2"/>
    </row>
    <row r="43" spans="1:52" s="37" customFormat="1" ht="27.75" customHeight="1">
      <c r="A43" s="247">
        <v>4.3</v>
      </c>
      <c r="B43" s="248" t="str">
        <f>B31</f>
        <v>4.3.1 CAPACIDAD FINANCIERA</v>
      </c>
      <c r="C43" s="249" t="s">
        <v>67</v>
      </c>
      <c r="D43" s="278">
        <f>'[3]CONSOLIDADO FINANCIERO'!L7*30%</f>
        <v>1584879589.8</v>
      </c>
      <c r="E43" s="30" t="s">
        <v>66</v>
      </c>
      <c r="F43" s="75">
        <f>+F36</f>
        <v>14501137772</v>
      </c>
      <c r="G43" s="75"/>
      <c r="H43" s="33"/>
      <c r="I43" s="279">
        <f>(F43-F44)+(G43-G44)</f>
        <v>9396108841</v>
      </c>
      <c r="J43" s="252" t="str">
        <f>IF(I43&gt;=D43,"CUMPLE","NO CUMPLE")</f>
        <v>CUMPLE</v>
      </c>
      <c r="K43" s="259" t="s">
        <v>54</v>
      </c>
      <c r="L43" s="255"/>
      <c r="M43" s="261">
        <f>IF(J43="CUMPLE",0,1)</f>
        <v>0</v>
      </c>
      <c r="N43" s="36"/>
      <c r="O43" s="31"/>
      <c r="P43" s="31"/>
      <c r="Q43" s="31"/>
    </row>
    <row r="44" spans="1:52" s="37" customFormat="1" ht="27.75" customHeight="1" thickBot="1">
      <c r="A44" s="247"/>
      <c r="B44" s="248"/>
      <c r="C44" s="249"/>
      <c r="D44" s="278"/>
      <c r="E44" s="44" t="s">
        <v>68</v>
      </c>
      <c r="F44" s="76">
        <f>+F35</f>
        <v>5105028931</v>
      </c>
      <c r="G44" s="76"/>
      <c r="H44" s="33"/>
      <c r="I44" s="280"/>
      <c r="J44" s="281"/>
      <c r="K44" s="260"/>
      <c r="L44" s="256"/>
      <c r="M44" s="261"/>
      <c r="N44" s="31"/>
      <c r="O44" s="31"/>
      <c r="P44" s="31"/>
      <c r="Q44" s="31"/>
    </row>
    <row r="45" spans="1:52" ht="34.5" customHeight="1" thickBot="1">
      <c r="A45" s="4"/>
      <c r="B45" s="4"/>
      <c r="C45" s="4"/>
      <c r="D45" s="4"/>
      <c r="E45" s="272" t="s">
        <v>69</v>
      </c>
      <c r="F45" s="273"/>
      <c r="G45" s="274"/>
      <c r="H45" s="38"/>
      <c r="I45" s="275" t="str">
        <f>IF(M45&gt;0,"NO CUMPLE","CUMPLE")</f>
        <v>CUMPLE</v>
      </c>
      <c r="J45" s="276"/>
      <c r="K45" s="277"/>
      <c r="L45" s="4"/>
      <c r="M45" s="81">
        <f>SUM(M31:M44)</f>
        <v>0</v>
      </c>
      <c r="N45" s="3"/>
      <c r="O45" s="3"/>
      <c r="P45" s="3"/>
      <c r="Q45" s="3"/>
    </row>
    <row r="46" spans="1:52">
      <c r="A46" s="4"/>
      <c r="B46" s="4"/>
      <c r="C46" s="4"/>
      <c r="D46" s="4"/>
      <c r="E46" s="38"/>
      <c r="F46" s="38"/>
      <c r="G46" s="38"/>
      <c r="H46" s="38"/>
      <c r="I46" s="38"/>
      <c r="J46" s="38"/>
      <c r="K46" s="38"/>
      <c r="L46" s="4"/>
      <c r="N46" s="3"/>
      <c r="O46" s="3"/>
      <c r="P46" s="3"/>
      <c r="Q46" s="3"/>
    </row>
    <row r="47" spans="1:52">
      <c r="A47" s="4"/>
      <c r="B47" s="4"/>
      <c r="C47" s="4"/>
      <c r="D47" s="4"/>
      <c r="E47" s="4"/>
      <c r="F47" s="4"/>
      <c r="G47" s="4"/>
      <c r="H47" s="4"/>
      <c r="I47" s="4"/>
      <c r="J47" s="4"/>
      <c r="K47" s="4"/>
      <c r="L47" s="4"/>
      <c r="N47" s="3"/>
      <c r="O47" s="3"/>
      <c r="P47" s="3"/>
      <c r="Q47" s="3"/>
    </row>
    <row r="48" spans="1:52">
      <c r="A48" s="4"/>
      <c r="B48" s="4"/>
      <c r="C48" s="4"/>
      <c r="D48" s="4"/>
      <c r="E48" s="4"/>
      <c r="F48" s="4"/>
      <c r="G48" s="4"/>
      <c r="H48" s="4"/>
      <c r="I48" s="4"/>
      <c r="J48" s="4"/>
      <c r="K48" s="4"/>
      <c r="L48" s="4"/>
      <c r="N48" s="3"/>
      <c r="O48" s="3"/>
      <c r="P48" s="3"/>
      <c r="Q48" s="3"/>
    </row>
  </sheetData>
  <sheetProtection algorithmName="SHA-512" hashValue="JLr9od7cPli2pe/1LIvcw2DjUN7MLpQ79/0MaEkM74QI3b7GKDOzuo/zuyBZSbu/TqtUAg95aH9PR9Cix7Z2bA==" saltValue="HuPSuQpH6u9Q8LMv7Lwtbw==" spinCount="100000" sheet="1" objects="1" scenarios="1"/>
  <mergeCells count="102">
    <mergeCell ref="C1:K1"/>
    <mergeCell ref="D3:K3"/>
    <mergeCell ref="D4:K4"/>
    <mergeCell ref="D5:K5"/>
    <mergeCell ref="C7:K7"/>
    <mergeCell ref="C8:K8"/>
    <mergeCell ref="D12:I12"/>
    <mergeCell ref="J12:K12"/>
    <mergeCell ref="C13:K13"/>
    <mergeCell ref="C14:K14"/>
    <mergeCell ref="D15:I15"/>
    <mergeCell ref="J15:K15"/>
    <mergeCell ref="D9:I9"/>
    <mergeCell ref="J9:K9"/>
    <mergeCell ref="D10:I10"/>
    <mergeCell ref="J10:K10"/>
    <mergeCell ref="D11:I11"/>
    <mergeCell ref="J11:K11"/>
    <mergeCell ref="C20:K20"/>
    <mergeCell ref="D22:I22"/>
    <mergeCell ref="J22:K22"/>
    <mergeCell ref="D23:I23"/>
    <mergeCell ref="J23:K23"/>
    <mergeCell ref="D24:I24"/>
    <mergeCell ref="J24:K24"/>
    <mergeCell ref="D16:I16"/>
    <mergeCell ref="J16:K16"/>
    <mergeCell ref="D17:I17"/>
    <mergeCell ref="J17:K17"/>
    <mergeCell ref="D18:I18"/>
    <mergeCell ref="J18:K18"/>
    <mergeCell ref="D25:I25"/>
    <mergeCell ref="J25:K25"/>
    <mergeCell ref="C27:K27"/>
    <mergeCell ref="A29:A30"/>
    <mergeCell ref="B29:B30"/>
    <mergeCell ref="C29:C30"/>
    <mergeCell ref="D29:D30"/>
    <mergeCell ref="E29:E30"/>
    <mergeCell ref="I29:I30"/>
    <mergeCell ref="J29:J30"/>
    <mergeCell ref="K29:K30"/>
    <mergeCell ref="L29:L30"/>
    <mergeCell ref="A31:A32"/>
    <mergeCell ref="B31:B32"/>
    <mergeCell ref="C31:C32"/>
    <mergeCell ref="D31:D32"/>
    <mergeCell ref="I31:I32"/>
    <mergeCell ref="J31:J32"/>
    <mergeCell ref="K31:K32"/>
    <mergeCell ref="L31:L44"/>
    <mergeCell ref="K35:K36"/>
    <mergeCell ref="K39:K40"/>
    <mergeCell ref="K43:K44"/>
    <mergeCell ref="M31:M32"/>
    <mergeCell ref="A33:A34"/>
    <mergeCell ref="B33:B34"/>
    <mergeCell ref="C33:C34"/>
    <mergeCell ref="D33:D34"/>
    <mergeCell ref="I33:I34"/>
    <mergeCell ref="J33:J34"/>
    <mergeCell ref="K33:K34"/>
    <mergeCell ref="M33:M34"/>
    <mergeCell ref="M35:M36"/>
    <mergeCell ref="A37:A38"/>
    <mergeCell ref="B37:B38"/>
    <mergeCell ref="C37:C38"/>
    <mergeCell ref="D37:D38"/>
    <mergeCell ref="I37:I38"/>
    <mergeCell ref="J37:J38"/>
    <mergeCell ref="K37:K38"/>
    <mergeCell ref="M37:M38"/>
    <mergeCell ref="A35:A36"/>
    <mergeCell ref="B35:B36"/>
    <mergeCell ref="C35:C36"/>
    <mergeCell ref="D35:D36"/>
    <mergeCell ref="I35:I36"/>
    <mergeCell ref="J35:J36"/>
    <mergeCell ref="M39:M40"/>
    <mergeCell ref="A41:A42"/>
    <mergeCell ref="B41:B42"/>
    <mergeCell ref="C41:C42"/>
    <mergeCell ref="D41:D42"/>
    <mergeCell ref="I41:I42"/>
    <mergeCell ref="J41:J42"/>
    <mergeCell ref="K41:K42"/>
    <mergeCell ref="M41:M42"/>
    <mergeCell ref="A39:A40"/>
    <mergeCell ref="B39:B40"/>
    <mergeCell ref="C39:C40"/>
    <mergeCell ref="D39:D40"/>
    <mergeCell ref="I39:I40"/>
    <mergeCell ref="J39:J40"/>
    <mergeCell ref="M43:M44"/>
    <mergeCell ref="E45:G45"/>
    <mergeCell ref="I45:K45"/>
    <mergeCell ref="A43:A44"/>
    <mergeCell ref="B43:B44"/>
    <mergeCell ref="C43:C44"/>
    <mergeCell ref="D43:D44"/>
    <mergeCell ref="I43:I44"/>
    <mergeCell ref="J43:J44"/>
  </mergeCells>
  <conditionalFormatting sqref="J10:J12">
    <cfRule type="cellIs" dxfId="67" priority="11" operator="equal">
      <formula>"CUMPLE"</formula>
    </cfRule>
  </conditionalFormatting>
  <conditionalFormatting sqref="J16:J18">
    <cfRule type="cellIs" dxfId="66" priority="1" operator="equal">
      <formula>"CUMPLE"</formula>
    </cfRule>
  </conditionalFormatting>
  <conditionalFormatting sqref="J23:J25">
    <cfRule type="cellIs" dxfId="65" priority="3" operator="equal">
      <formula>"CUMPLE"</formula>
    </cfRule>
  </conditionalFormatting>
  <conditionalFormatting sqref="J31:J44">
    <cfRule type="cellIs" dxfId="64" priority="6" operator="equal">
      <formula>"CUMPLE"</formula>
    </cfRule>
    <cfRule type="cellIs" dxfId="63" priority="7" operator="equal">
      <formula>"NO CUMPLE"</formula>
    </cfRule>
  </conditionalFormatting>
  <conditionalFormatting sqref="J19:K19">
    <cfRule type="cellIs" dxfId="62" priority="10" operator="equal">
      <formula>"CUMPLE"</formula>
    </cfRule>
  </conditionalFormatting>
  <conditionalFormatting sqref="J26:K26">
    <cfRule type="cellIs" dxfId="61" priority="2" operator="equal">
      <formula>"CUMPLE"</formula>
    </cfRule>
  </conditionalFormatting>
  <conditionalFormatting sqref="K31">
    <cfRule type="cellIs" dxfId="60" priority="20" operator="equal">
      <formula>"CUMPLE"</formula>
    </cfRule>
    <cfRule type="cellIs" dxfId="59" priority="21" operator="equal">
      <formula>"NO CUMPLE"</formula>
    </cfRule>
  </conditionalFormatting>
  <conditionalFormatting sqref="K33 K35 K39 K41">
    <cfRule type="cellIs" dxfId="58" priority="16" operator="equal">
      <formula>"CUMPLE"</formula>
    </cfRule>
    <cfRule type="cellIs" dxfId="57" priority="17" operator="equal">
      <formula>"NO CUMPLE"</formula>
    </cfRule>
  </conditionalFormatting>
  <conditionalFormatting sqref="K37">
    <cfRule type="cellIs" dxfId="56" priority="4" operator="equal">
      <formula>"CUMPLE"</formula>
    </cfRule>
    <cfRule type="cellIs" dxfId="55" priority="5" operator="equal">
      <formula>"NO CUMPLE"</formula>
    </cfRule>
  </conditionalFormatting>
  <conditionalFormatting sqref="K43">
    <cfRule type="cellIs" dxfId="54" priority="8" operator="equal">
      <formula>"CUMPLE"</formula>
    </cfRule>
    <cfRule type="cellIs" dxfId="53" priority="9" operator="equal">
      <formula>"NO CUMPLE"</formula>
    </cfRule>
  </conditionalFormatting>
  <conditionalFormatting sqref="M10:M12">
    <cfRule type="cellIs" dxfId="52" priority="14" operator="equal">
      <formula>"CUMPLE"</formula>
    </cfRule>
    <cfRule type="cellIs" dxfId="51" priority="15" operator="equal">
      <formula>"NO CUMPLE"</formula>
    </cfRule>
  </conditionalFormatting>
  <conditionalFormatting sqref="M16:M19 M23:M26">
    <cfRule type="cellIs" dxfId="50" priority="12" operator="equal">
      <formula>"CUMPLE"</formula>
    </cfRule>
    <cfRule type="cellIs" dxfId="49" priority="13" operator="equal">
      <formula>"NO CUMPLE"</formula>
    </cfRule>
  </conditionalFormatting>
  <conditionalFormatting sqref="M31 M33 M35 M37 M39 M41 M43">
    <cfRule type="cellIs" dxfId="48" priority="18" operator="equal">
      <formula>"CUMPLE"</formula>
    </cfRule>
    <cfRule type="cellIs" dxfId="47" priority="19" operator="equal">
      <formula>"NO CUMPLE"</formula>
    </cfRule>
  </conditionalFormatting>
  <pageMargins left="0.70866141732283472" right="0.70866141732283472" top="0.74803149606299213" bottom="0.74803149606299213" header="0.31496062992125984" footer="0.31496062992125984"/>
  <pageSetup scale="33"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B5C61-CE74-48A3-9C64-1B53D178AA25}">
  <sheetPr>
    <tabColor rgb="FF92D050"/>
    <pageSetUpPr fitToPage="1"/>
  </sheetPr>
  <dimension ref="A1:BI145"/>
  <sheetViews>
    <sheetView showGridLines="0" view="pageBreakPreview" topLeftCell="E12" zoomScale="70" zoomScaleNormal="80" zoomScaleSheetLayoutView="70" workbookViewId="0">
      <selection activeCell="K15" sqref="K15"/>
    </sheetView>
  </sheetViews>
  <sheetFormatPr baseColWidth="10" defaultColWidth="11.42578125" defaultRowHeight="15"/>
  <cols>
    <col min="2" max="2" width="11.42578125" customWidth="1"/>
    <col min="3" max="3" width="8" customWidth="1"/>
    <col min="4" max="4" width="23.85546875" bestFit="1" customWidth="1"/>
    <col min="5" max="5" width="64.140625" customWidth="1"/>
    <col min="6" max="6" width="19.140625" bestFit="1" customWidth="1"/>
    <col min="7" max="7" width="13.7109375" bestFit="1" customWidth="1"/>
    <col min="8" max="8" width="27" customWidth="1"/>
    <col min="9" max="10" width="32.140625" customWidth="1"/>
    <col min="11" max="11" width="22.5703125" customWidth="1"/>
    <col min="12" max="12" width="27" customWidth="1"/>
    <col min="13" max="13" width="19.42578125" customWidth="1"/>
    <col min="14" max="14" width="20.7109375" customWidth="1"/>
    <col min="15" max="15" width="10.5703125" customWidth="1"/>
    <col min="16" max="16" width="32.140625" customWidth="1"/>
    <col min="17" max="17" width="19.28515625" customWidth="1"/>
    <col min="18" max="18" width="20.28515625" customWidth="1"/>
    <col min="19" max="19" width="20.85546875" customWidth="1"/>
    <col min="20" max="20" width="22" customWidth="1"/>
    <col min="21" max="21" width="20.140625" bestFit="1" customWidth="1"/>
    <col min="22" max="22" width="18.5703125" bestFit="1" customWidth="1"/>
  </cols>
  <sheetData>
    <row r="1" spans="1:61" ht="15" customHeight="1">
      <c r="A1" s="330"/>
      <c r="B1" s="331"/>
      <c r="C1" s="331"/>
      <c r="D1" s="332"/>
      <c r="E1" s="339" t="s">
        <v>70</v>
      </c>
      <c r="F1" s="340"/>
      <c r="G1" s="340"/>
      <c r="H1" s="340"/>
      <c r="I1" s="340"/>
      <c r="J1" s="341"/>
    </row>
    <row r="2" spans="1:61">
      <c r="A2" s="333"/>
      <c r="B2" s="334"/>
      <c r="C2" s="334"/>
      <c r="D2" s="335"/>
      <c r="E2" s="342"/>
      <c r="F2" s="343"/>
      <c r="G2" s="343"/>
      <c r="H2" s="343"/>
      <c r="I2" s="343"/>
      <c r="J2" s="344"/>
    </row>
    <row r="3" spans="1:61">
      <c r="A3" s="333"/>
      <c r="B3" s="334"/>
      <c r="C3" s="334"/>
      <c r="D3" s="335"/>
      <c r="E3" s="342"/>
      <c r="F3" s="343"/>
      <c r="G3" s="343"/>
      <c r="H3" s="343"/>
      <c r="I3" s="343"/>
      <c r="J3" s="344"/>
    </row>
    <row r="4" spans="1:61" ht="38.25" customHeight="1" thickBot="1">
      <c r="A4" s="336"/>
      <c r="B4" s="337"/>
      <c r="C4" s="337"/>
      <c r="D4" s="338"/>
      <c r="E4" s="345"/>
      <c r="F4" s="346"/>
      <c r="G4" s="346"/>
      <c r="H4" s="346"/>
      <c r="I4" s="346"/>
      <c r="J4" s="347"/>
    </row>
    <row r="5" spans="1:61" ht="42" customHeight="1" thickBot="1">
      <c r="A5" s="348" t="s">
        <v>71</v>
      </c>
      <c r="B5" s="349"/>
      <c r="C5" s="349"/>
      <c r="D5" s="349"/>
      <c r="E5" s="349"/>
      <c r="F5" s="349"/>
      <c r="G5" s="349"/>
      <c r="H5" s="349"/>
      <c r="I5" s="349"/>
      <c r="J5" s="349"/>
    </row>
    <row r="6" spans="1:61" ht="34.5" customHeight="1" thickBot="1">
      <c r="A6" s="317" t="s">
        <v>72</v>
      </c>
      <c r="B6" s="318"/>
      <c r="C6" s="318"/>
      <c r="D6" s="319"/>
      <c r="E6" s="329" t="s">
        <v>5</v>
      </c>
      <c r="F6" s="321"/>
      <c r="G6" s="321"/>
      <c r="H6" s="321"/>
      <c r="I6" s="321"/>
      <c r="J6" s="322"/>
    </row>
    <row r="7" spans="1:61" ht="53.25" customHeight="1" thickBot="1">
      <c r="A7" s="317" t="s">
        <v>73</v>
      </c>
      <c r="B7" s="318"/>
      <c r="C7" s="318"/>
      <c r="D7" s="319"/>
      <c r="E7" s="350" t="s">
        <v>74</v>
      </c>
      <c r="F7" s="351"/>
      <c r="G7" s="351"/>
      <c r="H7" s="351"/>
      <c r="I7" s="351"/>
      <c r="J7" s="352"/>
    </row>
    <row r="8" spans="1:61" ht="27" customHeight="1" thickBot="1">
      <c r="A8" s="317" t="s">
        <v>75</v>
      </c>
      <c r="B8" s="318"/>
      <c r="C8" s="318"/>
      <c r="D8" s="319"/>
      <c r="E8" s="329" t="s">
        <v>325</v>
      </c>
      <c r="F8" s="321"/>
      <c r="G8" s="321"/>
      <c r="H8" s="321"/>
      <c r="I8" s="321"/>
      <c r="J8" s="322"/>
    </row>
    <row r="9" spans="1:61" ht="27" customHeight="1" thickBot="1">
      <c r="A9" s="317" t="s">
        <v>77</v>
      </c>
      <c r="B9" s="318"/>
      <c r="C9" s="318"/>
      <c r="D9" s="319"/>
      <c r="E9" s="329" t="s">
        <v>327</v>
      </c>
      <c r="F9" s="321"/>
      <c r="G9" s="321"/>
      <c r="H9" s="321"/>
      <c r="I9" s="321"/>
      <c r="J9" s="322"/>
    </row>
    <row r="10" spans="1:61" ht="27" customHeight="1" thickBot="1">
      <c r="A10" s="317" t="s">
        <v>79</v>
      </c>
      <c r="B10" s="318"/>
      <c r="C10" s="318"/>
      <c r="D10" s="319"/>
      <c r="E10" s="329" t="s">
        <v>328</v>
      </c>
      <c r="F10" s="321"/>
      <c r="G10" s="321"/>
      <c r="H10" s="321"/>
      <c r="I10" s="321"/>
      <c r="J10" s="322"/>
    </row>
    <row r="11" spans="1:61" ht="27" customHeight="1" thickBot="1">
      <c r="A11" s="317" t="s">
        <v>81</v>
      </c>
      <c r="B11" s="318"/>
      <c r="C11" s="318"/>
      <c r="D11" s="319"/>
      <c r="E11" s="329" t="s">
        <v>329</v>
      </c>
      <c r="F11" s="321"/>
      <c r="G11" s="321"/>
      <c r="H11" s="321"/>
      <c r="I11" s="321"/>
      <c r="J11" s="322"/>
    </row>
    <row r="12" spans="1:61" ht="225.75" customHeight="1" thickBot="1">
      <c r="A12" s="323" t="s">
        <v>82</v>
      </c>
      <c r="B12" s="324"/>
      <c r="C12" s="324"/>
      <c r="D12" s="324"/>
      <c r="E12" s="324"/>
      <c r="F12" s="324"/>
      <c r="G12" s="324"/>
      <c r="H12" s="324"/>
      <c r="I12" s="324"/>
      <c r="J12" s="325"/>
    </row>
    <row r="13" spans="1:61" ht="12.75" customHeight="1"/>
    <row r="14" spans="1:61" ht="48" customHeight="1">
      <c r="A14" s="326" t="s">
        <v>83</v>
      </c>
      <c r="B14" s="326"/>
      <c r="C14" s="326" t="s">
        <v>84</v>
      </c>
      <c r="D14" s="326"/>
      <c r="E14" s="326"/>
      <c r="F14" s="327" t="s">
        <v>85</v>
      </c>
      <c r="G14" s="327" t="s">
        <v>86</v>
      </c>
      <c r="H14" s="327" t="s">
        <v>87</v>
      </c>
      <c r="I14" s="328" t="s">
        <v>88</v>
      </c>
      <c r="J14" s="328"/>
      <c r="BI14" s="84"/>
    </row>
    <row r="15" spans="1:61" ht="48.75" customHeight="1">
      <c r="A15" s="326"/>
      <c r="B15" s="326"/>
      <c r="C15" s="326"/>
      <c r="D15" s="326"/>
      <c r="E15" s="326"/>
      <c r="F15" s="327"/>
      <c r="G15" s="327"/>
      <c r="H15" s="327"/>
      <c r="I15" s="85" t="s">
        <v>89</v>
      </c>
      <c r="J15" s="85" t="s">
        <v>90</v>
      </c>
      <c r="K15" s="132" t="s">
        <v>91</v>
      </c>
      <c r="L15" s="173" t="s">
        <v>296</v>
      </c>
      <c r="BI15" s="84"/>
    </row>
    <row r="16" spans="1:61" ht="60.75" customHeight="1">
      <c r="A16" s="310" t="s">
        <v>93</v>
      </c>
      <c r="B16" s="310"/>
      <c r="C16" s="303" t="s">
        <v>94</v>
      </c>
      <c r="D16" s="303"/>
      <c r="E16" s="303"/>
      <c r="F16" s="86" t="s">
        <v>95</v>
      </c>
      <c r="G16" s="87">
        <v>2000</v>
      </c>
      <c r="H16" s="88">
        <v>16341</v>
      </c>
      <c r="I16" s="88">
        <v>15908</v>
      </c>
      <c r="J16" s="88">
        <f>+ROUND(I16*G16,0)</f>
        <v>31816000</v>
      </c>
      <c r="K16" s="133">
        <f>I16-H16</f>
        <v>-433</v>
      </c>
      <c r="L16" s="134">
        <f>I16/H16</f>
        <v>0.97350223364543176</v>
      </c>
      <c r="M16" s="184" t="str">
        <f>+IF(I16&lt;H16,"OK",IF(I16=0," "))</f>
        <v>OK</v>
      </c>
      <c r="BI16" s="89"/>
    </row>
    <row r="17" spans="1:61" ht="60.75" customHeight="1">
      <c r="A17" s="310" t="s">
        <v>96</v>
      </c>
      <c r="B17" s="310"/>
      <c r="C17" s="303" t="s">
        <v>97</v>
      </c>
      <c r="D17" s="303"/>
      <c r="E17" s="303"/>
      <c r="F17" s="86" t="s">
        <v>98</v>
      </c>
      <c r="G17" s="87">
        <v>300</v>
      </c>
      <c r="H17" s="88">
        <v>43227</v>
      </c>
      <c r="I17" s="88">
        <v>42081</v>
      </c>
      <c r="J17" s="88">
        <f t="shared" ref="J17:J72" si="0">+ROUND(I17*G17,0)</f>
        <v>12624300</v>
      </c>
      <c r="K17" s="133">
        <f t="shared" ref="K17:K80" si="1">I17-H17</f>
        <v>-1146</v>
      </c>
      <c r="L17" s="134">
        <f t="shared" ref="L17:L80" si="2">I17/H17</f>
        <v>0.97348879172739256</v>
      </c>
      <c r="M17" s="184" t="str">
        <f t="shared" ref="M17:M80" si="3">+IF(I17&lt;H17,"OK",IF(I17=0," "))</f>
        <v>OK</v>
      </c>
      <c r="BI17" s="90"/>
    </row>
    <row r="18" spans="1:61" ht="60.75" customHeight="1">
      <c r="A18" s="310" t="s">
        <v>99</v>
      </c>
      <c r="B18" s="310"/>
      <c r="C18" s="303" t="s">
        <v>100</v>
      </c>
      <c r="D18" s="303"/>
      <c r="E18" s="303"/>
      <c r="F18" s="86" t="s">
        <v>98</v>
      </c>
      <c r="G18" s="87">
        <v>2332.42</v>
      </c>
      <c r="H18" s="88">
        <v>30375</v>
      </c>
      <c r="I18" s="88">
        <v>29570</v>
      </c>
      <c r="J18" s="88">
        <f t="shared" si="0"/>
        <v>68969659</v>
      </c>
      <c r="K18" s="133">
        <f t="shared" si="1"/>
        <v>-805</v>
      </c>
      <c r="L18" s="134">
        <f t="shared" si="2"/>
        <v>0.97349794238683129</v>
      </c>
      <c r="M18" s="184" t="str">
        <f t="shared" si="3"/>
        <v>OK</v>
      </c>
      <c r="BI18" s="89"/>
    </row>
    <row r="19" spans="1:61" ht="60.75" customHeight="1">
      <c r="A19" s="310" t="s">
        <v>101</v>
      </c>
      <c r="B19" s="310"/>
      <c r="C19" s="303" t="s">
        <v>102</v>
      </c>
      <c r="D19" s="303"/>
      <c r="E19" s="303"/>
      <c r="F19" s="86" t="s">
        <v>98</v>
      </c>
      <c r="G19" s="87">
        <v>2332.42</v>
      </c>
      <c r="H19" s="88">
        <v>64685</v>
      </c>
      <c r="I19" s="88">
        <v>62971</v>
      </c>
      <c r="J19" s="88">
        <f t="shared" si="0"/>
        <v>146874820</v>
      </c>
      <c r="K19" s="133">
        <f t="shared" si="1"/>
        <v>-1714</v>
      </c>
      <c r="L19" s="134">
        <f t="shared" si="2"/>
        <v>0.97350235757903691</v>
      </c>
      <c r="M19" s="184" t="str">
        <f t="shared" si="3"/>
        <v>OK</v>
      </c>
      <c r="BI19" s="90"/>
    </row>
    <row r="20" spans="1:61" ht="60.75" customHeight="1">
      <c r="A20" s="310" t="s">
        <v>103</v>
      </c>
      <c r="B20" s="310"/>
      <c r="C20" s="303" t="s">
        <v>104</v>
      </c>
      <c r="D20" s="303"/>
      <c r="E20" s="303"/>
      <c r="F20" s="86" t="s">
        <v>98</v>
      </c>
      <c r="G20" s="87">
        <v>2332.42</v>
      </c>
      <c r="H20" s="88">
        <v>129968</v>
      </c>
      <c r="I20" s="88">
        <v>126524</v>
      </c>
      <c r="J20" s="88">
        <f t="shared" si="0"/>
        <v>295107108</v>
      </c>
      <c r="K20" s="133">
        <f t="shared" si="1"/>
        <v>-3444</v>
      </c>
      <c r="L20" s="134">
        <f t="shared" si="2"/>
        <v>0.97350116951865073</v>
      </c>
      <c r="M20" s="184" t="str">
        <f t="shared" si="3"/>
        <v>OK</v>
      </c>
      <c r="BI20" s="90"/>
    </row>
    <row r="21" spans="1:61" ht="60.75" customHeight="1">
      <c r="A21" s="310" t="s">
        <v>105</v>
      </c>
      <c r="B21" s="310"/>
      <c r="C21" s="303" t="s">
        <v>106</v>
      </c>
      <c r="D21" s="303"/>
      <c r="E21" s="303"/>
      <c r="F21" s="86" t="s">
        <v>98</v>
      </c>
      <c r="G21" s="87">
        <v>150</v>
      </c>
      <c r="H21" s="88">
        <v>53922</v>
      </c>
      <c r="I21" s="88">
        <v>52493</v>
      </c>
      <c r="J21" s="88">
        <f t="shared" si="0"/>
        <v>7873950</v>
      </c>
      <c r="K21" s="133">
        <f t="shared" si="1"/>
        <v>-1429</v>
      </c>
      <c r="L21" s="134">
        <f t="shared" si="2"/>
        <v>0.97349875746448578</v>
      </c>
      <c r="M21" s="184" t="str">
        <f t="shared" si="3"/>
        <v>OK</v>
      </c>
      <c r="AW21" s="91"/>
      <c r="AX21" s="92"/>
      <c r="AY21" s="91"/>
      <c r="AZ21" s="91"/>
      <c r="BA21" s="93"/>
      <c r="BC21" s="91"/>
      <c r="BD21" s="92"/>
      <c r="BE21" s="91"/>
      <c r="BF21" s="91"/>
      <c r="BG21" s="93"/>
      <c r="BI21" s="90"/>
    </row>
    <row r="22" spans="1:61" ht="60.75" customHeight="1">
      <c r="A22" s="310" t="s">
        <v>107</v>
      </c>
      <c r="B22" s="310"/>
      <c r="C22" s="303" t="s">
        <v>108</v>
      </c>
      <c r="D22" s="303"/>
      <c r="E22" s="303"/>
      <c r="F22" s="86" t="s">
        <v>98</v>
      </c>
      <c r="G22" s="87">
        <v>150</v>
      </c>
      <c r="H22" s="88">
        <v>305942</v>
      </c>
      <c r="I22" s="88">
        <v>297835</v>
      </c>
      <c r="J22" s="88">
        <f t="shared" si="0"/>
        <v>44675250</v>
      </c>
      <c r="K22" s="133">
        <f t="shared" si="1"/>
        <v>-8107</v>
      </c>
      <c r="L22" s="134">
        <f t="shared" si="2"/>
        <v>0.97350151335874124</v>
      </c>
      <c r="M22" s="184" t="str">
        <f t="shared" si="3"/>
        <v>OK</v>
      </c>
      <c r="AW22" s="91"/>
      <c r="AX22" s="92"/>
      <c r="AY22" s="91"/>
      <c r="AZ22" s="91"/>
      <c r="BA22" s="93"/>
      <c r="BC22" s="91"/>
      <c r="BD22" s="92"/>
      <c r="BE22" s="91"/>
      <c r="BF22" s="91"/>
      <c r="BG22" s="93"/>
      <c r="BI22" s="90"/>
    </row>
    <row r="23" spans="1:61" ht="92.25" customHeight="1">
      <c r="A23" s="310" t="s">
        <v>109</v>
      </c>
      <c r="B23" s="310"/>
      <c r="C23" s="303" t="s">
        <v>110</v>
      </c>
      <c r="D23" s="303"/>
      <c r="E23" s="303"/>
      <c r="F23" s="86" t="s">
        <v>95</v>
      </c>
      <c r="G23" s="87">
        <v>231</v>
      </c>
      <c r="H23" s="88">
        <v>125271</v>
      </c>
      <c r="I23" s="88">
        <v>121951</v>
      </c>
      <c r="J23" s="88">
        <f t="shared" si="0"/>
        <v>28170681</v>
      </c>
      <c r="K23" s="133">
        <f t="shared" si="1"/>
        <v>-3320</v>
      </c>
      <c r="L23" s="134">
        <f t="shared" si="2"/>
        <v>0.9734974575121137</v>
      </c>
      <c r="M23" s="184" t="str">
        <f t="shared" si="3"/>
        <v>OK</v>
      </c>
      <c r="AW23" s="91"/>
      <c r="AX23" s="92"/>
      <c r="AY23" s="91"/>
      <c r="AZ23" s="91"/>
      <c r="BA23" s="93"/>
      <c r="BC23" s="91"/>
      <c r="BD23" s="92"/>
      <c r="BE23" s="91"/>
      <c r="BF23" s="91"/>
      <c r="BG23" s="93"/>
      <c r="BI23" s="90"/>
    </row>
    <row r="24" spans="1:61" ht="60.75" customHeight="1">
      <c r="A24" s="310" t="s">
        <v>111</v>
      </c>
      <c r="B24" s="310"/>
      <c r="C24" s="303" t="s">
        <v>112</v>
      </c>
      <c r="D24" s="303"/>
      <c r="E24" s="303"/>
      <c r="F24" s="86" t="s">
        <v>113</v>
      </c>
      <c r="G24" s="87">
        <v>50</v>
      </c>
      <c r="H24" s="88">
        <v>88909</v>
      </c>
      <c r="I24" s="88">
        <v>86553</v>
      </c>
      <c r="J24" s="88">
        <f t="shared" si="0"/>
        <v>4327650</v>
      </c>
      <c r="K24" s="133">
        <f t="shared" si="1"/>
        <v>-2356</v>
      </c>
      <c r="L24" s="134">
        <f t="shared" si="2"/>
        <v>0.97350099539979085</v>
      </c>
      <c r="M24" s="184" t="str">
        <f t="shared" si="3"/>
        <v>OK</v>
      </c>
      <c r="AW24" s="91"/>
      <c r="AX24" s="92"/>
      <c r="AY24" s="91"/>
      <c r="AZ24" s="91"/>
      <c r="BA24" s="93"/>
      <c r="BC24" s="91"/>
      <c r="BD24" s="92"/>
      <c r="BE24" s="91"/>
      <c r="BF24" s="91"/>
      <c r="BG24" s="93"/>
      <c r="BI24" s="90"/>
    </row>
    <row r="25" spans="1:61" ht="60.75" customHeight="1">
      <c r="A25" s="310" t="s">
        <v>114</v>
      </c>
      <c r="B25" s="310"/>
      <c r="C25" s="303" t="s">
        <v>115</v>
      </c>
      <c r="D25" s="303"/>
      <c r="E25" s="303"/>
      <c r="F25" s="86" t="s">
        <v>113</v>
      </c>
      <c r="G25" s="87">
        <v>50</v>
      </c>
      <c r="H25" s="88">
        <v>97000</v>
      </c>
      <c r="I25" s="88">
        <v>94430</v>
      </c>
      <c r="J25" s="88">
        <f t="shared" si="0"/>
        <v>4721500</v>
      </c>
      <c r="K25" s="133">
        <f t="shared" si="1"/>
        <v>-2570</v>
      </c>
      <c r="L25" s="134">
        <f t="shared" si="2"/>
        <v>0.97350515463917531</v>
      </c>
      <c r="M25" s="184" t="str">
        <f t="shared" si="3"/>
        <v>OK</v>
      </c>
      <c r="AW25" s="91"/>
      <c r="AX25" s="92"/>
      <c r="AY25" s="91"/>
      <c r="AZ25" s="91"/>
      <c r="BA25" s="93"/>
      <c r="BC25" s="91"/>
      <c r="BD25" s="92"/>
      <c r="BE25" s="91"/>
      <c r="BF25" s="91"/>
      <c r="BG25" s="93"/>
      <c r="BI25" s="90"/>
    </row>
    <row r="26" spans="1:61" ht="60.75" customHeight="1">
      <c r="A26" s="302" t="s">
        <v>116</v>
      </c>
      <c r="B26" s="302"/>
      <c r="C26" s="303" t="s">
        <v>117</v>
      </c>
      <c r="D26" s="303"/>
      <c r="E26" s="303"/>
      <c r="F26" s="94" t="s">
        <v>98</v>
      </c>
      <c r="G26" s="95">
        <v>80</v>
      </c>
      <c r="H26" s="88">
        <v>38338</v>
      </c>
      <c r="I26" s="88">
        <v>37322</v>
      </c>
      <c r="J26" s="88">
        <f t="shared" si="0"/>
        <v>2985760</v>
      </c>
      <c r="K26" s="133">
        <f t="shared" si="1"/>
        <v>-1016</v>
      </c>
      <c r="L26" s="134">
        <f t="shared" si="2"/>
        <v>0.97349887839741245</v>
      </c>
      <c r="M26" s="184" t="str">
        <f t="shared" si="3"/>
        <v>OK</v>
      </c>
    </row>
    <row r="27" spans="1:61" ht="60.75" customHeight="1">
      <c r="A27" s="302" t="s">
        <v>118</v>
      </c>
      <c r="B27" s="302"/>
      <c r="C27" s="303" t="s">
        <v>119</v>
      </c>
      <c r="D27" s="303"/>
      <c r="E27" s="303"/>
      <c r="F27" s="94" t="s">
        <v>98</v>
      </c>
      <c r="G27" s="95">
        <v>1800</v>
      </c>
      <c r="H27" s="88">
        <v>35000</v>
      </c>
      <c r="I27" s="88">
        <v>34073</v>
      </c>
      <c r="J27" s="88">
        <f t="shared" si="0"/>
        <v>61331400</v>
      </c>
      <c r="K27" s="133">
        <f t="shared" si="1"/>
        <v>-927</v>
      </c>
      <c r="L27" s="134">
        <f t="shared" si="2"/>
        <v>0.97351428571428567</v>
      </c>
      <c r="M27" s="184" t="str">
        <f t="shared" si="3"/>
        <v>OK</v>
      </c>
    </row>
    <row r="28" spans="1:61" ht="60.75" customHeight="1">
      <c r="A28" s="302" t="s">
        <v>120</v>
      </c>
      <c r="B28" s="302"/>
      <c r="C28" s="303" t="s">
        <v>121</v>
      </c>
      <c r="D28" s="303"/>
      <c r="E28" s="303"/>
      <c r="F28" s="94" t="s">
        <v>98</v>
      </c>
      <c r="G28" s="95">
        <v>80</v>
      </c>
      <c r="H28" s="88">
        <v>96707</v>
      </c>
      <c r="I28" s="88">
        <v>94144</v>
      </c>
      <c r="J28" s="88">
        <f t="shared" si="0"/>
        <v>7531520</v>
      </c>
      <c r="K28" s="133">
        <f t="shared" si="1"/>
        <v>-2563</v>
      </c>
      <c r="L28" s="134">
        <f t="shared" si="2"/>
        <v>0.97349726493428601</v>
      </c>
      <c r="M28" s="184" t="str">
        <f t="shared" si="3"/>
        <v>OK</v>
      </c>
    </row>
    <row r="29" spans="1:61" ht="60.75" customHeight="1">
      <c r="A29" s="302" t="s">
        <v>122</v>
      </c>
      <c r="B29" s="302"/>
      <c r="C29" s="303" t="s">
        <v>123</v>
      </c>
      <c r="D29" s="303"/>
      <c r="E29" s="303"/>
      <c r="F29" s="94" t="s">
        <v>98</v>
      </c>
      <c r="G29" s="95">
        <v>80</v>
      </c>
      <c r="H29" s="88">
        <v>130500</v>
      </c>
      <c r="I29" s="88">
        <v>127042</v>
      </c>
      <c r="J29" s="88">
        <f t="shared" si="0"/>
        <v>10163360</v>
      </c>
      <c r="K29" s="133">
        <f t="shared" si="1"/>
        <v>-3458</v>
      </c>
      <c r="L29" s="134">
        <f t="shared" si="2"/>
        <v>0.97350191570881228</v>
      </c>
      <c r="M29" s="184" t="str">
        <f t="shared" si="3"/>
        <v>OK</v>
      </c>
    </row>
    <row r="30" spans="1:61" ht="60.75" customHeight="1">
      <c r="A30" s="310" t="s">
        <v>124</v>
      </c>
      <c r="B30" s="310"/>
      <c r="C30" s="303" t="s">
        <v>125</v>
      </c>
      <c r="D30" s="303"/>
      <c r="E30" s="303"/>
      <c r="F30" s="94" t="s">
        <v>113</v>
      </c>
      <c r="G30" s="95">
        <v>100</v>
      </c>
      <c r="H30" s="88">
        <v>1233196</v>
      </c>
      <c r="I30" s="88">
        <v>1200516</v>
      </c>
      <c r="J30" s="88">
        <f t="shared" si="0"/>
        <v>120051600</v>
      </c>
      <c r="K30" s="133">
        <f t="shared" si="1"/>
        <v>-32680</v>
      </c>
      <c r="L30" s="134">
        <f t="shared" si="2"/>
        <v>0.97349975186426163</v>
      </c>
      <c r="M30" s="184" t="str">
        <f t="shared" si="3"/>
        <v>OK</v>
      </c>
    </row>
    <row r="31" spans="1:61" ht="60.75" customHeight="1">
      <c r="A31" s="310" t="s">
        <v>126</v>
      </c>
      <c r="B31" s="310"/>
      <c r="C31" s="303" t="s">
        <v>127</v>
      </c>
      <c r="D31" s="303"/>
      <c r="E31" s="303"/>
      <c r="F31" s="94" t="s">
        <v>113</v>
      </c>
      <c r="G31" s="95">
        <v>85</v>
      </c>
      <c r="H31" s="88">
        <v>749188</v>
      </c>
      <c r="I31" s="88">
        <v>729335</v>
      </c>
      <c r="J31" s="88">
        <f t="shared" si="0"/>
        <v>61993475</v>
      </c>
      <c r="K31" s="133">
        <f t="shared" si="1"/>
        <v>-19853</v>
      </c>
      <c r="L31" s="134">
        <f t="shared" si="2"/>
        <v>0.97350064336321462</v>
      </c>
      <c r="M31" s="184" t="str">
        <f t="shared" si="3"/>
        <v>OK</v>
      </c>
    </row>
    <row r="32" spans="1:61" ht="60.75" customHeight="1">
      <c r="A32" s="310" t="s">
        <v>128</v>
      </c>
      <c r="B32" s="310"/>
      <c r="C32" s="303" t="s">
        <v>129</v>
      </c>
      <c r="D32" s="303"/>
      <c r="E32" s="303"/>
      <c r="F32" s="94" t="s">
        <v>113</v>
      </c>
      <c r="G32" s="95">
        <v>20</v>
      </c>
      <c r="H32" s="88">
        <v>1242026</v>
      </c>
      <c r="I32" s="88">
        <v>1209112</v>
      </c>
      <c r="J32" s="88">
        <f t="shared" si="0"/>
        <v>24182240</v>
      </c>
      <c r="K32" s="133">
        <f t="shared" si="1"/>
        <v>-32914</v>
      </c>
      <c r="L32" s="134">
        <f t="shared" si="2"/>
        <v>0.97349974960266528</v>
      </c>
      <c r="M32" s="184" t="str">
        <f t="shared" si="3"/>
        <v>OK</v>
      </c>
    </row>
    <row r="33" spans="1:13" ht="60.75" customHeight="1">
      <c r="A33" s="310" t="s">
        <v>130</v>
      </c>
      <c r="B33" s="310"/>
      <c r="C33" s="303" t="s">
        <v>131</v>
      </c>
      <c r="D33" s="303"/>
      <c r="E33" s="303"/>
      <c r="F33" s="94" t="s">
        <v>98</v>
      </c>
      <c r="G33" s="95">
        <v>45</v>
      </c>
      <c r="H33" s="88">
        <v>40656</v>
      </c>
      <c r="I33" s="88">
        <v>39579</v>
      </c>
      <c r="J33" s="88">
        <f t="shared" si="0"/>
        <v>1781055</v>
      </c>
      <c r="K33" s="133">
        <f t="shared" si="1"/>
        <v>-1077</v>
      </c>
      <c r="L33" s="134">
        <f t="shared" si="2"/>
        <v>0.9735094451003542</v>
      </c>
      <c r="M33" s="184" t="str">
        <f t="shared" si="3"/>
        <v>OK</v>
      </c>
    </row>
    <row r="34" spans="1:13" ht="60.75" customHeight="1">
      <c r="A34" s="310" t="s">
        <v>132</v>
      </c>
      <c r="B34" s="310"/>
      <c r="C34" s="303" t="s">
        <v>133</v>
      </c>
      <c r="D34" s="303"/>
      <c r="E34" s="303"/>
      <c r="F34" s="94" t="s">
        <v>98</v>
      </c>
      <c r="G34" s="95">
        <v>45</v>
      </c>
      <c r="H34" s="88">
        <v>1032471</v>
      </c>
      <c r="I34" s="88">
        <v>1005111</v>
      </c>
      <c r="J34" s="88">
        <f t="shared" si="0"/>
        <v>45229995</v>
      </c>
      <c r="K34" s="133">
        <f t="shared" si="1"/>
        <v>-27360</v>
      </c>
      <c r="L34" s="134">
        <f t="shared" si="2"/>
        <v>0.97350046635692433</v>
      </c>
      <c r="M34" s="184" t="str">
        <f t="shared" si="3"/>
        <v>OK</v>
      </c>
    </row>
    <row r="35" spans="1:13" ht="60.75" customHeight="1">
      <c r="A35" s="310" t="s">
        <v>134</v>
      </c>
      <c r="B35" s="310"/>
      <c r="C35" s="303" t="s">
        <v>135</v>
      </c>
      <c r="D35" s="303"/>
      <c r="E35" s="303"/>
      <c r="F35" s="94" t="s">
        <v>113</v>
      </c>
      <c r="G35" s="95">
        <v>275</v>
      </c>
      <c r="H35" s="88">
        <v>112609</v>
      </c>
      <c r="I35" s="88">
        <v>109625</v>
      </c>
      <c r="J35" s="88">
        <f t="shared" si="0"/>
        <v>30146875</v>
      </c>
      <c r="K35" s="133">
        <f t="shared" si="1"/>
        <v>-2984</v>
      </c>
      <c r="L35" s="134">
        <f t="shared" si="2"/>
        <v>0.97350122991945587</v>
      </c>
      <c r="M35" s="184" t="str">
        <f t="shared" si="3"/>
        <v>OK</v>
      </c>
    </row>
    <row r="36" spans="1:13" ht="60.75" customHeight="1">
      <c r="A36" s="310" t="s">
        <v>136</v>
      </c>
      <c r="B36" s="310"/>
      <c r="C36" s="303" t="s">
        <v>137</v>
      </c>
      <c r="D36" s="303"/>
      <c r="E36" s="303"/>
      <c r="F36" s="94" t="s">
        <v>113</v>
      </c>
      <c r="G36" s="95">
        <v>1</v>
      </c>
      <c r="H36" s="88">
        <v>131148</v>
      </c>
      <c r="I36" s="88">
        <v>127673</v>
      </c>
      <c r="J36" s="88">
        <f t="shared" si="0"/>
        <v>127673</v>
      </c>
      <c r="K36" s="133">
        <f t="shared" si="1"/>
        <v>-3475</v>
      </c>
      <c r="L36" s="134">
        <f t="shared" si="2"/>
        <v>0.97350321773873794</v>
      </c>
      <c r="M36" s="184" t="str">
        <f t="shared" si="3"/>
        <v>OK</v>
      </c>
    </row>
    <row r="37" spans="1:13" ht="60.75" customHeight="1">
      <c r="A37" s="310" t="s">
        <v>138</v>
      </c>
      <c r="B37" s="310"/>
      <c r="C37" s="303" t="s">
        <v>139</v>
      </c>
      <c r="D37" s="303"/>
      <c r="E37" s="303"/>
      <c r="F37" s="94" t="s">
        <v>113</v>
      </c>
      <c r="G37" s="95">
        <v>1</v>
      </c>
      <c r="H37" s="88">
        <v>1224745</v>
      </c>
      <c r="I37" s="88">
        <v>1192289</v>
      </c>
      <c r="J37" s="88">
        <f t="shared" si="0"/>
        <v>1192289</v>
      </c>
      <c r="K37" s="133">
        <f t="shared" si="1"/>
        <v>-32456</v>
      </c>
      <c r="L37" s="134">
        <f t="shared" si="2"/>
        <v>0.97349978975215246</v>
      </c>
      <c r="M37" s="184" t="str">
        <f t="shared" si="3"/>
        <v>OK</v>
      </c>
    </row>
    <row r="38" spans="1:13" ht="60.75" customHeight="1">
      <c r="A38" s="310" t="s">
        <v>140</v>
      </c>
      <c r="B38" s="310"/>
      <c r="C38" s="303" t="s">
        <v>141</v>
      </c>
      <c r="D38" s="303"/>
      <c r="E38" s="303"/>
      <c r="F38" s="94" t="s">
        <v>98</v>
      </c>
      <c r="G38" s="95">
        <v>4500</v>
      </c>
      <c r="H38" s="88">
        <v>34663</v>
      </c>
      <c r="I38" s="88">
        <v>33744</v>
      </c>
      <c r="J38" s="88">
        <f t="shared" si="0"/>
        <v>151848000</v>
      </c>
      <c r="K38" s="133">
        <f t="shared" si="1"/>
        <v>-919</v>
      </c>
      <c r="L38" s="134">
        <f t="shared" si="2"/>
        <v>0.97348758041715955</v>
      </c>
      <c r="M38" s="184" t="str">
        <f t="shared" si="3"/>
        <v>OK</v>
      </c>
    </row>
    <row r="39" spans="1:13" ht="60.75" customHeight="1">
      <c r="A39" s="314" t="s">
        <v>142</v>
      </c>
      <c r="B39" s="315"/>
      <c r="C39" s="315"/>
      <c r="D39" s="315"/>
      <c r="E39" s="315"/>
      <c r="F39" s="315"/>
      <c r="G39" s="315"/>
      <c r="H39" s="315"/>
      <c r="I39" s="316"/>
      <c r="J39" s="96">
        <f>SUM(J16:J38)</f>
        <v>1163726160</v>
      </c>
      <c r="K39" s="133">
        <f t="shared" si="1"/>
        <v>0</v>
      </c>
      <c r="L39" s="134" t="e">
        <f t="shared" si="2"/>
        <v>#DIV/0!</v>
      </c>
      <c r="M39" s="184" t="str">
        <f t="shared" si="3"/>
        <v xml:space="preserve"> </v>
      </c>
    </row>
    <row r="40" spans="1:13" ht="60.75" customHeight="1">
      <c r="A40" s="310" t="s">
        <v>93</v>
      </c>
      <c r="B40" s="310"/>
      <c r="C40" s="303" t="s">
        <v>143</v>
      </c>
      <c r="D40" s="303"/>
      <c r="E40" s="303"/>
      <c r="F40" s="94" t="s">
        <v>98</v>
      </c>
      <c r="G40" s="95">
        <v>250</v>
      </c>
      <c r="H40" s="88">
        <v>49033</v>
      </c>
      <c r="I40" s="88">
        <v>47734</v>
      </c>
      <c r="J40" s="88">
        <f t="shared" si="0"/>
        <v>11933500</v>
      </c>
      <c r="K40" s="133">
        <f t="shared" si="1"/>
        <v>-1299</v>
      </c>
      <c r="L40" s="134">
        <f t="shared" si="2"/>
        <v>0.97350763771337667</v>
      </c>
      <c r="M40" s="184" t="str">
        <f t="shared" si="3"/>
        <v>OK</v>
      </c>
    </row>
    <row r="41" spans="1:13" ht="60.75" customHeight="1">
      <c r="A41" s="310" t="s">
        <v>96</v>
      </c>
      <c r="B41" s="310"/>
      <c r="C41" s="303" t="s">
        <v>144</v>
      </c>
      <c r="D41" s="303"/>
      <c r="E41" s="303"/>
      <c r="F41" s="94" t="s">
        <v>98</v>
      </c>
      <c r="G41" s="95">
        <v>61</v>
      </c>
      <c r="H41" s="88">
        <v>50667</v>
      </c>
      <c r="I41" s="88">
        <v>49324</v>
      </c>
      <c r="J41" s="88">
        <f t="shared" si="0"/>
        <v>3008764</v>
      </c>
      <c r="K41" s="133">
        <f t="shared" si="1"/>
        <v>-1343</v>
      </c>
      <c r="L41" s="134">
        <f t="shared" si="2"/>
        <v>0.97349359543687208</v>
      </c>
      <c r="M41" s="184" t="str">
        <f t="shared" si="3"/>
        <v>OK</v>
      </c>
    </row>
    <row r="42" spans="1:13" ht="60.75" customHeight="1">
      <c r="A42" s="310" t="s">
        <v>145</v>
      </c>
      <c r="B42" s="310"/>
      <c r="C42" s="303" t="s">
        <v>117</v>
      </c>
      <c r="D42" s="303"/>
      <c r="E42" s="303"/>
      <c r="F42" s="94" t="s">
        <v>98</v>
      </c>
      <c r="G42" s="95">
        <v>1070</v>
      </c>
      <c r="H42" s="88">
        <v>36183</v>
      </c>
      <c r="I42" s="88">
        <v>35224</v>
      </c>
      <c r="J42" s="88">
        <f t="shared" si="0"/>
        <v>37689680</v>
      </c>
      <c r="K42" s="133">
        <f t="shared" si="1"/>
        <v>-959</v>
      </c>
      <c r="L42" s="134">
        <f t="shared" si="2"/>
        <v>0.97349584058812144</v>
      </c>
      <c r="M42" s="184" t="str">
        <f t="shared" si="3"/>
        <v>OK</v>
      </c>
    </row>
    <row r="43" spans="1:13" ht="60.75" customHeight="1">
      <c r="A43" s="310" t="s">
        <v>146</v>
      </c>
      <c r="B43" s="310"/>
      <c r="C43" s="303" t="s">
        <v>147</v>
      </c>
      <c r="D43" s="303"/>
      <c r="E43" s="303"/>
      <c r="F43" s="94" t="s">
        <v>148</v>
      </c>
      <c r="G43" s="95">
        <v>1</v>
      </c>
      <c r="H43" s="88">
        <v>13063210</v>
      </c>
      <c r="I43" s="88">
        <v>12717035</v>
      </c>
      <c r="J43" s="88">
        <f t="shared" si="0"/>
        <v>12717035</v>
      </c>
      <c r="K43" s="133">
        <f t="shared" si="1"/>
        <v>-346175</v>
      </c>
      <c r="L43" s="134">
        <f t="shared" si="2"/>
        <v>0.97350000497580613</v>
      </c>
      <c r="M43" s="184" t="str">
        <f t="shared" si="3"/>
        <v>OK</v>
      </c>
    </row>
    <row r="44" spans="1:13" ht="60.75" customHeight="1">
      <c r="A44" s="310" t="s">
        <v>149</v>
      </c>
      <c r="B44" s="310"/>
      <c r="C44" s="303" t="s">
        <v>150</v>
      </c>
      <c r="D44" s="303"/>
      <c r="E44" s="303"/>
      <c r="F44" s="94" t="s">
        <v>113</v>
      </c>
      <c r="G44" s="95">
        <v>135</v>
      </c>
      <c r="H44" s="88">
        <v>96339</v>
      </c>
      <c r="I44" s="88">
        <v>93786</v>
      </c>
      <c r="J44" s="88">
        <f t="shared" si="0"/>
        <v>12661110</v>
      </c>
      <c r="K44" s="133">
        <f t="shared" si="1"/>
        <v>-2553</v>
      </c>
      <c r="L44" s="134">
        <f t="shared" si="2"/>
        <v>0.9734998287297979</v>
      </c>
      <c r="M44" s="184" t="str">
        <f t="shared" si="3"/>
        <v>OK</v>
      </c>
    </row>
    <row r="45" spans="1:13" ht="60.75" customHeight="1">
      <c r="A45" s="310" t="s">
        <v>151</v>
      </c>
      <c r="B45" s="310"/>
      <c r="C45" s="303" t="s">
        <v>152</v>
      </c>
      <c r="D45" s="303"/>
      <c r="E45" s="303"/>
      <c r="F45" s="94" t="s">
        <v>98</v>
      </c>
      <c r="G45" s="95">
        <v>78</v>
      </c>
      <c r="H45" s="88">
        <v>95199</v>
      </c>
      <c r="I45" s="88">
        <v>92676</v>
      </c>
      <c r="J45" s="88">
        <f t="shared" si="0"/>
        <v>7228728</v>
      </c>
      <c r="K45" s="133">
        <f t="shared" si="1"/>
        <v>-2523</v>
      </c>
      <c r="L45" s="134">
        <f t="shared" si="2"/>
        <v>0.97349762077332747</v>
      </c>
      <c r="M45" s="184" t="str">
        <f t="shared" si="3"/>
        <v>OK</v>
      </c>
    </row>
    <row r="46" spans="1:13" ht="60.75" customHeight="1">
      <c r="A46" s="310" t="s">
        <v>99</v>
      </c>
      <c r="B46" s="310"/>
      <c r="C46" s="303" t="s">
        <v>153</v>
      </c>
      <c r="D46" s="303"/>
      <c r="E46" s="303"/>
      <c r="F46" s="94" t="s">
        <v>95</v>
      </c>
      <c r="G46" s="95">
        <v>100</v>
      </c>
      <c r="H46" s="88">
        <v>203925</v>
      </c>
      <c r="I46" s="88">
        <v>198521</v>
      </c>
      <c r="J46" s="88">
        <f t="shared" si="0"/>
        <v>19852100</v>
      </c>
      <c r="K46" s="133">
        <f t="shared" si="1"/>
        <v>-5404</v>
      </c>
      <c r="L46" s="134">
        <f t="shared" si="2"/>
        <v>0.97350006129704547</v>
      </c>
      <c r="M46" s="184" t="str">
        <f t="shared" si="3"/>
        <v>OK</v>
      </c>
    </row>
    <row r="47" spans="1:13" ht="60.75" customHeight="1">
      <c r="A47" s="310" t="s">
        <v>101</v>
      </c>
      <c r="B47" s="310"/>
      <c r="C47" s="303" t="s">
        <v>154</v>
      </c>
      <c r="D47" s="303"/>
      <c r="E47" s="303"/>
      <c r="F47" s="94" t="s">
        <v>95</v>
      </c>
      <c r="G47" s="95">
        <v>130</v>
      </c>
      <c r="H47" s="88">
        <v>186288</v>
      </c>
      <c r="I47" s="88">
        <v>181351</v>
      </c>
      <c r="J47" s="88">
        <f t="shared" si="0"/>
        <v>23575630</v>
      </c>
      <c r="K47" s="133">
        <f t="shared" si="1"/>
        <v>-4937</v>
      </c>
      <c r="L47" s="134">
        <f t="shared" si="2"/>
        <v>0.97349802456411583</v>
      </c>
      <c r="M47" s="184" t="str">
        <f t="shared" si="3"/>
        <v>OK</v>
      </c>
    </row>
    <row r="48" spans="1:13" ht="60.75" customHeight="1">
      <c r="A48" s="310" t="s">
        <v>116</v>
      </c>
      <c r="B48" s="310"/>
      <c r="C48" s="303" t="s">
        <v>155</v>
      </c>
      <c r="D48" s="303"/>
      <c r="E48" s="303"/>
      <c r="F48" s="94" t="s">
        <v>98</v>
      </c>
      <c r="G48" s="95">
        <v>30</v>
      </c>
      <c r="H48" s="88">
        <v>205133</v>
      </c>
      <c r="I48" s="88">
        <v>199697</v>
      </c>
      <c r="J48" s="88">
        <f t="shared" si="0"/>
        <v>5990910</v>
      </c>
      <c r="K48" s="133">
        <f t="shared" si="1"/>
        <v>-5436</v>
      </c>
      <c r="L48" s="134">
        <f t="shared" si="2"/>
        <v>0.97350011943470827</v>
      </c>
      <c r="M48" s="184" t="str">
        <f t="shared" si="3"/>
        <v>OK</v>
      </c>
    </row>
    <row r="49" spans="1:13" ht="60.75" customHeight="1">
      <c r="A49" s="310" t="s">
        <v>124</v>
      </c>
      <c r="B49" s="310"/>
      <c r="C49" s="303" t="s">
        <v>156</v>
      </c>
      <c r="D49" s="303"/>
      <c r="E49" s="303"/>
      <c r="F49" s="94" t="s">
        <v>98</v>
      </c>
      <c r="G49" s="95">
        <v>1301</v>
      </c>
      <c r="H49" s="88">
        <v>131613</v>
      </c>
      <c r="I49" s="88">
        <v>128125</v>
      </c>
      <c r="J49" s="88">
        <f t="shared" si="0"/>
        <v>166690625</v>
      </c>
      <c r="K49" s="133">
        <f t="shared" si="1"/>
        <v>-3488</v>
      </c>
      <c r="L49" s="134">
        <f t="shared" si="2"/>
        <v>0.9734980587024078</v>
      </c>
      <c r="M49" s="184" t="str">
        <f t="shared" si="3"/>
        <v>OK</v>
      </c>
    </row>
    <row r="50" spans="1:13" ht="60.75" customHeight="1">
      <c r="A50" s="310" t="s">
        <v>126</v>
      </c>
      <c r="B50" s="310"/>
      <c r="C50" s="303" t="s">
        <v>157</v>
      </c>
      <c r="D50" s="303"/>
      <c r="E50" s="303"/>
      <c r="F50" s="94" t="s">
        <v>98</v>
      </c>
      <c r="G50" s="95">
        <v>1301</v>
      </c>
      <c r="H50" s="88">
        <v>33384</v>
      </c>
      <c r="I50" s="88">
        <v>32499</v>
      </c>
      <c r="J50" s="88">
        <f t="shared" si="0"/>
        <v>42281199</v>
      </c>
      <c r="K50" s="133">
        <f t="shared" si="1"/>
        <v>-885</v>
      </c>
      <c r="L50" s="134">
        <f t="shared" si="2"/>
        <v>0.97349029475197701</v>
      </c>
      <c r="M50" s="184" t="str">
        <f t="shared" si="3"/>
        <v>OK</v>
      </c>
    </row>
    <row r="51" spans="1:13" ht="60.75" customHeight="1">
      <c r="A51" s="302" t="s">
        <v>136</v>
      </c>
      <c r="B51" s="302"/>
      <c r="C51" s="303" t="s">
        <v>158</v>
      </c>
      <c r="D51" s="303"/>
      <c r="E51" s="303"/>
      <c r="F51" s="97" t="s">
        <v>98</v>
      </c>
      <c r="G51" s="98">
        <v>1070</v>
      </c>
      <c r="H51" s="88">
        <v>194913</v>
      </c>
      <c r="I51" s="88">
        <v>189748</v>
      </c>
      <c r="J51" s="88">
        <f t="shared" si="0"/>
        <v>203030360</v>
      </c>
      <c r="K51" s="133">
        <f t="shared" si="1"/>
        <v>-5165</v>
      </c>
      <c r="L51" s="134">
        <f t="shared" si="2"/>
        <v>0.97350099788110589</v>
      </c>
      <c r="M51" s="184" t="str">
        <f t="shared" si="3"/>
        <v>OK</v>
      </c>
    </row>
    <row r="52" spans="1:13" ht="60.75" customHeight="1">
      <c r="A52" s="310" t="s">
        <v>140</v>
      </c>
      <c r="B52" s="310"/>
      <c r="C52" s="303" t="s">
        <v>159</v>
      </c>
      <c r="D52" s="303"/>
      <c r="E52" s="303"/>
      <c r="F52" s="97" t="s">
        <v>95</v>
      </c>
      <c r="G52" s="98">
        <v>2400</v>
      </c>
      <c r="H52" s="88">
        <v>20487</v>
      </c>
      <c r="I52" s="88">
        <v>19944</v>
      </c>
      <c r="J52" s="88">
        <f t="shared" si="0"/>
        <v>47865600</v>
      </c>
      <c r="K52" s="133">
        <f t="shared" si="1"/>
        <v>-543</v>
      </c>
      <c r="L52" s="134">
        <f t="shared" si="2"/>
        <v>0.97349538731878749</v>
      </c>
      <c r="M52" s="184" t="str">
        <f t="shared" si="3"/>
        <v>OK</v>
      </c>
    </row>
    <row r="53" spans="1:13" ht="60.75" customHeight="1">
      <c r="A53" s="310" t="s">
        <v>160</v>
      </c>
      <c r="B53" s="310"/>
      <c r="C53" s="303" t="s">
        <v>161</v>
      </c>
      <c r="D53" s="303"/>
      <c r="E53" s="303"/>
      <c r="F53" s="97" t="s">
        <v>95</v>
      </c>
      <c r="G53" s="98">
        <v>200</v>
      </c>
      <c r="H53" s="88">
        <v>373466</v>
      </c>
      <c r="I53" s="88">
        <v>363569</v>
      </c>
      <c r="J53" s="88">
        <f t="shared" si="0"/>
        <v>72713800</v>
      </c>
      <c r="K53" s="133">
        <f t="shared" si="1"/>
        <v>-9897</v>
      </c>
      <c r="L53" s="134">
        <f t="shared" si="2"/>
        <v>0.97349959567939248</v>
      </c>
      <c r="M53" s="184" t="str">
        <f t="shared" si="3"/>
        <v>OK</v>
      </c>
    </row>
    <row r="54" spans="1:13" ht="60.75" customHeight="1">
      <c r="A54" s="310" t="s">
        <v>162</v>
      </c>
      <c r="B54" s="310"/>
      <c r="C54" s="303" t="s">
        <v>163</v>
      </c>
      <c r="D54" s="303"/>
      <c r="E54" s="303"/>
      <c r="F54" s="97" t="s">
        <v>113</v>
      </c>
      <c r="G54" s="98">
        <v>240</v>
      </c>
      <c r="H54" s="88">
        <v>157875</v>
      </c>
      <c r="I54" s="88">
        <v>153691</v>
      </c>
      <c r="J54" s="88">
        <f t="shared" si="0"/>
        <v>36885840</v>
      </c>
      <c r="K54" s="133">
        <f t="shared" si="1"/>
        <v>-4184</v>
      </c>
      <c r="L54" s="134">
        <f t="shared" si="2"/>
        <v>0.97349802058590662</v>
      </c>
      <c r="M54" s="184" t="str">
        <f t="shared" si="3"/>
        <v>OK</v>
      </c>
    </row>
    <row r="55" spans="1:13" ht="60.75" customHeight="1">
      <c r="A55" s="310" t="s">
        <v>164</v>
      </c>
      <c r="B55" s="310"/>
      <c r="C55" s="303" t="s">
        <v>165</v>
      </c>
      <c r="D55" s="303"/>
      <c r="E55" s="303"/>
      <c r="F55" s="97" t="s">
        <v>113</v>
      </c>
      <c r="G55" s="98">
        <v>60</v>
      </c>
      <c r="H55" s="88">
        <v>177999</v>
      </c>
      <c r="I55" s="88">
        <v>173282</v>
      </c>
      <c r="J55" s="88">
        <f t="shared" si="0"/>
        <v>10396920</v>
      </c>
      <c r="K55" s="133">
        <f t="shared" si="1"/>
        <v>-4717</v>
      </c>
      <c r="L55" s="134">
        <f t="shared" si="2"/>
        <v>0.97349985112275916</v>
      </c>
      <c r="M55" s="184" t="str">
        <f t="shared" si="3"/>
        <v>OK</v>
      </c>
    </row>
    <row r="56" spans="1:13" ht="60.75" customHeight="1">
      <c r="A56" s="310" t="s">
        <v>166</v>
      </c>
      <c r="B56" s="310"/>
      <c r="C56" s="303" t="s">
        <v>167</v>
      </c>
      <c r="D56" s="303"/>
      <c r="E56" s="303"/>
      <c r="F56" s="97" t="s">
        <v>113</v>
      </c>
      <c r="G56" s="98">
        <v>82</v>
      </c>
      <c r="H56" s="88">
        <v>327191</v>
      </c>
      <c r="I56" s="88">
        <v>318520</v>
      </c>
      <c r="J56" s="88">
        <f t="shared" si="0"/>
        <v>26118640</v>
      </c>
      <c r="K56" s="133">
        <f t="shared" si="1"/>
        <v>-8671</v>
      </c>
      <c r="L56" s="134">
        <f t="shared" si="2"/>
        <v>0.97349865980421224</v>
      </c>
      <c r="M56" s="184" t="str">
        <f t="shared" si="3"/>
        <v>OK</v>
      </c>
    </row>
    <row r="57" spans="1:13" ht="60.75" customHeight="1">
      <c r="A57" s="310" t="s">
        <v>168</v>
      </c>
      <c r="B57" s="310"/>
      <c r="C57" s="303" t="s">
        <v>169</v>
      </c>
      <c r="D57" s="303"/>
      <c r="E57" s="303"/>
      <c r="F57" s="97" t="s">
        <v>113</v>
      </c>
      <c r="G57" s="98">
        <v>90</v>
      </c>
      <c r="H57" s="88">
        <v>230677</v>
      </c>
      <c r="I57" s="88">
        <v>224564</v>
      </c>
      <c r="J57" s="88">
        <f t="shared" si="0"/>
        <v>20210760</v>
      </c>
      <c r="K57" s="133">
        <f t="shared" si="1"/>
        <v>-6113</v>
      </c>
      <c r="L57" s="134">
        <f t="shared" si="2"/>
        <v>0.97349974206357803</v>
      </c>
      <c r="M57" s="184" t="str">
        <f t="shared" si="3"/>
        <v>OK</v>
      </c>
    </row>
    <row r="58" spans="1:13" ht="60.75" customHeight="1">
      <c r="A58" s="310" t="s">
        <v>170</v>
      </c>
      <c r="B58" s="310"/>
      <c r="C58" s="303" t="s">
        <v>171</v>
      </c>
      <c r="D58" s="303"/>
      <c r="E58" s="303"/>
      <c r="F58" s="97" t="s">
        <v>113</v>
      </c>
      <c r="G58" s="98">
        <v>7</v>
      </c>
      <c r="H58" s="88">
        <v>196020</v>
      </c>
      <c r="I58" s="88">
        <v>190825</v>
      </c>
      <c r="J58" s="88">
        <f t="shared" si="0"/>
        <v>1335775</v>
      </c>
      <c r="K58" s="133">
        <f t="shared" si="1"/>
        <v>-5195</v>
      </c>
      <c r="L58" s="134">
        <f t="shared" si="2"/>
        <v>0.9734976022854811</v>
      </c>
      <c r="M58" s="184" t="str">
        <f t="shared" si="3"/>
        <v>OK</v>
      </c>
    </row>
    <row r="59" spans="1:13" ht="60.75" customHeight="1">
      <c r="A59" s="310" t="s">
        <v>172</v>
      </c>
      <c r="B59" s="310"/>
      <c r="C59" s="303" t="s">
        <v>173</v>
      </c>
      <c r="D59" s="303"/>
      <c r="E59" s="303"/>
      <c r="F59" s="97" t="s">
        <v>113</v>
      </c>
      <c r="G59" s="98">
        <v>22</v>
      </c>
      <c r="H59" s="88">
        <v>181406</v>
      </c>
      <c r="I59" s="88">
        <v>176599</v>
      </c>
      <c r="J59" s="88">
        <f t="shared" si="0"/>
        <v>3885178</v>
      </c>
      <c r="K59" s="133">
        <f t="shared" si="1"/>
        <v>-4807</v>
      </c>
      <c r="L59" s="134">
        <f t="shared" si="2"/>
        <v>0.97350142773667903</v>
      </c>
      <c r="M59" s="184" t="str">
        <f t="shared" si="3"/>
        <v>OK</v>
      </c>
    </row>
    <row r="60" spans="1:13" ht="60.75" customHeight="1">
      <c r="A60" s="310" t="s">
        <v>174</v>
      </c>
      <c r="B60" s="310"/>
      <c r="C60" s="303" t="s">
        <v>175</v>
      </c>
      <c r="D60" s="303"/>
      <c r="E60" s="303"/>
      <c r="F60" s="97" t="s">
        <v>113</v>
      </c>
      <c r="G60" s="98">
        <v>10</v>
      </c>
      <c r="H60" s="88">
        <v>200830</v>
      </c>
      <c r="I60" s="88">
        <v>195508</v>
      </c>
      <c r="J60" s="88">
        <f t="shared" si="0"/>
        <v>1955080</v>
      </c>
      <c r="K60" s="133">
        <f t="shared" si="1"/>
        <v>-5322</v>
      </c>
      <c r="L60" s="134">
        <f t="shared" si="2"/>
        <v>0.9734999751033212</v>
      </c>
      <c r="M60" s="184" t="str">
        <f t="shared" si="3"/>
        <v>OK</v>
      </c>
    </row>
    <row r="61" spans="1:13" ht="60.75" customHeight="1">
      <c r="A61" s="310" t="s">
        <v>176</v>
      </c>
      <c r="B61" s="310"/>
      <c r="C61" s="303" t="s">
        <v>177</v>
      </c>
      <c r="D61" s="303"/>
      <c r="E61" s="303"/>
      <c r="F61" s="97" t="s">
        <v>113</v>
      </c>
      <c r="G61" s="98">
        <v>43</v>
      </c>
      <c r="H61" s="88">
        <v>178332</v>
      </c>
      <c r="I61" s="88">
        <v>173606</v>
      </c>
      <c r="J61" s="88">
        <f t="shared" si="0"/>
        <v>7465058</v>
      </c>
      <c r="K61" s="133">
        <f t="shared" si="1"/>
        <v>-4726</v>
      </c>
      <c r="L61" s="134">
        <f t="shared" si="2"/>
        <v>0.97349886728125068</v>
      </c>
      <c r="M61" s="184" t="str">
        <f t="shared" si="3"/>
        <v>OK</v>
      </c>
    </row>
    <row r="62" spans="1:13" ht="60.75" customHeight="1">
      <c r="A62" s="310" t="s">
        <v>178</v>
      </c>
      <c r="B62" s="310"/>
      <c r="C62" s="303" t="s">
        <v>179</v>
      </c>
      <c r="D62" s="303"/>
      <c r="E62" s="303"/>
      <c r="F62" s="97" t="s">
        <v>180</v>
      </c>
      <c r="G62" s="98">
        <v>300</v>
      </c>
      <c r="H62" s="88">
        <v>16471</v>
      </c>
      <c r="I62" s="88">
        <v>16035</v>
      </c>
      <c r="J62" s="88">
        <f t="shared" si="0"/>
        <v>4810500</v>
      </c>
      <c r="K62" s="133">
        <f t="shared" si="1"/>
        <v>-436</v>
      </c>
      <c r="L62" s="134">
        <f t="shared" si="2"/>
        <v>0.97352923319774154</v>
      </c>
      <c r="M62" s="184" t="str">
        <f t="shared" si="3"/>
        <v>OK</v>
      </c>
    </row>
    <row r="63" spans="1:13" ht="60.75" customHeight="1">
      <c r="A63" s="310" t="s">
        <v>181</v>
      </c>
      <c r="B63" s="310"/>
      <c r="C63" s="303" t="s">
        <v>182</v>
      </c>
      <c r="D63" s="303"/>
      <c r="E63" s="303"/>
      <c r="F63" s="97" t="s">
        <v>95</v>
      </c>
      <c r="G63" s="98">
        <v>180</v>
      </c>
      <c r="H63" s="88">
        <v>159622</v>
      </c>
      <c r="I63" s="88">
        <v>155392</v>
      </c>
      <c r="J63" s="88">
        <f t="shared" si="0"/>
        <v>27970560</v>
      </c>
      <c r="K63" s="133">
        <f t="shared" si="1"/>
        <v>-4230</v>
      </c>
      <c r="L63" s="134">
        <f t="shared" si="2"/>
        <v>0.97349989349838995</v>
      </c>
      <c r="M63" s="184" t="str">
        <f t="shared" si="3"/>
        <v>OK</v>
      </c>
    </row>
    <row r="64" spans="1:13" ht="60.75" customHeight="1">
      <c r="A64" s="310" t="s">
        <v>183</v>
      </c>
      <c r="B64" s="310"/>
      <c r="C64" s="303" t="s">
        <v>184</v>
      </c>
      <c r="D64" s="303"/>
      <c r="E64" s="303"/>
      <c r="F64" s="97" t="s">
        <v>95</v>
      </c>
      <c r="G64" s="98">
        <v>220</v>
      </c>
      <c r="H64" s="88">
        <v>301400</v>
      </c>
      <c r="I64" s="88">
        <v>293413</v>
      </c>
      <c r="J64" s="88">
        <f t="shared" si="0"/>
        <v>64550860</v>
      </c>
      <c r="K64" s="133">
        <f t="shared" si="1"/>
        <v>-7987</v>
      </c>
      <c r="L64" s="134">
        <f t="shared" si="2"/>
        <v>0.97350033178500328</v>
      </c>
      <c r="M64" s="184" t="str">
        <f t="shared" si="3"/>
        <v>OK</v>
      </c>
    </row>
    <row r="65" spans="1:13" ht="60.75" customHeight="1">
      <c r="A65" s="310" t="s">
        <v>185</v>
      </c>
      <c r="B65" s="310"/>
      <c r="C65" s="303" t="s">
        <v>186</v>
      </c>
      <c r="D65" s="303"/>
      <c r="E65" s="303"/>
      <c r="F65" s="97" t="s">
        <v>113</v>
      </c>
      <c r="G65" s="98">
        <v>2</v>
      </c>
      <c r="H65" s="88">
        <v>3554535</v>
      </c>
      <c r="I65" s="88">
        <v>3460340</v>
      </c>
      <c r="J65" s="88">
        <f t="shared" si="0"/>
        <v>6920680</v>
      </c>
      <c r="K65" s="133">
        <f t="shared" si="1"/>
        <v>-94195</v>
      </c>
      <c r="L65" s="134">
        <f t="shared" si="2"/>
        <v>0.9735000499362082</v>
      </c>
      <c r="M65" s="184" t="str">
        <f t="shared" si="3"/>
        <v>OK</v>
      </c>
    </row>
    <row r="66" spans="1:13" ht="60.75" customHeight="1">
      <c r="A66" s="310" t="s">
        <v>187</v>
      </c>
      <c r="B66" s="310"/>
      <c r="C66" s="303" t="s">
        <v>188</v>
      </c>
      <c r="D66" s="303"/>
      <c r="E66" s="303"/>
      <c r="F66" s="97" t="s">
        <v>98</v>
      </c>
      <c r="G66" s="98">
        <v>300</v>
      </c>
      <c r="H66" s="88">
        <v>853000</v>
      </c>
      <c r="I66" s="88">
        <v>830396</v>
      </c>
      <c r="J66" s="88">
        <f t="shared" si="0"/>
        <v>249118800</v>
      </c>
      <c r="K66" s="133">
        <f t="shared" si="1"/>
        <v>-22604</v>
      </c>
      <c r="L66" s="134">
        <f t="shared" si="2"/>
        <v>0.97350058616647128</v>
      </c>
      <c r="M66" s="184" t="str">
        <f t="shared" si="3"/>
        <v>OK</v>
      </c>
    </row>
    <row r="67" spans="1:13" ht="60.75" customHeight="1">
      <c r="A67" s="310" t="s">
        <v>189</v>
      </c>
      <c r="B67" s="310"/>
      <c r="C67" s="303" t="s">
        <v>190</v>
      </c>
      <c r="D67" s="303"/>
      <c r="E67" s="303"/>
      <c r="F67" s="97" t="s">
        <v>98</v>
      </c>
      <c r="G67" s="98">
        <v>30</v>
      </c>
      <c r="H67" s="88">
        <v>879613</v>
      </c>
      <c r="I67" s="88">
        <v>856303</v>
      </c>
      <c r="J67" s="88">
        <f t="shared" si="0"/>
        <v>25689090</v>
      </c>
      <c r="K67" s="133">
        <f t="shared" si="1"/>
        <v>-23310</v>
      </c>
      <c r="L67" s="134">
        <f t="shared" si="2"/>
        <v>0.97349970953135068</v>
      </c>
      <c r="M67" s="184" t="str">
        <f t="shared" si="3"/>
        <v>OK</v>
      </c>
    </row>
    <row r="68" spans="1:13" ht="60.75" customHeight="1">
      <c r="A68" s="310" t="s">
        <v>191</v>
      </c>
      <c r="B68" s="310"/>
      <c r="C68" s="303" t="s">
        <v>192</v>
      </c>
      <c r="D68" s="303"/>
      <c r="E68" s="303"/>
      <c r="F68" s="97" t="s">
        <v>95</v>
      </c>
      <c r="G68" s="98">
        <v>60</v>
      </c>
      <c r="H68" s="88">
        <v>87418</v>
      </c>
      <c r="I68" s="88">
        <v>85101</v>
      </c>
      <c r="J68" s="88">
        <f t="shared" si="0"/>
        <v>5106060</v>
      </c>
      <c r="K68" s="133">
        <f t="shared" si="1"/>
        <v>-2317</v>
      </c>
      <c r="L68" s="134">
        <f t="shared" si="2"/>
        <v>0.97349516117961976</v>
      </c>
      <c r="M68" s="184" t="str">
        <f t="shared" si="3"/>
        <v>OK</v>
      </c>
    </row>
    <row r="69" spans="1:13" ht="60.75" customHeight="1">
      <c r="A69" s="310" t="s">
        <v>193</v>
      </c>
      <c r="B69" s="310"/>
      <c r="C69" s="303" t="s">
        <v>194</v>
      </c>
      <c r="D69" s="303"/>
      <c r="E69" s="303"/>
      <c r="F69" s="97" t="s">
        <v>113</v>
      </c>
      <c r="G69" s="98">
        <v>41</v>
      </c>
      <c r="H69" s="88">
        <v>142900</v>
      </c>
      <c r="I69" s="88">
        <v>139113</v>
      </c>
      <c r="J69" s="88">
        <f t="shared" si="0"/>
        <v>5703633</v>
      </c>
      <c r="K69" s="133">
        <f t="shared" si="1"/>
        <v>-3787</v>
      </c>
      <c r="L69" s="134">
        <f t="shared" si="2"/>
        <v>0.97349895031490552</v>
      </c>
      <c r="M69" s="184" t="str">
        <f t="shared" si="3"/>
        <v>OK</v>
      </c>
    </row>
    <row r="70" spans="1:13" ht="60.75" customHeight="1">
      <c r="A70" s="310" t="s">
        <v>195</v>
      </c>
      <c r="B70" s="310"/>
      <c r="C70" s="303" t="s">
        <v>196</v>
      </c>
      <c r="D70" s="303"/>
      <c r="E70" s="303"/>
      <c r="F70" s="97" t="s">
        <v>113</v>
      </c>
      <c r="G70" s="98">
        <v>1</v>
      </c>
      <c r="H70" s="88">
        <v>1176585</v>
      </c>
      <c r="I70" s="88">
        <v>1145405</v>
      </c>
      <c r="J70" s="88">
        <f t="shared" si="0"/>
        <v>1145405</v>
      </c>
      <c r="K70" s="133">
        <f t="shared" si="1"/>
        <v>-31180</v>
      </c>
      <c r="L70" s="134">
        <f t="shared" si="2"/>
        <v>0.97349957716612057</v>
      </c>
      <c r="M70" s="184" t="str">
        <f t="shared" si="3"/>
        <v>OK</v>
      </c>
    </row>
    <row r="71" spans="1:13" ht="60.75" customHeight="1">
      <c r="A71" s="310" t="s">
        <v>197</v>
      </c>
      <c r="B71" s="310"/>
      <c r="C71" s="303" t="s">
        <v>198</v>
      </c>
      <c r="D71" s="303"/>
      <c r="E71" s="303"/>
      <c r="F71" s="97" t="s">
        <v>98</v>
      </c>
      <c r="G71" s="98">
        <v>1000</v>
      </c>
      <c r="H71" s="88">
        <v>38208</v>
      </c>
      <c r="I71" s="88">
        <v>37195</v>
      </c>
      <c r="J71" s="88">
        <f t="shared" si="0"/>
        <v>37195000</v>
      </c>
      <c r="K71" s="133">
        <f t="shared" si="1"/>
        <v>-1013</v>
      </c>
      <c r="L71" s="134">
        <f t="shared" si="2"/>
        <v>0.97348722780569519</v>
      </c>
      <c r="M71" s="184" t="str">
        <f t="shared" si="3"/>
        <v>OK</v>
      </c>
    </row>
    <row r="72" spans="1:13" ht="60.75" customHeight="1">
      <c r="A72" s="310" t="s">
        <v>199</v>
      </c>
      <c r="B72" s="310"/>
      <c r="C72" s="303" t="s">
        <v>200</v>
      </c>
      <c r="D72" s="303"/>
      <c r="E72" s="303"/>
      <c r="F72" s="97" t="s">
        <v>98</v>
      </c>
      <c r="G72" s="98">
        <v>230.61</v>
      </c>
      <c r="H72" s="88">
        <v>41123</v>
      </c>
      <c r="I72" s="88">
        <v>40033</v>
      </c>
      <c r="J72" s="88">
        <f t="shared" si="0"/>
        <v>9232010</v>
      </c>
      <c r="K72" s="133">
        <f t="shared" si="1"/>
        <v>-1090</v>
      </c>
      <c r="L72" s="134">
        <f t="shared" si="2"/>
        <v>0.97349415169126763</v>
      </c>
      <c r="M72" s="184" t="str">
        <f t="shared" si="3"/>
        <v>OK</v>
      </c>
    </row>
    <row r="73" spans="1:13" ht="60.75" customHeight="1">
      <c r="A73" s="311" t="s">
        <v>201</v>
      </c>
      <c r="B73" s="312"/>
      <c r="C73" s="312"/>
      <c r="D73" s="312"/>
      <c r="E73" s="312"/>
      <c r="F73" s="312"/>
      <c r="G73" s="312"/>
      <c r="H73" s="312"/>
      <c r="I73" s="313"/>
      <c r="J73" s="99">
        <f>SUM(J40:J72)</f>
        <v>1212934890</v>
      </c>
      <c r="K73" s="133">
        <f t="shared" si="1"/>
        <v>0</v>
      </c>
      <c r="L73" s="134" t="e">
        <f t="shared" si="2"/>
        <v>#DIV/0!</v>
      </c>
      <c r="M73" s="184" t="str">
        <f t="shared" si="3"/>
        <v xml:space="preserve"> </v>
      </c>
    </row>
    <row r="74" spans="1:13" ht="60.75" customHeight="1">
      <c r="A74" s="302" t="s">
        <v>202</v>
      </c>
      <c r="B74" s="302"/>
      <c r="C74" s="303" t="s">
        <v>203</v>
      </c>
      <c r="D74" s="303"/>
      <c r="E74" s="303"/>
      <c r="F74" s="97" t="s">
        <v>98</v>
      </c>
      <c r="G74" s="98">
        <v>450</v>
      </c>
      <c r="H74" s="88">
        <v>194913</v>
      </c>
      <c r="I74" s="88">
        <v>189748</v>
      </c>
      <c r="J74" s="88">
        <f t="shared" ref="J74:J130" si="4">+ROUND(I74*G74,0)</f>
        <v>85386600</v>
      </c>
      <c r="K74" s="133">
        <f t="shared" si="1"/>
        <v>-5165</v>
      </c>
      <c r="L74" s="134">
        <f t="shared" si="2"/>
        <v>0.97350099788110589</v>
      </c>
      <c r="M74" s="184" t="str">
        <f t="shared" si="3"/>
        <v>OK</v>
      </c>
    </row>
    <row r="75" spans="1:13" ht="60.75" customHeight="1">
      <c r="A75" s="302" t="s">
        <v>197</v>
      </c>
      <c r="B75" s="302"/>
      <c r="C75" s="303" t="s">
        <v>204</v>
      </c>
      <c r="D75" s="303"/>
      <c r="E75" s="303"/>
      <c r="F75" s="97" t="s">
        <v>113</v>
      </c>
      <c r="G75" s="98">
        <v>2</v>
      </c>
      <c r="H75" s="88">
        <v>3334200</v>
      </c>
      <c r="I75" s="88">
        <v>3245844</v>
      </c>
      <c r="J75" s="88">
        <f t="shared" si="4"/>
        <v>6491688</v>
      </c>
      <c r="K75" s="133">
        <f t="shared" si="1"/>
        <v>-88356</v>
      </c>
      <c r="L75" s="134">
        <f t="shared" si="2"/>
        <v>0.97350008997660609</v>
      </c>
      <c r="M75" s="184" t="str">
        <f t="shared" si="3"/>
        <v>OK</v>
      </c>
    </row>
    <row r="76" spans="1:13" ht="60.75" customHeight="1">
      <c r="A76" s="302" t="s">
        <v>199</v>
      </c>
      <c r="B76" s="302"/>
      <c r="C76" s="303" t="s">
        <v>205</v>
      </c>
      <c r="D76" s="303"/>
      <c r="E76" s="303"/>
      <c r="F76" s="97" t="s">
        <v>113</v>
      </c>
      <c r="G76" s="98">
        <v>12</v>
      </c>
      <c r="H76" s="88">
        <v>858374</v>
      </c>
      <c r="I76" s="88">
        <v>835627</v>
      </c>
      <c r="J76" s="88">
        <f t="shared" si="4"/>
        <v>10027524</v>
      </c>
      <c r="K76" s="133">
        <f t="shared" si="1"/>
        <v>-22747</v>
      </c>
      <c r="L76" s="134">
        <f t="shared" si="2"/>
        <v>0.97349989631559208</v>
      </c>
      <c r="M76" s="184" t="str">
        <f t="shared" si="3"/>
        <v>OK</v>
      </c>
    </row>
    <row r="77" spans="1:13" ht="60.75" customHeight="1">
      <c r="A77" s="302" t="s">
        <v>206</v>
      </c>
      <c r="B77" s="302"/>
      <c r="C77" s="303" t="s">
        <v>207</v>
      </c>
      <c r="D77" s="303"/>
      <c r="E77" s="303"/>
      <c r="F77" s="97" t="s">
        <v>98</v>
      </c>
      <c r="G77" s="98">
        <v>222.23000000000002</v>
      </c>
      <c r="H77" s="88">
        <v>34663</v>
      </c>
      <c r="I77" s="88">
        <v>33744</v>
      </c>
      <c r="J77" s="88">
        <f t="shared" si="4"/>
        <v>7498929</v>
      </c>
      <c r="K77" s="133">
        <f t="shared" si="1"/>
        <v>-919</v>
      </c>
      <c r="L77" s="134">
        <f t="shared" si="2"/>
        <v>0.97348758041715955</v>
      </c>
      <c r="M77" s="184" t="str">
        <f t="shared" si="3"/>
        <v>OK</v>
      </c>
    </row>
    <row r="78" spans="1:13" ht="60.75" customHeight="1">
      <c r="A78" s="307" t="s">
        <v>208</v>
      </c>
      <c r="B78" s="308"/>
      <c r="C78" s="308"/>
      <c r="D78" s="308"/>
      <c r="E78" s="308"/>
      <c r="F78" s="308"/>
      <c r="G78" s="308"/>
      <c r="H78" s="308"/>
      <c r="I78" s="309"/>
      <c r="J78" s="100">
        <f>SUM(J74:J77)</f>
        <v>109404741</v>
      </c>
      <c r="K78" s="133">
        <f t="shared" si="1"/>
        <v>0</v>
      </c>
      <c r="L78" s="134" t="e">
        <f t="shared" si="2"/>
        <v>#DIV/0!</v>
      </c>
      <c r="M78" s="184" t="str">
        <f t="shared" si="3"/>
        <v xml:space="preserve"> </v>
      </c>
    </row>
    <row r="79" spans="1:13" ht="60.75" customHeight="1">
      <c r="A79" s="302" t="s">
        <v>93</v>
      </c>
      <c r="B79" s="302"/>
      <c r="C79" s="303" t="s">
        <v>143</v>
      </c>
      <c r="D79" s="303"/>
      <c r="E79" s="303"/>
      <c r="F79" s="97" t="s">
        <v>98</v>
      </c>
      <c r="G79" s="98">
        <v>161.58000000000001</v>
      </c>
      <c r="H79" s="88">
        <v>49033</v>
      </c>
      <c r="I79" s="88">
        <v>47734</v>
      </c>
      <c r="J79" s="88">
        <f t="shared" si="4"/>
        <v>7712860</v>
      </c>
      <c r="K79" s="133">
        <f t="shared" si="1"/>
        <v>-1299</v>
      </c>
      <c r="L79" s="134">
        <f t="shared" si="2"/>
        <v>0.97350763771337667</v>
      </c>
      <c r="M79" s="184" t="str">
        <f t="shared" si="3"/>
        <v>OK</v>
      </c>
    </row>
    <row r="80" spans="1:13" ht="60.75" customHeight="1">
      <c r="A80" s="302" t="s">
        <v>96</v>
      </c>
      <c r="B80" s="302"/>
      <c r="C80" s="303" t="s">
        <v>144</v>
      </c>
      <c r="D80" s="303"/>
      <c r="E80" s="303"/>
      <c r="F80" s="97" t="s">
        <v>98</v>
      </c>
      <c r="G80" s="98">
        <v>246.96</v>
      </c>
      <c r="H80" s="88">
        <v>97950</v>
      </c>
      <c r="I80" s="88">
        <v>95354</v>
      </c>
      <c r="J80" s="88">
        <f t="shared" si="4"/>
        <v>23548624</v>
      </c>
      <c r="K80" s="133">
        <f t="shared" si="1"/>
        <v>-2596</v>
      </c>
      <c r="L80" s="134">
        <f t="shared" si="2"/>
        <v>0.97349668198060235</v>
      </c>
      <c r="M80" s="184" t="str">
        <f t="shared" si="3"/>
        <v>OK</v>
      </c>
    </row>
    <row r="81" spans="1:13" ht="60.75" customHeight="1">
      <c r="A81" s="302" t="s">
        <v>145</v>
      </c>
      <c r="B81" s="302"/>
      <c r="C81" s="303" t="s">
        <v>209</v>
      </c>
      <c r="D81" s="303"/>
      <c r="E81" s="303"/>
      <c r="F81" s="97" t="s">
        <v>98</v>
      </c>
      <c r="G81" s="98">
        <v>888.84</v>
      </c>
      <c r="H81" s="88">
        <v>36183</v>
      </c>
      <c r="I81" s="88">
        <v>35224</v>
      </c>
      <c r="J81" s="88">
        <f t="shared" si="4"/>
        <v>31308500</v>
      </c>
      <c r="K81" s="133">
        <f t="shared" ref="K81:K130" si="5">I81-H81</f>
        <v>-959</v>
      </c>
      <c r="L81" s="134">
        <f t="shared" ref="L81:L130" si="6">I81/H81</f>
        <v>0.97349584058812144</v>
      </c>
      <c r="M81" s="184" t="str">
        <f t="shared" ref="M81:M130" si="7">+IF(I81&lt;H81,"OK",IF(I81=0," "))</f>
        <v>OK</v>
      </c>
    </row>
    <row r="82" spans="1:13" ht="60.75" customHeight="1">
      <c r="A82" s="302" t="s">
        <v>146</v>
      </c>
      <c r="B82" s="302"/>
      <c r="C82" s="303" t="s">
        <v>147</v>
      </c>
      <c r="D82" s="303"/>
      <c r="E82" s="303"/>
      <c r="F82" s="97" t="s">
        <v>148</v>
      </c>
      <c r="G82" s="98">
        <v>1</v>
      </c>
      <c r="H82" s="88">
        <v>6960160</v>
      </c>
      <c r="I82" s="88">
        <v>6775716</v>
      </c>
      <c r="J82" s="88">
        <f t="shared" si="4"/>
        <v>6775716</v>
      </c>
      <c r="K82" s="133">
        <f t="shared" si="5"/>
        <v>-184444</v>
      </c>
      <c r="L82" s="134">
        <f t="shared" si="6"/>
        <v>0.97350003448196598</v>
      </c>
      <c r="M82" s="184" t="str">
        <f t="shared" si="7"/>
        <v>OK</v>
      </c>
    </row>
    <row r="83" spans="1:13" ht="60.75" customHeight="1">
      <c r="A83" s="302" t="s">
        <v>149</v>
      </c>
      <c r="B83" s="302"/>
      <c r="C83" s="303" t="s">
        <v>210</v>
      </c>
      <c r="D83" s="303"/>
      <c r="E83" s="303"/>
      <c r="F83" s="97" t="s">
        <v>113</v>
      </c>
      <c r="G83" s="98">
        <v>150</v>
      </c>
      <c r="H83" s="88">
        <v>96339</v>
      </c>
      <c r="I83" s="88">
        <v>93786</v>
      </c>
      <c r="J83" s="88">
        <f t="shared" si="4"/>
        <v>14067900</v>
      </c>
      <c r="K83" s="133">
        <f t="shared" si="5"/>
        <v>-2553</v>
      </c>
      <c r="L83" s="134">
        <f t="shared" si="6"/>
        <v>0.9734998287297979</v>
      </c>
      <c r="M83" s="184" t="str">
        <f t="shared" si="7"/>
        <v>OK</v>
      </c>
    </row>
    <row r="84" spans="1:13" ht="60.75" customHeight="1">
      <c r="A84" s="302" t="s">
        <v>151</v>
      </c>
      <c r="B84" s="302"/>
      <c r="C84" s="303" t="s">
        <v>211</v>
      </c>
      <c r="D84" s="303"/>
      <c r="E84" s="303"/>
      <c r="F84" s="97" t="s">
        <v>98</v>
      </c>
      <c r="G84" s="98">
        <v>37.5</v>
      </c>
      <c r="H84" s="88">
        <v>95199</v>
      </c>
      <c r="I84" s="88">
        <v>92676</v>
      </c>
      <c r="J84" s="88">
        <f t="shared" si="4"/>
        <v>3475350</v>
      </c>
      <c r="K84" s="133">
        <f t="shared" si="5"/>
        <v>-2523</v>
      </c>
      <c r="L84" s="134">
        <f t="shared" si="6"/>
        <v>0.97349762077332747</v>
      </c>
      <c r="M84" s="184" t="str">
        <f t="shared" si="7"/>
        <v>OK</v>
      </c>
    </row>
    <row r="85" spans="1:13" ht="60.75" customHeight="1">
      <c r="A85" s="302" t="s">
        <v>99</v>
      </c>
      <c r="B85" s="302"/>
      <c r="C85" s="303" t="s">
        <v>153</v>
      </c>
      <c r="D85" s="303"/>
      <c r="E85" s="303"/>
      <c r="F85" s="97" t="s">
        <v>95</v>
      </c>
      <c r="G85" s="98">
        <v>121</v>
      </c>
      <c r="H85" s="88">
        <v>203925</v>
      </c>
      <c r="I85" s="88">
        <v>198521</v>
      </c>
      <c r="J85" s="88">
        <f t="shared" si="4"/>
        <v>24021041</v>
      </c>
      <c r="K85" s="133">
        <f t="shared" si="5"/>
        <v>-5404</v>
      </c>
      <c r="L85" s="134">
        <f t="shared" si="6"/>
        <v>0.97350006129704547</v>
      </c>
      <c r="M85" s="184" t="str">
        <f t="shared" si="7"/>
        <v>OK</v>
      </c>
    </row>
    <row r="86" spans="1:13" ht="60.75" customHeight="1">
      <c r="A86" s="302" t="s">
        <v>101</v>
      </c>
      <c r="B86" s="302"/>
      <c r="C86" s="303" t="s">
        <v>154</v>
      </c>
      <c r="D86" s="303"/>
      <c r="E86" s="303"/>
      <c r="F86" s="97" t="s">
        <v>95</v>
      </c>
      <c r="G86" s="98">
        <v>145</v>
      </c>
      <c r="H86" s="88">
        <v>186288</v>
      </c>
      <c r="I86" s="88">
        <v>181351</v>
      </c>
      <c r="J86" s="88">
        <f t="shared" si="4"/>
        <v>26295895</v>
      </c>
      <c r="K86" s="133">
        <f t="shared" si="5"/>
        <v>-4937</v>
      </c>
      <c r="L86" s="134">
        <f t="shared" si="6"/>
        <v>0.97349802456411583</v>
      </c>
      <c r="M86" s="184" t="str">
        <f t="shared" si="7"/>
        <v>OK</v>
      </c>
    </row>
    <row r="87" spans="1:13" ht="60.75" customHeight="1">
      <c r="A87" s="302" t="s">
        <v>103</v>
      </c>
      <c r="B87" s="302"/>
      <c r="C87" s="303" t="s">
        <v>212</v>
      </c>
      <c r="D87" s="303"/>
      <c r="E87" s="303"/>
      <c r="F87" s="97" t="s">
        <v>98</v>
      </c>
      <c r="G87" s="98">
        <v>40</v>
      </c>
      <c r="H87" s="88">
        <v>240790</v>
      </c>
      <c r="I87" s="88">
        <v>234409</v>
      </c>
      <c r="J87" s="88">
        <f t="shared" si="4"/>
        <v>9376360</v>
      </c>
      <c r="K87" s="133">
        <f t="shared" si="5"/>
        <v>-6381</v>
      </c>
      <c r="L87" s="134">
        <f t="shared" si="6"/>
        <v>0.97349973005523482</v>
      </c>
      <c r="M87" s="184" t="str">
        <f t="shared" si="7"/>
        <v>OK</v>
      </c>
    </row>
    <row r="88" spans="1:13" ht="60.75" customHeight="1">
      <c r="A88" s="302" t="s">
        <v>116</v>
      </c>
      <c r="B88" s="302"/>
      <c r="C88" s="303" t="s">
        <v>213</v>
      </c>
      <c r="D88" s="303"/>
      <c r="E88" s="303"/>
      <c r="F88" s="97" t="s">
        <v>98</v>
      </c>
      <c r="G88" s="98">
        <v>5</v>
      </c>
      <c r="H88" s="88">
        <v>161174</v>
      </c>
      <c r="I88" s="88">
        <v>156903</v>
      </c>
      <c r="J88" s="88">
        <f t="shared" si="4"/>
        <v>784515</v>
      </c>
      <c r="K88" s="133">
        <f t="shared" si="5"/>
        <v>-4271</v>
      </c>
      <c r="L88" s="134">
        <f t="shared" si="6"/>
        <v>0.97350068869668804</v>
      </c>
      <c r="M88" s="184" t="str">
        <f t="shared" si="7"/>
        <v>OK</v>
      </c>
    </row>
    <row r="89" spans="1:13" ht="60.75" customHeight="1">
      <c r="A89" s="302" t="s">
        <v>124</v>
      </c>
      <c r="B89" s="302"/>
      <c r="C89" s="303" t="s">
        <v>214</v>
      </c>
      <c r="D89" s="303"/>
      <c r="E89" s="303"/>
      <c r="F89" s="97" t="s">
        <v>98</v>
      </c>
      <c r="G89" s="98">
        <v>888.84</v>
      </c>
      <c r="H89" s="88">
        <v>116086</v>
      </c>
      <c r="I89" s="88">
        <v>113010</v>
      </c>
      <c r="J89" s="88">
        <f t="shared" si="4"/>
        <v>100447808</v>
      </c>
      <c r="K89" s="133">
        <f t="shared" si="5"/>
        <v>-3076</v>
      </c>
      <c r="L89" s="134">
        <f t="shared" si="6"/>
        <v>0.97350240339058969</v>
      </c>
      <c r="M89" s="184" t="str">
        <f t="shared" si="7"/>
        <v>OK</v>
      </c>
    </row>
    <row r="90" spans="1:13" ht="60.75" customHeight="1">
      <c r="A90" s="302" t="s">
        <v>136</v>
      </c>
      <c r="B90" s="302"/>
      <c r="C90" s="303" t="s">
        <v>215</v>
      </c>
      <c r="D90" s="303"/>
      <c r="E90" s="303"/>
      <c r="F90" s="97" t="s">
        <v>98</v>
      </c>
      <c r="G90" s="98">
        <v>888.84</v>
      </c>
      <c r="H90" s="88">
        <v>194913</v>
      </c>
      <c r="I90" s="88">
        <v>189748</v>
      </c>
      <c r="J90" s="88">
        <f t="shared" si="4"/>
        <v>168655612</v>
      </c>
      <c r="K90" s="133">
        <f t="shared" si="5"/>
        <v>-5165</v>
      </c>
      <c r="L90" s="134">
        <f t="shared" si="6"/>
        <v>0.97350099788110589</v>
      </c>
      <c r="M90" s="184" t="str">
        <f t="shared" si="7"/>
        <v>OK</v>
      </c>
    </row>
    <row r="91" spans="1:13" ht="60.75" customHeight="1">
      <c r="A91" s="302" t="s">
        <v>140</v>
      </c>
      <c r="B91" s="302"/>
      <c r="C91" s="303" t="s">
        <v>159</v>
      </c>
      <c r="D91" s="303"/>
      <c r="E91" s="303"/>
      <c r="F91" s="97" t="s">
        <v>95</v>
      </c>
      <c r="G91" s="98">
        <v>1800</v>
      </c>
      <c r="H91" s="88">
        <v>20382</v>
      </c>
      <c r="I91" s="88">
        <v>19842</v>
      </c>
      <c r="J91" s="88">
        <f t="shared" si="4"/>
        <v>35715600</v>
      </c>
      <c r="K91" s="133">
        <f t="shared" si="5"/>
        <v>-540</v>
      </c>
      <c r="L91" s="134">
        <f t="shared" si="6"/>
        <v>0.97350603473653219</v>
      </c>
      <c r="M91" s="184" t="str">
        <f t="shared" si="7"/>
        <v>OK</v>
      </c>
    </row>
    <row r="92" spans="1:13" ht="60.75" customHeight="1">
      <c r="A92" s="302" t="s">
        <v>160</v>
      </c>
      <c r="B92" s="302"/>
      <c r="C92" s="303" t="s">
        <v>161</v>
      </c>
      <c r="D92" s="303"/>
      <c r="E92" s="303"/>
      <c r="F92" s="97" t="s">
        <v>95</v>
      </c>
      <c r="G92" s="98">
        <v>50</v>
      </c>
      <c r="H92" s="88">
        <v>226317</v>
      </c>
      <c r="I92" s="88">
        <v>220320</v>
      </c>
      <c r="J92" s="88">
        <f t="shared" si="4"/>
        <v>11016000</v>
      </c>
      <c r="K92" s="133">
        <f t="shared" si="5"/>
        <v>-5997</v>
      </c>
      <c r="L92" s="134">
        <f t="shared" si="6"/>
        <v>0.97350176964169721</v>
      </c>
      <c r="M92" s="184" t="str">
        <f t="shared" si="7"/>
        <v>OK</v>
      </c>
    </row>
    <row r="93" spans="1:13" ht="60.75" customHeight="1">
      <c r="A93" s="302" t="s">
        <v>162</v>
      </c>
      <c r="B93" s="302"/>
      <c r="C93" s="303" t="s">
        <v>216</v>
      </c>
      <c r="D93" s="303"/>
      <c r="E93" s="303"/>
      <c r="F93" s="97" t="s">
        <v>113</v>
      </c>
      <c r="G93" s="98">
        <v>180</v>
      </c>
      <c r="H93" s="88">
        <v>151650</v>
      </c>
      <c r="I93" s="88">
        <v>147631</v>
      </c>
      <c r="J93" s="88">
        <f t="shared" si="4"/>
        <v>26573580</v>
      </c>
      <c r="K93" s="133">
        <f t="shared" si="5"/>
        <v>-4019</v>
      </c>
      <c r="L93" s="134">
        <f t="shared" si="6"/>
        <v>0.97349818661391363</v>
      </c>
      <c r="M93" s="184" t="str">
        <f t="shared" si="7"/>
        <v>OK</v>
      </c>
    </row>
    <row r="94" spans="1:13" ht="60.75" customHeight="1">
      <c r="A94" s="302" t="s">
        <v>164</v>
      </c>
      <c r="B94" s="302"/>
      <c r="C94" s="303" t="s">
        <v>217</v>
      </c>
      <c r="D94" s="303"/>
      <c r="E94" s="303"/>
      <c r="F94" s="97" t="s">
        <v>113</v>
      </c>
      <c r="G94" s="98">
        <v>60</v>
      </c>
      <c r="H94" s="88">
        <v>170847</v>
      </c>
      <c r="I94" s="88">
        <v>166320</v>
      </c>
      <c r="J94" s="88">
        <f t="shared" si="4"/>
        <v>9979200</v>
      </c>
      <c r="K94" s="133">
        <f t="shared" si="5"/>
        <v>-4527</v>
      </c>
      <c r="L94" s="134">
        <f t="shared" si="6"/>
        <v>0.97350260759627039</v>
      </c>
      <c r="M94" s="184" t="str">
        <f t="shared" si="7"/>
        <v>OK</v>
      </c>
    </row>
    <row r="95" spans="1:13" ht="60.75" customHeight="1">
      <c r="A95" s="302" t="s">
        <v>166</v>
      </c>
      <c r="B95" s="302"/>
      <c r="C95" s="303" t="s">
        <v>218</v>
      </c>
      <c r="D95" s="303"/>
      <c r="E95" s="303"/>
      <c r="F95" s="97" t="s">
        <v>113</v>
      </c>
      <c r="G95" s="98">
        <v>42</v>
      </c>
      <c r="H95" s="88">
        <v>308438</v>
      </c>
      <c r="I95" s="88">
        <v>300264</v>
      </c>
      <c r="J95" s="88">
        <f t="shared" si="4"/>
        <v>12611088</v>
      </c>
      <c r="K95" s="133">
        <f t="shared" si="5"/>
        <v>-8174</v>
      </c>
      <c r="L95" s="134">
        <f t="shared" si="6"/>
        <v>0.97349872583793173</v>
      </c>
      <c r="M95" s="184" t="str">
        <f t="shared" si="7"/>
        <v>OK</v>
      </c>
    </row>
    <row r="96" spans="1:13" ht="60.75" customHeight="1">
      <c r="A96" s="302" t="s">
        <v>168</v>
      </c>
      <c r="B96" s="302"/>
      <c r="C96" s="303" t="s">
        <v>219</v>
      </c>
      <c r="D96" s="303"/>
      <c r="E96" s="303"/>
      <c r="F96" s="97" t="s">
        <v>113</v>
      </c>
      <c r="G96" s="98">
        <v>88</v>
      </c>
      <c r="H96" s="88">
        <v>106167</v>
      </c>
      <c r="I96" s="88">
        <v>103354</v>
      </c>
      <c r="J96" s="88">
        <f t="shared" si="4"/>
        <v>9095152</v>
      </c>
      <c r="K96" s="133">
        <f t="shared" si="5"/>
        <v>-2813</v>
      </c>
      <c r="L96" s="134">
        <f t="shared" si="6"/>
        <v>0.97350400783671009</v>
      </c>
      <c r="M96" s="184" t="str">
        <f t="shared" si="7"/>
        <v>OK</v>
      </c>
    </row>
    <row r="97" spans="1:13" ht="60.75" customHeight="1">
      <c r="A97" s="302" t="s">
        <v>220</v>
      </c>
      <c r="B97" s="302"/>
      <c r="C97" s="303" t="s">
        <v>169</v>
      </c>
      <c r="D97" s="303"/>
      <c r="E97" s="303"/>
      <c r="F97" s="97" t="s">
        <v>113</v>
      </c>
      <c r="G97" s="98">
        <v>22</v>
      </c>
      <c r="H97" s="88">
        <v>215408</v>
      </c>
      <c r="I97" s="88">
        <v>209700</v>
      </c>
      <c r="J97" s="88">
        <f t="shared" si="4"/>
        <v>4613400</v>
      </c>
      <c r="K97" s="133">
        <f t="shared" si="5"/>
        <v>-5708</v>
      </c>
      <c r="L97" s="134">
        <f t="shared" si="6"/>
        <v>0.97350144841417219</v>
      </c>
      <c r="M97" s="184" t="str">
        <f t="shared" si="7"/>
        <v>OK</v>
      </c>
    </row>
    <row r="98" spans="1:13" ht="60.75" customHeight="1">
      <c r="A98" s="302" t="s">
        <v>172</v>
      </c>
      <c r="B98" s="302"/>
      <c r="C98" s="303" t="s">
        <v>173</v>
      </c>
      <c r="D98" s="303"/>
      <c r="E98" s="303"/>
      <c r="F98" s="97" t="s">
        <v>113</v>
      </c>
      <c r="G98" s="98">
        <v>14</v>
      </c>
      <c r="H98" s="88">
        <v>226550</v>
      </c>
      <c r="I98" s="88">
        <v>220546</v>
      </c>
      <c r="J98" s="88">
        <f t="shared" si="4"/>
        <v>3087644</v>
      </c>
      <c r="K98" s="133">
        <f t="shared" si="5"/>
        <v>-6004</v>
      </c>
      <c r="L98" s="134">
        <f t="shared" si="6"/>
        <v>0.97349812403442948</v>
      </c>
      <c r="M98" s="184" t="str">
        <f t="shared" si="7"/>
        <v>OK</v>
      </c>
    </row>
    <row r="99" spans="1:13" ht="60.75" customHeight="1">
      <c r="A99" s="302" t="s">
        <v>174</v>
      </c>
      <c r="B99" s="302"/>
      <c r="C99" s="303" t="s">
        <v>221</v>
      </c>
      <c r="D99" s="303"/>
      <c r="E99" s="303"/>
      <c r="F99" s="97" t="s">
        <v>113</v>
      </c>
      <c r="G99" s="98">
        <v>11</v>
      </c>
      <c r="H99" s="88">
        <v>203875</v>
      </c>
      <c r="I99" s="88">
        <v>198472</v>
      </c>
      <c r="J99" s="88">
        <f t="shared" si="4"/>
        <v>2183192</v>
      </c>
      <c r="K99" s="133">
        <f t="shared" si="5"/>
        <v>-5403</v>
      </c>
      <c r="L99" s="134">
        <f t="shared" si="6"/>
        <v>0.97349846719803801</v>
      </c>
      <c r="M99" s="184" t="str">
        <f t="shared" si="7"/>
        <v>OK</v>
      </c>
    </row>
    <row r="100" spans="1:13" ht="60.75" customHeight="1">
      <c r="A100" s="302" t="s">
        <v>176</v>
      </c>
      <c r="B100" s="302"/>
      <c r="C100" s="303" t="s">
        <v>222</v>
      </c>
      <c r="D100" s="303"/>
      <c r="E100" s="303"/>
      <c r="F100" s="97" t="s">
        <v>113</v>
      </c>
      <c r="G100" s="98">
        <v>23</v>
      </c>
      <c r="H100" s="88">
        <v>178332</v>
      </c>
      <c r="I100" s="88">
        <v>173606</v>
      </c>
      <c r="J100" s="88">
        <f t="shared" si="4"/>
        <v>3992938</v>
      </c>
      <c r="K100" s="133">
        <f t="shared" si="5"/>
        <v>-4726</v>
      </c>
      <c r="L100" s="134">
        <f t="shared" si="6"/>
        <v>0.97349886728125068</v>
      </c>
      <c r="M100" s="184" t="str">
        <f t="shared" si="7"/>
        <v>OK</v>
      </c>
    </row>
    <row r="101" spans="1:13" ht="60.75" customHeight="1">
      <c r="A101" s="302" t="s">
        <v>178</v>
      </c>
      <c r="B101" s="302"/>
      <c r="C101" s="303" t="s">
        <v>223</v>
      </c>
      <c r="D101" s="303"/>
      <c r="E101" s="303"/>
      <c r="F101" s="97" t="s">
        <v>95</v>
      </c>
      <c r="G101" s="98">
        <v>150</v>
      </c>
      <c r="H101" s="88">
        <v>16471</v>
      </c>
      <c r="I101" s="88">
        <v>16035</v>
      </c>
      <c r="J101" s="88">
        <f t="shared" si="4"/>
        <v>2405250</v>
      </c>
      <c r="K101" s="133">
        <f t="shared" si="5"/>
        <v>-436</v>
      </c>
      <c r="L101" s="134">
        <f t="shared" si="6"/>
        <v>0.97352923319774154</v>
      </c>
      <c r="M101" s="184" t="str">
        <f t="shared" si="7"/>
        <v>OK</v>
      </c>
    </row>
    <row r="102" spans="1:13" ht="60.75" customHeight="1">
      <c r="A102" s="302" t="s">
        <v>181</v>
      </c>
      <c r="B102" s="302"/>
      <c r="C102" s="303" t="s">
        <v>224</v>
      </c>
      <c r="D102" s="303"/>
      <c r="E102" s="303"/>
      <c r="F102" s="97" t="s">
        <v>95</v>
      </c>
      <c r="G102" s="98">
        <v>50</v>
      </c>
      <c r="H102" s="88">
        <v>159622</v>
      </c>
      <c r="I102" s="88">
        <v>155392</v>
      </c>
      <c r="J102" s="88">
        <f t="shared" si="4"/>
        <v>7769600</v>
      </c>
      <c r="K102" s="133">
        <f t="shared" si="5"/>
        <v>-4230</v>
      </c>
      <c r="L102" s="134">
        <f t="shared" si="6"/>
        <v>0.97349989349838995</v>
      </c>
      <c r="M102" s="184" t="str">
        <f t="shared" si="7"/>
        <v>OK</v>
      </c>
    </row>
    <row r="103" spans="1:13" ht="60.75" customHeight="1">
      <c r="A103" s="302" t="s">
        <v>183</v>
      </c>
      <c r="B103" s="302"/>
      <c r="C103" s="303" t="s">
        <v>225</v>
      </c>
      <c r="D103" s="303"/>
      <c r="E103" s="303"/>
      <c r="F103" s="97" t="s">
        <v>95</v>
      </c>
      <c r="G103" s="98">
        <v>120</v>
      </c>
      <c r="H103" s="88">
        <v>326273</v>
      </c>
      <c r="I103" s="88">
        <v>317627</v>
      </c>
      <c r="J103" s="88">
        <f t="shared" si="4"/>
        <v>38115240</v>
      </c>
      <c r="K103" s="133">
        <f t="shared" si="5"/>
        <v>-8646</v>
      </c>
      <c r="L103" s="134">
        <f t="shared" si="6"/>
        <v>0.9735007187232777</v>
      </c>
      <c r="M103" s="184" t="str">
        <f t="shared" si="7"/>
        <v>OK</v>
      </c>
    </row>
    <row r="104" spans="1:13" ht="60.75" customHeight="1">
      <c r="A104" s="302" t="s">
        <v>185</v>
      </c>
      <c r="B104" s="302"/>
      <c r="C104" s="303" t="s">
        <v>226</v>
      </c>
      <c r="D104" s="303"/>
      <c r="E104" s="303"/>
      <c r="F104" s="97" t="s">
        <v>113</v>
      </c>
      <c r="G104" s="98">
        <v>1</v>
      </c>
      <c r="H104" s="88">
        <v>3554535</v>
      </c>
      <c r="I104" s="88">
        <v>3460340</v>
      </c>
      <c r="J104" s="88">
        <f t="shared" si="4"/>
        <v>3460340</v>
      </c>
      <c r="K104" s="133">
        <f t="shared" si="5"/>
        <v>-94195</v>
      </c>
      <c r="L104" s="134">
        <f t="shared" si="6"/>
        <v>0.9735000499362082</v>
      </c>
      <c r="M104" s="184" t="str">
        <f t="shared" si="7"/>
        <v>OK</v>
      </c>
    </row>
    <row r="105" spans="1:13" ht="60.75" customHeight="1">
      <c r="A105" s="302" t="s">
        <v>187</v>
      </c>
      <c r="B105" s="302"/>
      <c r="C105" s="303" t="s">
        <v>227</v>
      </c>
      <c r="D105" s="303"/>
      <c r="E105" s="303"/>
      <c r="F105" s="97" t="s">
        <v>95</v>
      </c>
      <c r="G105" s="98">
        <v>3.22</v>
      </c>
      <c r="H105" s="88">
        <v>1454712</v>
      </c>
      <c r="I105" s="88">
        <v>1416162</v>
      </c>
      <c r="J105" s="88">
        <f t="shared" si="4"/>
        <v>4560042</v>
      </c>
      <c r="K105" s="133">
        <f t="shared" si="5"/>
        <v>-38550</v>
      </c>
      <c r="L105" s="134">
        <f t="shared" si="6"/>
        <v>0.97349990926038965</v>
      </c>
      <c r="M105" s="184" t="str">
        <f t="shared" si="7"/>
        <v>OK</v>
      </c>
    </row>
    <row r="106" spans="1:13" ht="60.75" customHeight="1">
      <c r="A106" s="302" t="s">
        <v>189</v>
      </c>
      <c r="B106" s="302"/>
      <c r="C106" s="303" t="s">
        <v>228</v>
      </c>
      <c r="D106" s="303"/>
      <c r="E106" s="303"/>
      <c r="F106" s="97" t="s">
        <v>113</v>
      </c>
      <c r="G106" s="98">
        <v>1</v>
      </c>
      <c r="H106" s="88">
        <v>2638957</v>
      </c>
      <c r="I106" s="88">
        <v>2569025</v>
      </c>
      <c r="J106" s="88">
        <f t="shared" si="4"/>
        <v>2569025</v>
      </c>
      <c r="K106" s="133">
        <f t="shared" si="5"/>
        <v>-69932</v>
      </c>
      <c r="L106" s="134">
        <f t="shared" si="6"/>
        <v>0.97350013660700041</v>
      </c>
      <c r="M106" s="184" t="str">
        <f t="shared" si="7"/>
        <v>OK</v>
      </c>
    </row>
    <row r="107" spans="1:13" ht="60.75" customHeight="1">
      <c r="A107" s="302" t="s">
        <v>195</v>
      </c>
      <c r="B107" s="302"/>
      <c r="C107" s="303" t="s">
        <v>229</v>
      </c>
      <c r="D107" s="303"/>
      <c r="E107" s="303"/>
      <c r="F107" s="97" t="s">
        <v>98</v>
      </c>
      <c r="G107" s="98">
        <v>279.83999999999997</v>
      </c>
      <c r="H107" s="88">
        <v>879575</v>
      </c>
      <c r="I107" s="88">
        <v>856266</v>
      </c>
      <c r="J107" s="88">
        <f t="shared" si="4"/>
        <v>239617477</v>
      </c>
      <c r="K107" s="133">
        <f t="shared" si="5"/>
        <v>-23309</v>
      </c>
      <c r="L107" s="134">
        <f t="shared" si="6"/>
        <v>0.97349970156041266</v>
      </c>
      <c r="M107" s="184" t="str">
        <f t="shared" si="7"/>
        <v>OK</v>
      </c>
    </row>
    <row r="108" spans="1:13" ht="60.75" customHeight="1">
      <c r="A108" s="302" t="s">
        <v>230</v>
      </c>
      <c r="B108" s="302"/>
      <c r="C108" s="303" t="s">
        <v>231</v>
      </c>
      <c r="D108" s="303"/>
      <c r="E108" s="303"/>
      <c r="F108" s="97" t="s">
        <v>98</v>
      </c>
      <c r="G108" s="98">
        <v>40</v>
      </c>
      <c r="H108" s="88">
        <v>882113</v>
      </c>
      <c r="I108" s="88">
        <v>858737</v>
      </c>
      <c r="J108" s="88">
        <f t="shared" si="4"/>
        <v>34349480</v>
      </c>
      <c r="K108" s="133">
        <f t="shared" si="5"/>
        <v>-23376</v>
      </c>
      <c r="L108" s="134">
        <f t="shared" si="6"/>
        <v>0.97349999376497121</v>
      </c>
      <c r="M108" s="184" t="str">
        <f t="shared" si="7"/>
        <v>OK</v>
      </c>
    </row>
    <row r="109" spans="1:13" ht="60.75" customHeight="1">
      <c r="A109" s="302" t="s">
        <v>232</v>
      </c>
      <c r="B109" s="302"/>
      <c r="C109" s="303" t="s">
        <v>233</v>
      </c>
      <c r="D109" s="303"/>
      <c r="E109" s="303"/>
      <c r="F109" s="97" t="s">
        <v>98</v>
      </c>
      <c r="G109" s="98">
        <v>8</v>
      </c>
      <c r="H109" s="88">
        <v>1651657</v>
      </c>
      <c r="I109" s="88">
        <v>1607888</v>
      </c>
      <c r="J109" s="88">
        <f t="shared" si="4"/>
        <v>12863104</v>
      </c>
      <c r="K109" s="133">
        <f t="shared" si="5"/>
        <v>-43769</v>
      </c>
      <c r="L109" s="134">
        <f t="shared" si="6"/>
        <v>0.97349994581199362</v>
      </c>
      <c r="M109" s="184" t="str">
        <f t="shared" si="7"/>
        <v>OK</v>
      </c>
    </row>
    <row r="110" spans="1:13" ht="60.75" customHeight="1">
      <c r="A110" s="302" t="s">
        <v>234</v>
      </c>
      <c r="B110" s="302"/>
      <c r="C110" s="303" t="s">
        <v>235</v>
      </c>
      <c r="D110" s="303"/>
      <c r="E110" s="303"/>
      <c r="F110" s="97" t="s">
        <v>95</v>
      </c>
      <c r="G110" s="98">
        <v>60</v>
      </c>
      <c r="H110" s="88">
        <v>84894</v>
      </c>
      <c r="I110" s="88">
        <v>82644</v>
      </c>
      <c r="J110" s="88">
        <f t="shared" si="4"/>
        <v>4958640</v>
      </c>
      <c r="K110" s="133">
        <f t="shared" si="5"/>
        <v>-2250</v>
      </c>
      <c r="L110" s="134">
        <f t="shared" si="6"/>
        <v>0.97349636016679619</v>
      </c>
      <c r="M110" s="184" t="str">
        <f t="shared" si="7"/>
        <v>OK</v>
      </c>
    </row>
    <row r="111" spans="1:13" ht="60.75" customHeight="1">
      <c r="A111" s="302" t="s">
        <v>236</v>
      </c>
      <c r="B111" s="302"/>
      <c r="C111" s="303" t="s">
        <v>237</v>
      </c>
      <c r="D111" s="303"/>
      <c r="E111" s="303"/>
      <c r="F111" s="97" t="s">
        <v>113</v>
      </c>
      <c r="G111" s="98">
        <v>46</v>
      </c>
      <c r="H111" s="88">
        <v>142900</v>
      </c>
      <c r="I111" s="88">
        <v>139113</v>
      </c>
      <c r="J111" s="88">
        <f t="shared" si="4"/>
        <v>6399198</v>
      </c>
      <c r="K111" s="133">
        <f t="shared" si="5"/>
        <v>-3787</v>
      </c>
      <c r="L111" s="134">
        <f t="shared" si="6"/>
        <v>0.97349895031490552</v>
      </c>
      <c r="M111" s="184" t="str">
        <f t="shared" si="7"/>
        <v>OK</v>
      </c>
    </row>
    <row r="112" spans="1:13" ht="60.75" customHeight="1">
      <c r="A112" s="302" t="s">
        <v>197</v>
      </c>
      <c r="B112" s="302"/>
      <c r="C112" s="303" t="s">
        <v>238</v>
      </c>
      <c r="D112" s="303"/>
      <c r="E112" s="303"/>
      <c r="F112" s="97" t="s">
        <v>113</v>
      </c>
      <c r="G112" s="98">
        <v>1</v>
      </c>
      <c r="H112" s="88">
        <v>1176585</v>
      </c>
      <c r="I112" s="88">
        <v>1145405</v>
      </c>
      <c r="J112" s="88">
        <f t="shared" si="4"/>
        <v>1145405</v>
      </c>
      <c r="K112" s="133">
        <f t="shared" si="5"/>
        <v>-31180</v>
      </c>
      <c r="L112" s="134">
        <f t="shared" si="6"/>
        <v>0.97349957716612057</v>
      </c>
      <c r="M112" s="184" t="str">
        <f t="shared" si="7"/>
        <v>OK</v>
      </c>
    </row>
    <row r="113" spans="1:13" ht="60.75" customHeight="1">
      <c r="A113" s="302" t="s">
        <v>199</v>
      </c>
      <c r="B113" s="302"/>
      <c r="C113" s="303" t="s">
        <v>239</v>
      </c>
      <c r="D113" s="303"/>
      <c r="E113" s="303"/>
      <c r="F113" s="97" t="s">
        <v>95</v>
      </c>
      <c r="G113" s="98">
        <v>30</v>
      </c>
      <c r="H113" s="88">
        <v>363800</v>
      </c>
      <c r="I113" s="88">
        <v>354159</v>
      </c>
      <c r="J113" s="88">
        <f t="shared" si="4"/>
        <v>10624770</v>
      </c>
      <c r="K113" s="133">
        <f t="shared" si="5"/>
        <v>-9641</v>
      </c>
      <c r="L113" s="134">
        <f t="shared" si="6"/>
        <v>0.97349917537108299</v>
      </c>
      <c r="M113" s="184" t="str">
        <f t="shared" si="7"/>
        <v>OK</v>
      </c>
    </row>
    <row r="114" spans="1:13" ht="60.75" customHeight="1">
      <c r="A114" s="302" t="s">
        <v>240</v>
      </c>
      <c r="B114" s="302"/>
      <c r="C114" s="303" t="s">
        <v>241</v>
      </c>
      <c r="D114" s="303"/>
      <c r="E114" s="303"/>
      <c r="F114" s="94" t="s">
        <v>98</v>
      </c>
      <c r="G114" s="95">
        <v>509.69</v>
      </c>
      <c r="H114" s="88">
        <v>33664</v>
      </c>
      <c r="I114" s="88">
        <v>32772</v>
      </c>
      <c r="J114" s="88">
        <f t="shared" si="4"/>
        <v>16703561</v>
      </c>
      <c r="K114" s="133">
        <f t="shared" si="5"/>
        <v>-892</v>
      </c>
      <c r="L114" s="134">
        <f t="shared" si="6"/>
        <v>0.97350285171102657</v>
      </c>
      <c r="M114" s="184" t="str">
        <f t="shared" si="7"/>
        <v>OK</v>
      </c>
    </row>
    <row r="115" spans="1:13" ht="60.75" customHeight="1">
      <c r="A115" s="302" t="s">
        <v>242</v>
      </c>
      <c r="B115" s="302"/>
      <c r="C115" s="303" t="s">
        <v>243</v>
      </c>
      <c r="D115" s="303"/>
      <c r="E115" s="303"/>
      <c r="F115" s="94" t="s">
        <v>98</v>
      </c>
      <c r="G115" s="95">
        <v>100</v>
      </c>
      <c r="H115" s="88">
        <v>40123</v>
      </c>
      <c r="I115" s="88">
        <v>39060</v>
      </c>
      <c r="J115" s="88">
        <f t="shared" si="4"/>
        <v>3906000</v>
      </c>
      <c r="K115" s="133">
        <f t="shared" si="5"/>
        <v>-1063</v>
      </c>
      <c r="L115" s="134">
        <f t="shared" si="6"/>
        <v>0.97350646761209281</v>
      </c>
      <c r="M115" s="184" t="str">
        <f t="shared" si="7"/>
        <v>OK</v>
      </c>
    </row>
    <row r="116" spans="1:13" ht="60.75" customHeight="1">
      <c r="A116" s="302" t="s">
        <v>244</v>
      </c>
      <c r="B116" s="302"/>
      <c r="C116" s="303" t="s">
        <v>245</v>
      </c>
      <c r="D116" s="303"/>
      <c r="E116" s="303"/>
      <c r="F116" s="94" t="s">
        <v>98</v>
      </c>
      <c r="G116" s="95">
        <v>40</v>
      </c>
      <c r="H116" s="88">
        <v>38208</v>
      </c>
      <c r="I116" s="88">
        <v>37195</v>
      </c>
      <c r="J116" s="88">
        <f t="shared" si="4"/>
        <v>1487800</v>
      </c>
      <c r="K116" s="133">
        <f t="shared" si="5"/>
        <v>-1013</v>
      </c>
      <c r="L116" s="134">
        <f t="shared" si="6"/>
        <v>0.97348722780569519</v>
      </c>
      <c r="M116" s="184" t="str">
        <f t="shared" si="7"/>
        <v>OK</v>
      </c>
    </row>
    <row r="117" spans="1:13" ht="60.75" customHeight="1">
      <c r="A117" s="302" t="s">
        <v>246</v>
      </c>
      <c r="B117" s="302"/>
      <c r="C117" s="303" t="s">
        <v>247</v>
      </c>
      <c r="D117" s="303"/>
      <c r="E117" s="303"/>
      <c r="F117" s="94" t="s">
        <v>98</v>
      </c>
      <c r="G117" s="95">
        <v>25</v>
      </c>
      <c r="H117" s="88">
        <v>38208</v>
      </c>
      <c r="I117" s="88">
        <v>37195</v>
      </c>
      <c r="J117" s="88">
        <f t="shared" si="4"/>
        <v>929875</v>
      </c>
      <c r="K117" s="133">
        <f t="shared" si="5"/>
        <v>-1013</v>
      </c>
      <c r="L117" s="134">
        <f t="shared" si="6"/>
        <v>0.97348722780569519</v>
      </c>
      <c r="M117" s="184" t="str">
        <f t="shared" si="7"/>
        <v>OK</v>
      </c>
    </row>
    <row r="118" spans="1:13" ht="60.75" customHeight="1">
      <c r="A118" s="304" t="s">
        <v>248</v>
      </c>
      <c r="B118" s="305"/>
      <c r="C118" s="305"/>
      <c r="D118" s="305"/>
      <c r="E118" s="305"/>
      <c r="F118" s="305"/>
      <c r="G118" s="305"/>
      <c r="H118" s="305"/>
      <c r="I118" s="306"/>
      <c r="J118" s="101">
        <f>SUM(J79:J117)</f>
        <v>927202782</v>
      </c>
      <c r="K118" s="133">
        <f t="shared" si="5"/>
        <v>0</v>
      </c>
      <c r="L118" s="134" t="e">
        <f t="shared" si="6"/>
        <v>#DIV/0!</v>
      </c>
      <c r="M118" s="184" t="str">
        <f t="shared" si="7"/>
        <v xml:space="preserve"> </v>
      </c>
    </row>
    <row r="119" spans="1:13" ht="60.75" customHeight="1">
      <c r="A119" s="302" t="s">
        <v>93</v>
      </c>
      <c r="B119" s="302"/>
      <c r="C119" s="303" t="s">
        <v>249</v>
      </c>
      <c r="D119" s="303"/>
      <c r="E119" s="303"/>
      <c r="F119" s="94" t="s">
        <v>98</v>
      </c>
      <c r="G119" s="95">
        <v>860</v>
      </c>
      <c r="H119" s="88">
        <v>38338</v>
      </c>
      <c r="I119" s="88">
        <v>37322</v>
      </c>
      <c r="J119" s="88">
        <f t="shared" si="4"/>
        <v>32096920</v>
      </c>
      <c r="K119" s="133">
        <f t="shared" si="5"/>
        <v>-1016</v>
      </c>
      <c r="L119" s="134">
        <f t="shared" si="6"/>
        <v>0.97349887839741245</v>
      </c>
      <c r="M119" s="184" t="str">
        <f t="shared" si="7"/>
        <v>OK</v>
      </c>
    </row>
    <row r="120" spans="1:13" ht="60.75" customHeight="1">
      <c r="A120" s="302" t="s">
        <v>96</v>
      </c>
      <c r="B120" s="302"/>
      <c r="C120" s="303" t="s">
        <v>150</v>
      </c>
      <c r="D120" s="303"/>
      <c r="E120" s="303"/>
      <c r="F120" s="94" t="s">
        <v>113</v>
      </c>
      <c r="G120" s="95">
        <v>180</v>
      </c>
      <c r="H120" s="88">
        <v>96339</v>
      </c>
      <c r="I120" s="88">
        <v>93786</v>
      </c>
      <c r="J120" s="88">
        <f t="shared" si="4"/>
        <v>16881480</v>
      </c>
      <c r="K120" s="133">
        <f t="shared" si="5"/>
        <v>-2553</v>
      </c>
      <c r="L120" s="134">
        <f t="shared" si="6"/>
        <v>0.9734998287297979</v>
      </c>
      <c r="M120" s="184" t="str">
        <f t="shared" si="7"/>
        <v>OK</v>
      </c>
    </row>
    <row r="121" spans="1:13" ht="60.75" customHeight="1">
      <c r="A121" s="302" t="s">
        <v>145</v>
      </c>
      <c r="B121" s="302"/>
      <c r="C121" s="303" t="s">
        <v>152</v>
      </c>
      <c r="D121" s="303"/>
      <c r="E121" s="303"/>
      <c r="F121" s="94" t="s">
        <v>98</v>
      </c>
      <c r="G121" s="102">
        <v>4</v>
      </c>
      <c r="H121" s="88">
        <v>95199</v>
      </c>
      <c r="I121" s="88">
        <v>92676</v>
      </c>
      <c r="J121" s="88">
        <f t="shared" si="4"/>
        <v>370704</v>
      </c>
      <c r="K121" s="133">
        <f t="shared" si="5"/>
        <v>-2523</v>
      </c>
      <c r="L121" s="134">
        <f t="shared" si="6"/>
        <v>0.97349762077332747</v>
      </c>
      <c r="M121" s="184" t="str">
        <f t="shared" si="7"/>
        <v>OK</v>
      </c>
    </row>
    <row r="122" spans="1:13" ht="60.75" customHeight="1">
      <c r="A122" s="302" t="s">
        <v>99</v>
      </c>
      <c r="B122" s="302"/>
      <c r="C122" s="303" t="s">
        <v>250</v>
      </c>
      <c r="D122" s="303"/>
      <c r="E122" s="303"/>
      <c r="F122" s="94" t="s">
        <v>98</v>
      </c>
      <c r="G122" s="95">
        <v>860</v>
      </c>
      <c r="H122" s="88">
        <v>130620</v>
      </c>
      <c r="I122" s="88">
        <v>127159</v>
      </c>
      <c r="J122" s="88">
        <f t="shared" si="4"/>
        <v>109356740</v>
      </c>
      <c r="K122" s="133">
        <f t="shared" si="5"/>
        <v>-3461</v>
      </c>
      <c r="L122" s="134">
        <f t="shared" si="6"/>
        <v>0.973503291992038</v>
      </c>
      <c r="M122" s="184" t="str">
        <f t="shared" si="7"/>
        <v>OK</v>
      </c>
    </row>
    <row r="123" spans="1:13" ht="60.75" customHeight="1">
      <c r="A123" s="302" t="s">
        <v>116</v>
      </c>
      <c r="B123" s="302"/>
      <c r="C123" s="303" t="s">
        <v>158</v>
      </c>
      <c r="D123" s="303"/>
      <c r="E123" s="303"/>
      <c r="F123" s="94" t="s">
        <v>98</v>
      </c>
      <c r="G123" s="95">
        <v>860</v>
      </c>
      <c r="H123" s="88">
        <v>194913</v>
      </c>
      <c r="I123" s="88">
        <v>189748</v>
      </c>
      <c r="J123" s="88">
        <f t="shared" si="4"/>
        <v>163183280</v>
      </c>
      <c r="K123" s="133">
        <f t="shared" si="5"/>
        <v>-5165</v>
      </c>
      <c r="L123" s="134">
        <f t="shared" si="6"/>
        <v>0.97350099788110589</v>
      </c>
      <c r="M123" s="184" t="str">
        <f t="shared" si="7"/>
        <v>OK</v>
      </c>
    </row>
    <row r="124" spans="1:13" ht="60.75" customHeight="1">
      <c r="A124" s="302" t="s">
        <v>124</v>
      </c>
      <c r="B124" s="302"/>
      <c r="C124" s="303" t="s">
        <v>167</v>
      </c>
      <c r="D124" s="303"/>
      <c r="E124" s="303"/>
      <c r="F124" s="94" t="s">
        <v>113</v>
      </c>
      <c r="G124" s="95">
        <v>20</v>
      </c>
      <c r="H124" s="88">
        <v>319533</v>
      </c>
      <c r="I124" s="88">
        <v>311065</v>
      </c>
      <c r="J124" s="88">
        <f t="shared" si="4"/>
        <v>6221300</v>
      </c>
      <c r="K124" s="133">
        <f t="shared" si="5"/>
        <v>-8468</v>
      </c>
      <c r="L124" s="134">
        <f t="shared" si="6"/>
        <v>0.97349882484751182</v>
      </c>
      <c r="M124" s="184" t="str">
        <f t="shared" si="7"/>
        <v>OK</v>
      </c>
    </row>
    <row r="125" spans="1:13" ht="60.75" customHeight="1">
      <c r="A125" s="302" t="s">
        <v>126</v>
      </c>
      <c r="B125" s="302"/>
      <c r="C125" s="303" t="s">
        <v>169</v>
      </c>
      <c r="D125" s="303"/>
      <c r="E125" s="303"/>
      <c r="F125" s="94" t="s">
        <v>113</v>
      </c>
      <c r="G125" s="95">
        <v>20</v>
      </c>
      <c r="H125" s="88">
        <v>233891</v>
      </c>
      <c r="I125" s="88">
        <v>227693</v>
      </c>
      <c r="J125" s="88">
        <f t="shared" si="4"/>
        <v>4553860</v>
      </c>
      <c r="K125" s="133">
        <f t="shared" si="5"/>
        <v>-6198</v>
      </c>
      <c r="L125" s="134">
        <f t="shared" si="6"/>
        <v>0.97350047671778739</v>
      </c>
      <c r="M125" s="184" t="str">
        <f t="shared" si="7"/>
        <v>OK</v>
      </c>
    </row>
    <row r="126" spans="1:13" ht="60.75" customHeight="1">
      <c r="A126" s="302" t="s">
        <v>128</v>
      </c>
      <c r="B126" s="302"/>
      <c r="C126" s="303" t="s">
        <v>251</v>
      </c>
      <c r="D126" s="303"/>
      <c r="E126" s="303"/>
      <c r="F126" s="94" t="s">
        <v>113</v>
      </c>
      <c r="G126" s="95">
        <v>113</v>
      </c>
      <c r="H126" s="88">
        <v>98830</v>
      </c>
      <c r="I126" s="88">
        <v>96211</v>
      </c>
      <c r="J126" s="88">
        <f t="shared" si="4"/>
        <v>10871843</v>
      </c>
      <c r="K126" s="133">
        <f t="shared" si="5"/>
        <v>-2619</v>
      </c>
      <c r="L126" s="134">
        <f t="shared" si="6"/>
        <v>0.97349994940807449</v>
      </c>
      <c r="M126" s="184" t="str">
        <f t="shared" si="7"/>
        <v>OK</v>
      </c>
    </row>
    <row r="127" spans="1:13" ht="60.75" customHeight="1">
      <c r="A127" s="302" t="s">
        <v>130</v>
      </c>
      <c r="B127" s="302"/>
      <c r="C127" s="303" t="s">
        <v>173</v>
      </c>
      <c r="D127" s="303"/>
      <c r="E127" s="303"/>
      <c r="F127" s="94" t="s">
        <v>113</v>
      </c>
      <c r="G127" s="95">
        <v>8</v>
      </c>
      <c r="H127" s="88">
        <v>215750</v>
      </c>
      <c r="I127" s="88">
        <v>210033</v>
      </c>
      <c r="J127" s="88">
        <f t="shared" si="4"/>
        <v>1680264</v>
      </c>
      <c r="K127" s="133">
        <f t="shared" si="5"/>
        <v>-5717</v>
      </c>
      <c r="L127" s="134">
        <f t="shared" si="6"/>
        <v>0.97350173812282736</v>
      </c>
      <c r="M127" s="184" t="str">
        <f t="shared" si="7"/>
        <v>OK</v>
      </c>
    </row>
    <row r="128" spans="1:13" ht="60.75" customHeight="1">
      <c r="A128" s="302" t="s">
        <v>132</v>
      </c>
      <c r="B128" s="302"/>
      <c r="C128" s="303" t="s">
        <v>175</v>
      </c>
      <c r="D128" s="303"/>
      <c r="E128" s="303"/>
      <c r="F128" s="94" t="s">
        <v>113</v>
      </c>
      <c r="G128" s="95">
        <v>4</v>
      </c>
      <c r="H128" s="88">
        <v>200830</v>
      </c>
      <c r="I128" s="88">
        <v>195508</v>
      </c>
      <c r="J128" s="88">
        <f t="shared" si="4"/>
        <v>782032</v>
      </c>
      <c r="K128" s="133">
        <f t="shared" si="5"/>
        <v>-5322</v>
      </c>
      <c r="L128" s="134">
        <f t="shared" si="6"/>
        <v>0.9734999751033212</v>
      </c>
      <c r="M128" s="184" t="str">
        <f t="shared" si="7"/>
        <v>OK</v>
      </c>
    </row>
    <row r="129" spans="1:16" ht="60.75" customHeight="1">
      <c r="A129" s="302" t="s">
        <v>136</v>
      </c>
      <c r="B129" s="302"/>
      <c r="C129" s="303" t="s">
        <v>196</v>
      </c>
      <c r="D129" s="303"/>
      <c r="E129" s="303"/>
      <c r="F129" s="94" t="s">
        <v>113</v>
      </c>
      <c r="G129" s="95">
        <v>1</v>
      </c>
      <c r="H129" s="88">
        <v>1025000</v>
      </c>
      <c r="I129" s="88">
        <v>997838</v>
      </c>
      <c r="J129" s="88">
        <f t="shared" si="4"/>
        <v>997838</v>
      </c>
      <c r="K129" s="133">
        <f t="shared" si="5"/>
        <v>-27162</v>
      </c>
      <c r="L129" s="134">
        <f t="shared" si="6"/>
        <v>0.97350048780487808</v>
      </c>
      <c r="M129" s="184" t="str">
        <f t="shared" si="7"/>
        <v>OK</v>
      </c>
    </row>
    <row r="130" spans="1:16" ht="60.75" customHeight="1">
      <c r="A130" s="302" t="s">
        <v>140</v>
      </c>
      <c r="B130" s="302"/>
      <c r="C130" s="303" t="s">
        <v>198</v>
      </c>
      <c r="D130" s="303"/>
      <c r="E130" s="303"/>
      <c r="F130" s="94" t="s">
        <v>98</v>
      </c>
      <c r="G130" s="95">
        <v>880</v>
      </c>
      <c r="H130" s="88">
        <v>35833</v>
      </c>
      <c r="I130" s="88">
        <v>34883</v>
      </c>
      <c r="J130" s="88">
        <f t="shared" si="4"/>
        <v>30697040</v>
      </c>
      <c r="K130" s="133">
        <f t="shared" si="5"/>
        <v>-950</v>
      </c>
      <c r="L130" s="134">
        <f t="shared" si="6"/>
        <v>0.97348812547093466</v>
      </c>
      <c r="M130" s="184" t="str">
        <f t="shared" si="7"/>
        <v>OK</v>
      </c>
    </row>
    <row r="131" spans="1:16" ht="60.75" customHeight="1">
      <c r="A131" s="296" t="s">
        <v>252</v>
      </c>
      <c r="B131" s="297"/>
      <c r="C131" s="297"/>
      <c r="D131" s="297"/>
      <c r="E131" s="297"/>
      <c r="F131" s="297"/>
      <c r="G131" s="297"/>
      <c r="H131" s="297"/>
      <c r="I131" s="298"/>
      <c r="J131" s="104">
        <f>SUM(J119:J130)</f>
        <v>377693301</v>
      </c>
    </row>
    <row r="132" spans="1:16" ht="60.75" customHeight="1">
      <c r="A132" s="299" t="s">
        <v>253</v>
      </c>
      <c r="B132" s="300"/>
      <c r="C132" s="300"/>
      <c r="D132" s="300"/>
      <c r="E132" s="300"/>
      <c r="F132" s="300"/>
      <c r="G132" s="300"/>
      <c r="H132" s="301"/>
      <c r="I132" s="105">
        <f>+ROUND(J132*10%,0)</f>
        <v>379096187</v>
      </c>
      <c r="J132" s="104">
        <f>+J118+J78+J73+J39+J131</f>
        <v>3790961874</v>
      </c>
    </row>
    <row r="133" spans="1:16" ht="41.25" customHeight="1">
      <c r="A133" s="286" t="s">
        <v>254</v>
      </c>
      <c r="B133" s="287"/>
      <c r="C133" s="287"/>
      <c r="D133" s="288"/>
      <c r="E133" s="106">
        <v>0.12</v>
      </c>
      <c r="F133" s="289">
        <v>0.12</v>
      </c>
      <c r="G133" s="290"/>
      <c r="H133" s="291"/>
      <c r="I133" s="108">
        <f>+ROUND($I$132*F133,0)</f>
        <v>45491542</v>
      </c>
      <c r="J133" s="108">
        <f>+ROUND($J$132*F133,0)</f>
        <v>454915425</v>
      </c>
      <c r="K133" s="133">
        <f>F133-E133</f>
        <v>0</v>
      </c>
      <c r="L133" s="134">
        <f>F133/E133</f>
        <v>1</v>
      </c>
    </row>
    <row r="134" spans="1:16" ht="35.25" customHeight="1">
      <c r="A134" s="286" t="s">
        <v>255</v>
      </c>
      <c r="B134" s="287"/>
      <c r="C134" s="287"/>
      <c r="D134" s="288"/>
      <c r="E134" s="106">
        <v>0.03</v>
      </c>
      <c r="F134" s="289">
        <v>0.03</v>
      </c>
      <c r="G134" s="290"/>
      <c r="H134" s="291"/>
      <c r="I134" s="108">
        <f t="shared" ref="I134:I135" si="8">+ROUND($I$132*F134,0)</f>
        <v>11372886</v>
      </c>
      <c r="J134" s="108">
        <f t="shared" ref="J134:J135" si="9">+ROUND($J$132*F134,0)</f>
        <v>113728856</v>
      </c>
      <c r="K134" s="133">
        <f>F134-E134</f>
        <v>0</v>
      </c>
      <c r="L134" s="134">
        <f>F134/E134</f>
        <v>1</v>
      </c>
    </row>
    <row r="135" spans="1:16" ht="31.5" customHeight="1">
      <c r="A135" s="286" t="s">
        <v>256</v>
      </c>
      <c r="B135" s="287"/>
      <c r="C135" s="287"/>
      <c r="D135" s="288"/>
      <c r="E135" s="106">
        <v>7.0000000000000007E-2</v>
      </c>
      <c r="F135" s="289">
        <v>7.0000000000000007E-2</v>
      </c>
      <c r="G135" s="290"/>
      <c r="H135" s="291"/>
      <c r="I135" s="108">
        <f t="shared" si="8"/>
        <v>26536733</v>
      </c>
      <c r="J135" s="108">
        <f t="shared" si="9"/>
        <v>265367331</v>
      </c>
      <c r="K135" s="133">
        <f>F135-E135</f>
        <v>0</v>
      </c>
      <c r="L135" s="134">
        <f>F135/E135</f>
        <v>1</v>
      </c>
    </row>
    <row r="136" spans="1:16" ht="33.75" customHeight="1">
      <c r="A136" s="286" t="s">
        <v>257</v>
      </c>
      <c r="B136" s="287"/>
      <c r="C136" s="287"/>
      <c r="D136" s="288"/>
      <c r="E136" s="289">
        <v>0.19</v>
      </c>
      <c r="F136" s="290"/>
      <c r="G136" s="290"/>
      <c r="H136" s="291"/>
      <c r="I136" s="108">
        <f>+ROUND(I135*E136,0)</f>
        <v>5041979</v>
      </c>
      <c r="J136" s="108">
        <f>+ROUND(J135*E136,0)</f>
        <v>50419793</v>
      </c>
      <c r="K136" s="151"/>
      <c r="L136" s="151"/>
    </row>
    <row r="137" spans="1:16" ht="42" customHeight="1">
      <c r="A137" s="292" t="s">
        <v>258</v>
      </c>
      <c r="B137" s="293"/>
      <c r="C137" s="293"/>
      <c r="D137" s="293"/>
      <c r="E137" s="293"/>
      <c r="F137" s="293"/>
      <c r="G137" s="293"/>
      <c r="H137" s="294"/>
      <c r="I137" s="109">
        <f>SUM(I132:I136)</f>
        <v>467539327</v>
      </c>
      <c r="J137" s="109">
        <f>SUM(J132:J136)</f>
        <v>4675393279</v>
      </c>
    </row>
    <row r="138" spans="1:16" ht="60.75" customHeight="1">
      <c r="A138" s="295" t="s">
        <v>259</v>
      </c>
      <c r="B138" s="295"/>
      <c r="C138" s="295"/>
      <c r="D138" s="295"/>
      <c r="E138" s="295"/>
      <c r="F138" s="295"/>
      <c r="G138" s="295"/>
      <c r="H138" s="295"/>
      <c r="I138" s="295"/>
      <c r="J138" s="111">
        <f>+I137+J137</f>
        <v>5142932606</v>
      </c>
      <c r="K138" s="133">
        <f>J138-'[3]CONSOLIDADO FINANCIERO'!L7</f>
        <v>-139999360</v>
      </c>
      <c r="L138" s="183">
        <f>+J138/'CONSOLIDADO FINANCIERO'!L7</f>
        <v>0.97349968523141872</v>
      </c>
    </row>
    <row r="139" spans="1:16" ht="15.75" customHeight="1" thickBot="1"/>
    <row r="140" spans="1:16" ht="215.25" customHeight="1" thickBot="1">
      <c r="A140" s="282" t="s">
        <v>260</v>
      </c>
      <c r="B140" s="283"/>
      <c r="C140" s="283"/>
      <c r="D140" s="283"/>
      <c r="E140" s="283"/>
      <c r="F140" s="283"/>
      <c r="G140" s="283"/>
      <c r="H140" s="283"/>
      <c r="I140" s="283"/>
      <c r="J140" s="283"/>
      <c r="K140" s="283"/>
      <c r="L140" s="283"/>
      <c r="M140" s="284"/>
    </row>
    <row r="141" spans="1:16" ht="2.25" customHeight="1" thickBot="1">
      <c r="A141" s="112"/>
      <c r="B141" s="112"/>
      <c r="C141" s="112"/>
      <c r="D141" s="112"/>
      <c r="E141" s="112"/>
      <c r="F141" s="113"/>
      <c r="G141" s="113"/>
      <c r="H141" s="113"/>
      <c r="I141" s="113"/>
      <c r="J141" s="113"/>
      <c r="K141" s="113"/>
      <c r="L141" s="113"/>
      <c r="M141" s="113"/>
      <c r="P141" s="113"/>
    </row>
    <row r="142" spans="1:16" ht="57" customHeight="1" thickBot="1">
      <c r="A142" s="114"/>
      <c r="B142" s="115"/>
      <c r="C142" s="116"/>
      <c r="D142" s="116"/>
      <c r="E142" s="117"/>
      <c r="F142" s="117"/>
      <c r="G142" s="117"/>
      <c r="H142" s="117"/>
      <c r="I142" s="117"/>
      <c r="J142" s="117"/>
      <c r="K142" s="117"/>
      <c r="L142" s="117"/>
      <c r="M142" s="118"/>
      <c r="P142" s="117"/>
    </row>
    <row r="143" spans="1:16" ht="16.5">
      <c r="A143" s="119"/>
      <c r="B143" s="285" t="s">
        <v>261</v>
      </c>
      <c r="C143" s="285"/>
      <c r="D143" s="121"/>
      <c r="E143" s="122"/>
      <c r="F143" s="112"/>
      <c r="G143" s="112"/>
      <c r="H143" s="112"/>
      <c r="I143" s="112"/>
      <c r="J143" s="112"/>
      <c r="K143" s="112"/>
      <c r="L143" s="112"/>
      <c r="M143" s="123"/>
      <c r="P143" s="112"/>
    </row>
    <row r="144" spans="1:16" ht="42" customHeight="1" thickBot="1">
      <c r="A144" s="124"/>
      <c r="B144" s="125" t="s">
        <v>262</v>
      </c>
      <c r="C144" s="403" t="s">
        <v>330</v>
      </c>
      <c r="D144" s="403"/>
      <c r="E144" s="403"/>
      <c r="F144" s="128"/>
      <c r="G144" s="128"/>
      <c r="H144" s="128"/>
      <c r="I144" s="128"/>
      <c r="J144" s="128"/>
      <c r="K144" s="128"/>
      <c r="L144" s="128"/>
      <c r="M144" s="129"/>
      <c r="P144" s="128"/>
    </row>
    <row r="145" spans="1:7">
      <c r="A145" s="130"/>
      <c r="C145" s="131"/>
      <c r="D145" s="131"/>
      <c r="E145" s="131"/>
      <c r="F145" s="131"/>
      <c r="G145" s="131"/>
    </row>
  </sheetData>
  <sheetProtection algorithmName="SHA-512" hashValue="c5667q9LWuocSG7eMFcJ3ihs6rOMa41oP5VP9W0PYKy61DLfdjhP/8zOSl5RjWOGN5miXzu3GXPl12p4lrYt+Q==" saltValue="I/hbsTXEOPXkTtemoha5TA==" spinCount="100000" sheet="1" objects="1" scenarios="1"/>
  <mergeCells count="263">
    <mergeCell ref="A8:D8"/>
    <mergeCell ref="E8:J8"/>
    <mergeCell ref="A9:D9"/>
    <mergeCell ref="E9:J9"/>
    <mergeCell ref="A10:D10"/>
    <mergeCell ref="E10:J10"/>
    <mergeCell ref="A1:D4"/>
    <mergeCell ref="E1:J4"/>
    <mergeCell ref="A5:J5"/>
    <mergeCell ref="A6:D6"/>
    <mergeCell ref="E6:J6"/>
    <mergeCell ref="A7:D7"/>
    <mergeCell ref="E7:J7"/>
    <mergeCell ref="A11:D11"/>
    <mergeCell ref="E11:J11"/>
    <mergeCell ref="A12:J12"/>
    <mergeCell ref="A14:B15"/>
    <mergeCell ref="C14:E15"/>
    <mergeCell ref="F14:F15"/>
    <mergeCell ref="G14:G15"/>
    <mergeCell ref="H14:H15"/>
    <mergeCell ref="I14:J14"/>
    <mergeCell ref="A19:B19"/>
    <mergeCell ref="C19:E19"/>
    <mergeCell ref="A20:B20"/>
    <mergeCell ref="C20:E20"/>
    <mergeCell ref="A21:B21"/>
    <mergeCell ref="C21:E21"/>
    <mergeCell ref="A16:B16"/>
    <mergeCell ref="C16:E16"/>
    <mergeCell ref="A17:B17"/>
    <mergeCell ref="C17:E17"/>
    <mergeCell ref="A18:B18"/>
    <mergeCell ref="C18:E18"/>
    <mergeCell ref="A25:B25"/>
    <mergeCell ref="C25:E25"/>
    <mergeCell ref="A26:B26"/>
    <mergeCell ref="C26:E26"/>
    <mergeCell ref="A27:B27"/>
    <mergeCell ref="C27:E27"/>
    <mergeCell ref="A22:B22"/>
    <mergeCell ref="C22:E22"/>
    <mergeCell ref="A23:B23"/>
    <mergeCell ref="C23:E23"/>
    <mergeCell ref="A24:B24"/>
    <mergeCell ref="C24:E24"/>
    <mergeCell ref="A31:B31"/>
    <mergeCell ref="C31:E31"/>
    <mergeCell ref="A32:B32"/>
    <mergeCell ref="C32:E32"/>
    <mergeCell ref="A33:B33"/>
    <mergeCell ref="C33:E33"/>
    <mergeCell ref="A28:B28"/>
    <mergeCell ref="C28:E28"/>
    <mergeCell ref="A29:B29"/>
    <mergeCell ref="C29:E29"/>
    <mergeCell ref="A30:B30"/>
    <mergeCell ref="C30:E30"/>
    <mergeCell ref="A37:B37"/>
    <mergeCell ref="C37:E37"/>
    <mergeCell ref="A38:B38"/>
    <mergeCell ref="C38:E38"/>
    <mergeCell ref="A39:I39"/>
    <mergeCell ref="A40:B40"/>
    <mergeCell ref="C40:E40"/>
    <mergeCell ref="A34:B34"/>
    <mergeCell ref="C34:E34"/>
    <mergeCell ref="A35:B35"/>
    <mergeCell ref="C35:E35"/>
    <mergeCell ref="A36:B36"/>
    <mergeCell ref="C36:E36"/>
    <mergeCell ref="A44:B44"/>
    <mergeCell ref="C44:E44"/>
    <mergeCell ref="A45:B45"/>
    <mergeCell ref="C45:E45"/>
    <mergeCell ref="A46:B46"/>
    <mergeCell ref="C46:E46"/>
    <mergeCell ref="A41:B41"/>
    <mergeCell ref="C41:E41"/>
    <mergeCell ref="A42:B42"/>
    <mergeCell ref="C42:E42"/>
    <mergeCell ref="A43:B43"/>
    <mergeCell ref="C43:E43"/>
    <mergeCell ref="A50:B50"/>
    <mergeCell ref="C50:E50"/>
    <mergeCell ref="A51:B51"/>
    <mergeCell ref="C51:E51"/>
    <mergeCell ref="A52:B52"/>
    <mergeCell ref="C52:E52"/>
    <mergeCell ref="A47:B47"/>
    <mergeCell ref="C47:E47"/>
    <mergeCell ref="A48:B48"/>
    <mergeCell ref="C48:E48"/>
    <mergeCell ref="A49:B49"/>
    <mergeCell ref="C49:E49"/>
    <mergeCell ref="A56:B56"/>
    <mergeCell ref="C56:E56"/>
    <mergeCell ref="A57:B57"/>
    <mergeCell ref="C57:E57"/>
    <mergeCell ref="A58:B58"/>
    <mergeCell ref="C58:E58"/>
    <mergeCell ref="A53:B53"/>
    <mergeCell ref="C53:E53"/>
    <mergeCell ref="A54:B54"/>
    <mergeCell ref="C54:E54"/>
    <mergeCell ref="A55:B55"/>
    <mergeCell ref="C55:E55"/>
    <mergeCell ref="A62:B62"/>
    <mergeCell ref="C62:E62"/>
    <mergeCell ref="A63:B63"/>
    <mergeCell ref="C63:E63"/>
    <mergeCell ref="A64:B64"/>
    <mergeCell ref="C64:E64"/>
    <mergeCell ref="A59:B59"/>
    <mergeCell ref="C59:E59"/>
    <mergeCell ref="A60:B60"/>
    <mergeCell ref="C60:E60"/>
    <mergeCell ref="A61:B61"/>
    <mergeCell ref="C61:E61"/>
    <mergeCell ref="A68:B68"/>
    <mergeCell ref="C68:E68"/>
    <mergeCell ref="A69:B69"/>
    <mergeCell ref="C69:E69"/>
    <mergeCell ref="A70:B70"/>
    <mergeCell ref="C70:E70"/>
    <mergeCell ref="A65:B65"/>
    <mergeCell ref="C65:E65"/>
    <mergeCell ref="A66:B66"/>
    <mergeCell ref="C66:E66"/>
    <mergeCell ref="A67:B67"/>
    <mergeCell ref="C67:E67"/>
    <mergeCell ref="A75:B75"/>
    <mergeCell ref="C75:E75"/>
    <mergeCell ref="A76:B76"/>
    <mergeCell ref="C76:E76"/>
    <mergeCell ref="A77:B77"/>
    <mergeCell ref="C77:E77"/>
    <mergeCell ref="A71:B71"/>
    <mergeCell ref="C71:E71"/>
    <mergeCell ref="A72:B72"/>
    <mergeCell ref="C72:E72"/>
    <mergeCell ref="A73:I73"/>
    <mergeCell ref="A74:B74"/>
    <mergeCell ref="C74:E74"/>
    <mergeCell ref="A82:B82"/>
    <mergeCell ref="C82:E82"/>
    <mergeCell ref="A83:B83"/>
    <mergeCell ref="C83:E83"/>
    <mergeCell ref="A84:B84"/>
    <mergeCell ref="C84:E84"/>
    <mergeCell ref="A78:I78"/>
    <mergeCell ref="A79:B79"/>
    <mergeCell ref="C79:E79"/>
    <mergeCell ref="A80:B80"/>
    <mergeCell ref="C80:E80"/>
    <mergeCell ref="A81:B81"/>
    <mergeCell ref="C81:E81"/>
    <mergeCell ref="A88:B88"/>
    <mergeCell ref="C88:E88"/>
    <mergeCell ref="A89:B89"/>
    <mergeCell ref="C89:E89"/>
    <mergeCell ref="A90:B90"/>
    <mergeCell ref="C90:E90"/>
    <mergeCell ref="A85:B85"/>
    <mergeCell ref="C85:E85"/>
    <mergeCell ref="A86:B86"/>
    <mergeCell ref="C86:E86"/>
    <mergeCell ref="A87:B87"/>
    <mergeCell ref="C87:E87"/>
    <mergeCell ref="A94:B94"/>
    <mergeCell ref="C94:E94"/>
    <mergeCell ref="A95:B95"/>
    <mergeCell ref="C95:E95"/>
    <mergeCell ref="A96:B96"/>
    <mergeCell ref="C96:E96"/>
    <mergeCell ref="A91:B91"/>
    <mergeCell ref="C91:E91"/>
    <mergeCell ref="A92:B92"/>
    <mergeCell ref="C92:E92"/>
    <mergeCell ref="A93:B93"/>
    <mergeCell ref="C93:E93"/>
    <mergeCell ref="A100:B100"/>
    <mergeCell ref="C100:E100"/>
    <mergeCell ref="A101:B101"/>
    <mergeCell ref="C101:E101"/>
    <mergeCell ref="A102:B102"/>
    <mergeCell ref="C102:E102"/>
    <mergeCell ref="A97:B97"/>
    <mergeCell ref="C97:E97"/>
    <mergeCell ref="A98:B98"/>
    <mergeCell ref="C98:E98"/>
    <mergeCell ref="A99:B99"/>
    <mergeCell ref="C99:E99"/>
    <mergeCell ref="A106:B106"/>
    <mergeCell ref="C106:E106"/>
    <mergeCell ref="A107:B107"/>
    <mergeCell ref="C107:E107"/>
    <mergeCell ref="A108:B108"/>
    <mergeCell ref="C108:E108"/>
    <mergeCell ref="A103:B103"/>
    <mergeCell ref="C103:E103"/>
    <mergeCell ref="A104:B104"/>
    <mergeCell ref="C104:E104"/>
    <mergeCell ref="A105:B105"/>
    <mergeCell ref="C105:E105"/>
    <mergeCell ref="A112:B112"/>
    <mergeCell ref="C112:E112"/>
    <mergeCell ref="A113:B113"/>
    <mergeCell ref="C113:E113"/>
    <mergeCell ref="A114:B114"/>
    <mergeCell ref="C114:E114"/>
    <mergeCell ref="A109:B109"/>
    <mergeCell ref="C109:E109"/>
    <mergeCell ref="A110:B110"/>
    <mergeCell ref="C110:E110"/>
    <mergeCell ref="A111:B111"/>
    <mergeCell ref="C111:E111"/>
    <mergeCell ref="A118:I118"/>
    <mergeCell ref="A119:B119"/>
    <mergeCell ref="C119:E119"/>
    <mergeCell ref="A120:B120"/>
    <mergeCell ref="C120:E120"/>
    <mergeCell ref="A121:B121"/>
    <mergeCell ref="C121:E121"/>
    <mergeCell ref="A115:B115"/>
    <mergeCell ref="C115:E115"/>
    <mergeCell ref="A116:B116"/>
    <mergeCell ref="C116:E116"/>
    <mergeCell ref="A117:B117"/>
    <mergeCell ref="C117:E117"/>
    <mergeCell ref="A125:B125"/>
    <mergeCell ref="C125:E125"/>
    <mergeCell ref="A126:B126"/>
    <mergeCell ref="C126:E126"/>
    <mergeCell ref="A127:B127"/>
    <mergeCell ref="C127:E127"/>
    <mergeCell ref="A122:B122"/>
    <mergeCell ref="C122:E122"/>
    <mergeCell ref="A123:B123"/>
    <mergeCell ref="C123:E123"/>
    <mergeCell ref="A124:B124"/>
    <mergeCell ref="C124:E124"/>
    <mergeCell ref="A131:I131"/>
    <mergeCell ref="A132:H132"/>
    <mergeCell ref="A133:D133"/>
    <mergeCell ref="F133:H133"/>
    <mergeCell ref="A134:D134"/>
    <mergeCell ref="F134:H134"/>
    <mergeCell ref="A128:B128"/>
    <mergeCell ref="C128:E128"/>
    <mergeCell ref="A129:B129"/>
    <mergeCell ref="C129:E129"/>
    <mergeCell ref="A130:B130"/>
    <mergeCell ref="C130:E130"/>
    <mergeCell ref="A140:M140"/>
    <mergeCell ref="B143:C143"/>
    <mergeCell ref="C144:E144"/>
    <mergeCell ref="A135:D135"/>
    <mergeCell ref="F135:H135"/>
    <mergeCell ref="A136:D136"/>
    <mergeCell ref="E136:H136"/>
    <mergeCell ref="A137:H137"/>
    <mergeCell ref="A138:I138"/>
  </mergeCells>
  <conditionalFormatting sqref="K16:K130">
    <cfRule type="cellIs" dxfId="46" priority="13" operator="greaterThan">
      <formula>0</formula>
    </cfRule>
    <cfRule type="cellIs" dxfId="45" priority="14" operator="lessThan">
      <formula>0</formula>
    </cfRule>
    <cfRule type="cellIs" dxfId="44" priority="15" operator="lessThan">
      <formula>0</formula>
    </cfRule>
  </conditionalFormatting>
  <conditionalFormatting sqref="K133:K135">
    <cfRule type="cellIs" dxfId="43" priority="8" operator="greaterThan">
      <formula>0</formula>
    </cfRule>
    <cfRule type="cellIs" dxfId="42" priority="9" operator="lessThan">
      <formula>0</formula>
    </cfRule>
    <cfRule type="cellIs" dxfId="41" priority="10" operator="lessThan">
      <formula>0</formula>
    </cfRule>
  </conditionalFormatting>
  <conditionalFormatting sqref="K138">
    <cfRule type="cellIs" dxfId="40" priority="3" operator="greaterThan">
      <formula>0</formula>
    </cfRule>
    <cfRule type="cellIs" dxfId="39" priority="4" operator="lessThan">
      <formula>0</formula>
    </cfRule>
    <cfRule type="cellIs" dxfId="38" priority="5" operator="lessThan">
      <formula>0</formula>
    </cfRule>
  </conditionalFormatting>
  <conditionalFormatting sqref="L16:L130">
    <cfRule type="cellIs" dxfId="37" priority="11" operator="greaterThan">
      <formula>0.8</formula>
    </cfRule>
    <cfRule type="cellIs" dxfId="36" priority="12" operator="lessThan">
      <formula>0.8</formula>
    </cfRule>
  </conditionalFormatting>
  <conditionalFormatting sqref="L133:L135">
    <cfRule type="cellIs" dxfId="35" priority="6" operator="greaterThan">
      <formula>0.8</formula>
    </cfRule>
    <cfRule type="cellIs" dxfId="34" priority="7" operator="lessThan">
      <formula>0.8</formula>
    </cfRule>
  </conditionalFormatting>
  <conditionalFormatting sqref="L138">
    <cfRule type="cellIs" dxfId="33" priority="1" operator="greaterThan">
      <formula>0.8</formula>
    </cfRule>
    <cfRule type="cellIs" dxfId="32" priority="2" operator="lessThan">
      <formula>0.8</formula>
    </cfRule>
  </conditionalFormatting>
  <pageMargins left="0.7" right="0.7" top="0.75" bottom="0.75" header="0.3" footer="0.3"/>
  <pageSetup scale="28" fitToHeight="0" orientation="portrait" r:id="rId1"/>
  <rowBreaks count="1" manualBreakCount="1">
    <brk id="106" max="12"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95F90-C964-45BB-8C50-5DE2A76C759B}">
  <sheetPr>
    <tabColor rgb="FF92D050"/>
    <pageSetUpPr fitToPage="1"/>
  </sheetPr>
  <dimension ref="A1:AZ49"/>
  <sheetViews>
    <sheetView topLeftCell="D24" zoomScale="55" zoomScaleNormal="55" zoomScaleSheetLayoutView="50" workbookViewId="0">
      <selection activeCell="D4" sqref="D4:K4"/>
    </sheetView>
  </sheetViews>
  <sheetFormatPr baseColWidth="10" defaultColWidth="11.42578125" defaultRowHeight="16.5"/>
  <cols>
    <col min="1" max="1" width="16" style="2" customWidth="1"/>
    <col min="2" max="2" width="25.42578125" style="2" customWidth="1"/>
    <col min="3" max="3" width="43.42578125" style="2" customWidth="1"/>
    <col min="4" max="4" width="28.28515625" style="2" customWidth="1"/>
    <col min="5" max="5" width="26.140625" style="2" customWidth="1"/>
    <col min="6" max="6" width="32.42578125" style="2" customWidth="1"/>
    <col min="7" max="7" width="29.5703125" style="2" customWidth="1"/>
    <col min="8" max="8" width="32.42578125" style="2" customWidth="1"/>
    <col min="9" max="9" width="33.85546875" style="2" customWidth="1"/>
    <col min="10" max="10" width="23.28515625" style="2" customWidth="1"/>
    <col min="11" max="11" width="28.42578125" style="2" customWidth="1"/>
    <col min="12" max="12" width="33.28515625" style="2" customWidth="1"/>
    <col min="13" max="13" width="11.42578125" style="3" hidden="1" customWidth="1"/>
    <col min="14" max="14" width="15.7109375" style="14" customWidth="1"/>
    <col min="15" max="15" width="41.7109375" style="14" customWidth="1"/>
    <col min="16" max="16" width="23.28515625" style="14" customWidth="1"/>
    <col min="17" max="17" width="11.42578125" style="14" customWidth="1"/>
    <col min="18" max="18" width="11.42578125" style="2"/>
    <col min="19" max="19" width="53.7109375" style="2" customWidth="1"/>
    <col min="20" max="16384" width="11.42578125" style="2"/>
  </cols>
  <sheetData>
    <row r="1" spans="1:17" ht="85.5" customHeight="1" thickBot="1">
      <c r="A1" s="1">
        <v>10</v>
      </c>
      <c r="C1" s="214" t="s">
        <v>29</v>
      </c>
      <c r="D1" s="215"/>
      <c r="E1" s="215"/>
      <c r="F1" s="215"/>
      <c r="G1" s="215"/>
      <c r="H1" s="215"/>
      <c r="I1" s="215"/>
      <c r="J1" s="215"/>
      <c r="K1" s="216"/>
      <c r="L1" s="39"/>
      <c r="N1" s="3"/>
      <c r="O1" s="3"/>
      <c r="P1" s="3"/>
      <c r="Q1" s="3"/>
    </row>
    <row r="2" spans="1:17" ht="16.5" customHeight="1" thickBot="1">
      <c r="A2" s="4"/>
      <c r="B2" s="5"/>
      <c r="C2" s="5"/>
      <c r="D2" s="5"/>
      <c r="E2" s="5"/>
      <c r="F2" s="5"/>
      <c r="G2" s="5"/>
      <c r="H2" s="5"/>
      <c r="I2" s="5"/>
      <c r="J2" s="5"/>
      <c r="K2" s="5"/>
      <c r="L2" s="5"/>
      <c r="N2" s="3"/>
      <c r="O2" s="3"/>
      <c r="P2" s="3"/>
      <c r="Q2" s="3"/>
    </row>
    <row r="3" spans="1:17" ht="54.75" customHeight="1" thickBot="1">
      <c r="A3" s="4"/>
      <c r="B3" s="4"/>
      <c r="C3" s="80" t="s">
        <v>2</v>
      </c>
      <c r="D3" s="217" t="str">
        <f>+'CONSOLIDADO FINANCIERO'!L5</f>
        <v>REALIZAR LAS REPARACIONES LOCATIVAS DE LA INFRAESTRUCTURA FÍSICA DE LA SEDE PRINCIPAL - CNA DEL FONDO NACIONAL DEL AHORRO S.A.</v>
      </c>
      <c r="E3" s="218"/>
      <c r="F3" s="218"/>
      <c r="G3" s="218"/>
      <c r="H3" s="218"/>
      <c r="I3" s="218"/>
      <c r="J3" s="218"/>
      <c r="K3" s="219"/>
      <c r="L3" s="40"/>
      <c r="N3" s="3"/>
      <c r="O3" s="3"/>
      <c r="P3" s="3"/>
      <c r="Q3" s="3"/>
    </row>
    <row r="4" spans="1:17" ht="36.75" customHeight="1">
      <c r="A4" s="4"/>
      <c r="B4" s="4"/>
      <c r="C4" s="7" t="s">
        <v>4</v>
      </c>
      <c r="D4" s="220" t="str">
        <f>+'CONSOLIDADO FINANCIERO'!D6</f>
        <v>FNA-VGHA-CP-015-2024</v>
      </c>
      <c r="E4" s="220"/>
      <c r="F4" s="220"/>
      <c r="G4" s="220"/>
      <c r="H4" s="220"/>
      <c r="I4" s="220"/>
      <c r="J4" s="220"/>
      <c r="K4" s="221"/>
      <c r="L4" s="40"/>
      <c r="N4" s="3"/>
      <c r="O4" s="3"/>
      <c r="P4" s="3"/>
      <c r="Q4" s="3"/>
    </row>
    <row r="5" spans="1:17" ht="35.25" customHeight="1" thickBot="1">
      <c r="A5" s="4"/>
      <c r="B5" s="4"/>
      <c r="C5" s="8" t="s">
        <v>30</v>
      </c>
      <c r="D5" s="222">
        <f>+'CONSOLIDADO FINANCIERO'!L7</f>
        <v>5282931966</v>
      </c>
      <c r="E5" s="222"/>
      <c r="F5" s="222"/>
      <c r="G5" s="222"/>
      <c r="H5" s="222"/>
      <c r="I5" s="222"/>
      <c r="J5" s="222"/>
      <c r="K5" s="223"/>
      <c r="L5" s="40"/>
      <c r="N5" s="3"/>
      <c r="O5" s="3"/>
      <c r="P5" s="3"/>
      <c r="Q5" s="3"/>
    </row>
    <row r="6" spans="1:17" ht="16.5" customHeight="1" thickBot="1">
      <c r="A6" s="4"/>
      <c r="B6" s="4"/>
      <c r="C6" s="9"/>
      <c r="D6" s="10"/>
      <c r="E6" s="10"/>
      <c r="F6" s="10"/>
      <c r="G6" s="10"/>
      <c r="H6" s="10"/>
      <c r="I6" s="10"/>
      <c r="J6" s="10"/>
      <c r="K6" s="10"/>
      <c r="L6" s="40"/>
      <c r="N6" s="3"/>
      <c r="O6" s="3"/>
      <c r="P6" s="3"/>
      <c r="Q6" s="3"/>
    </row>
    <row r="7" spans="1:17" ht="60" customHeight="1" thickBot="1">
      <c r="A7" s="4"/>
      <c r="B7" s="4"/>
      <c r="C7" s="224" t="s">
        <v>31</v>
      </c>
      <c r="D7" s="225"/>
      <c r="E7" s="225"/>
      <c r="F7" s="225"/>
      <c r="G7" s="225"/>
      <c r="H7" s="225"/>
      <c r="I7" s="225"/>
      <c r="J7" s="225"/>
      <c r="K7" s="226"/>
      <c r="L7" s="40"/>
      <c r="N7" s="3"/>
      <c r="O7" s="3"/>
      <c r="P7" s="3"/>
      <c r="Q7" s="3"/>
    </row>
    <row r="8" spans="1:17" ht="60" customHeight="1" thickBot="1">
      <c r="A8" s="4"/>
      <c r="B8" s="4"/>
      <c r="C8" s="241" t="s">
        <v>331</v>
      </c>
      <c r="D8" s="242"/>
      <c r="E8" s="242"/>
      <c r="F8" s="242"/>
      <c r="G8" s="242"/>
      <c r="H8" s="242"/>
      <c r="I8" s="242"/>
      <c r="J8" s="242"/>
      <c r="K8" s="353"/>
      <c r="L8" s="40"/>
      <c r="N8" s="3"/>
      <c r="O8" s="3"/>
      <c r="P8" s="3"/>
      <c r="Q8" s="3"/>
    </row>
    <row r="9" spans="1:17" ht="42.75" customHeight="1" thickBot="1">
      <c r="A9" s="4"/>
      <c r="B9" s="4"/>
      <c r="C9" s="227" t="s">
        <v>332</v>
      </c>
      <c r="D9" s="228"/>
      <c r="E9" s="228"/>
      <c r="F9" s="228"/>
      <c r="G9" s="228"/>
      <c r="H9" s="228"/>
      <c r="I9" s="228"/>
      <c r="J9" s="228"/>
      <c r="K9" s="229"/>
      <c r="L9" s="40"/>
      <c r="N9" s="3"/>
      <c r="O9" s="3"/>
      <c r="P9" s="3"/>
      <c r="Q9" s="3"/>
    </row>
    <row r="10" spans="1:17" ht="36.75" customHeight="1">
      <c r="A10" s="4"/>
      <c r="B10" s="4"/>
      <c r="C10" s="6" t="s">
        <v>33</v>
      </c>
      <c r="D10" s="234">
        <v>45643</v>
      </c>
      <c r="E10" s="234"/>
      <c r="F10" s="234"/>
      <c r="G10" s="234"/>
      <c r="H10" s="234"/>
      <c r="I10" s="234"/>
      <c r="J10" s="235"/>
      <c r="K10" s="236"/>
      <c r="L10" s="40"/>
      <c r="N10" s="3"/>
      <c r="O10" s="3"/>
      <c r="P10" s="3"/>
      <c r="Q10" s="3"/>
    </row>
    <row r="11" spans="1:17" ht="36.75" customHeight="1" thickBot="1">
      <c r="A11" s="4"/>
      <c r="B11" s="4"/>
      <c r="C11" s="7" t="s">
        <v>34</v>
      </c>
      <c r="D11" s="230">
        <v>45636</v>
      </c>
      <c r="E11" s="230"/>
      <c r="F11" s="230"/>
      <c r="G11" s="230"/>
      <c r="H11" s="230"/>
      <c r="I11" s="230"/>
      <c r="J11" s="237" t="str">
        <f>IF(D11&gt;=O11,"CUMPLE","NO CUMPLE")</f>
        <v>CUMPLE</v>
      </c>
      <c r="K11" s="238"/>
      <c r="L11" s="41" t="s">
        <v>35</v>
      </c>
      <c r="M11" s="42">
        <f>IF(J11="CUMPLE",0,1)</f>
        <v>0</v>
      </c>
      <c r="N11" s="13">
        <f ca="1">+TODAY()-30</f>
        <v>45622</v>
      </c>
      <c r="O11" s="12">
        <f>+D10-30</f>
        <v>45613</v>
      </c>
      <c r="P11" s="3" t="s">
        <v>36</v>
      </c>
      <c r="Q11" s="3"/>
    </row>
    <row r="12" spans="1:17" ht="36.75" customHeight="1" thickBot="1">
      <c r="A12" s="4"/>
      <c r="B12" s="4"/>
      <c r="C12" s="7" t="s">
        <v>37</v>
      </c>
      <c r="D12" s="230">
        <v>45391</v>
      </c>
      <c r="E12" s="230"/>
      <c r="F12" s="230"/>
      <c r="G12" s="230"/>
      <c r="H12" s="230"/>
      <c r="I12" s="230"/>
      <c r="J12" s="237" t="str">
        <f>IF(D11&gt;=O12,"CUMPLE","NO CUMPLE")</f>
        <v>CUMPLE</v>
      </c>
      <c r="K12" s="238"/>
      <c r="L12" s="41" t="s">
        <v>35</v>
      </c>
      <c r="M12" s="11">
        <f>IF(J12="CUMPLE",0,1)</f>
        <v>0</v>
      </c>
      <c r="N12" s="3"/>
      <c r="O12" s="13">
        <f>+D12+15</f>
        <v>45406</v>
      </c>
      <c r="P12" s="3" t="s">
        <v>38</v>
      </c>
      <c r="Q12" s="3"/>
    </row>
    <row r="13" spans="1:17" s="14" customFormat="1" ht="41.25" customHeight="1" thickBot="1">
      <c r="A13" s="4"/>
      <c r="B13" s="4"/>
      <c r="C13" s="8" t="s">
        <v>39</v>
      </c>
      <c r="D13" s="230">
        <v>45291</v>
      </c>
      <c r="E13" s="230"/>
      <c r="F13" s="230"/>
      <c r="G13" s="230"/>
      <c r="H13" s="230"/>
      <c r="I13" s="230"/>
      <c r="J13" s="231" t="str">
        <f>IF(D11&gt;=O13,"CUMPLE","NO CUMPLE")</f>
        <v>CUMPLE</v>
      </c>
      <c r="K13" s="232"/>
      <c r="L13" s="41" t="s">
        <v>35</v>
      </c>
      <c r="M13" s="11">
        <f>IF(J13="CUMPLE",0,1)</f>
        <v>0</v>
      </c>
      <c r="N13" s="3"/>
      <c r="O13" s="13">
        <f>+D13+15</f>
        <v>45306</v>
      </c>
      <c r="P13" s="3"/>
      <c r="Q13" s="3"/>
    </row>
    <row r="14" spans="1:17" ht="31.5" customHeight="1" thickBot="1">
      <c r="A14" s="4"/>
      <c r="B14" s="4"/>
      <c r="C14" s="233"/>
      <c r="D14" s="233"/>
      <c r="E14" s="233"/>
      <c r="F14" s="233"/>
      <c r="G14" s="233"/>
      <c r="H14" s="233"/>
      <c r="I14" s="233"/>
      <c r="J14" s="233"/>
      <c r="K14" s="233"/>
      <c r="L14" s="41"/>
      <c r="N14" s="3"/>
      <c r="O14" s="3"/>
      <c r="P14" s="3"/>
      <c r="Q14" s="3"/>
    </row>
    <row r="15" spans="1:17" ht="37.5" customHeight="1" thickBot="1">
      <c r="A15" s="4"/>
      <c r="B15" s="4"/>
      <c r="C15" s="227" t="s">
        <v>333</v>
      </c>
      <c r="D15" s="228"/>
      <c r="E15" s="228"/>
      <c r="F15" s="228"/>
      <c r="G15" s="228"/>
      <c r="H15" s="228"/>
      <c r="I15" s="228"/>
      <c r="J15" s="228"/>
      <c r="K15" s="229"/>
      <c r="L15" s="41"/>
      <c r="N15" s="3"/>
      <c r="O15" s="3"/>
      <c r="P15" s="3"/>
      <c r="Q15" s="3"/>
    </row>
    <row r="16" spans="1:17" ht="36.75" customHeight="1">
      <c r="A16" s="4"/>
      <c r="B16" s="4"/>
      <c r="C16" s="6" t="s">
        <v>33</v>
      </c>
      <c r="D16" s="234">
        <v>45643</v>
      </c>
      <c r="E16" s="234"/>
      <c r="F16" s="234"/>
      <c r="G16" s="234"/>
      <c r="H16" s="234"/>
      <c r="I16" s="234"/>
      <c r="J16" s="235"/>
      <c r="K16" s="236"/>
      <c r="L16" s="41"/>
      <c r="N16" s="3"/>
      <c r="O16" s="3"/>
      <c r="P16" s="3"/>
      <c r="Q16" s="3"/>
    </row>
    <row r="17" spans="1:19" ht="36.75" customHeight="1">
      <c r="A17" s="4"/>
      <c r="B17" s="4"/>
      <c r="C17" s="7" t="s">
        <v>34</v>
      </c>
      <c r="D17" s="239">
        <v>45639</v>
      </c>
      <c r="E17" s="239"/>
      <c r="F17" s="239"/>
      <c r="G17" s="239"/>
      <c r="H17" s="239"/>
      <c r="I17" s="239"/>
      <c r="J17" s="237" t="str">
        <f>IF(D17&gt;=O17,"CUMPLE","NO CUMPLE")</f>
        <v>CUMPLE</v>
      </c>
      <c r="K17" s="238"/>
      <c r="L17" s="41" t="s">
        <v>35</v>
      </c>
      <c r="M17" s="11">
        <f>IF(J17="CUMPLE",0,1)</f>
        <v>0</v>
      </c>
      <c r="N17" s="3"/>
      <c r="O17" s="12">
        <f>+D16-30</f>
        <v>45613</v>
      </c>
      <c r="P17" s="3" t="s">
        <v>36</v>
      </c>
      <c r="Q17" s="3"/>
    </row>
    <row r="18" spans="1:19" ht="36.75" customHeight="1">
      <c r="A18" s="4"/>
      <c r="B18" s="4"/>
      <c r="C18" s="7" t="s">
        <v>37</v>
      </c>
      <c r="D18" s="239">
        <v>45349</v>
      </c>
      <c r="E18" s="239"/>
      <c r="F18" s="239"/>
      <c r="G18" s="239"/>
      <c r="H18" s="239"/>
      <c r="I18" s="239"/>
      <c r="J18" s="237" t="str">
        <f>IF(D17&gt;=O18,"CUMPLE","NO CUMPLE")</f>
        <v>CUMPLE</v>
      </c>
      <c r="K18" s="238"/>
      <c r="L18" s="41" t="s">
        <v>35</v>
      </c>
      <c r="M18" s="11">
        <f>IF(J18="CUMPLE",0,1)</f>
        <v>0</v>
      </c>
      <c r="N18" s="3"/>
      <c r="O18" s="13">
        <f>+D18+15</f>
        <v>45364</v>
      </c>
      <c r="P18" s="3" t="s">
        <v>38</v>
      </c>
      <c r="Q18" s="3"/>
    </row>
    <row r="19" spans="1:19" s="14" customFormat="1" ht="36" customHeight="1" thickBot="1">
      <c r="A19" s="4"/>
      <c r="B19" s="4"/>
      <c r="C19" s="8" t="s">
        <v>39</v>
      </c>
      <c r="D19" s="230">
        <v>45291</v>
      </c>
      <c r="E19" s="230"/>
      <c r="F19" s="230"/>
      <c r="G19" s="230"/>
      <c r="H19" s="230"/>
      <c r="I19" s="230"/>
      <c r="J19" s="231" t="str">
        <f>IF(D17&gt;=O19,"CUMPLE","NO CUMPLE")</f>
        <v>CUMPLE</v>
      </c>
      <c r="K19" s="232"/>
      <c r="L19" s="41" t="s">
        <v>35</v>
      </c>
      <c r="M19" s="11">
        <f>IF(J19="CUMPLE",0,1)</f>
        <v>0</v>
      </c>
      <c r="N19" s="3"/>
      <c r="O19" s="13">
        <f>+D19+15</f>
        <v>45306</v>
      </c>
      <c r="P19" s="3"/>
      <c r="Q19" s="3"/>
    </row>
    <row r="20" spans="1:19" ht="13.5" customHeight="1" thickBot="1">
      <c r="B20" s="4"/>
      <c r="C20" s="15"/>
      <c r="D20" s="16"/>
      <c r="E20" s="16"/>
      <c r="F20" s="17"/>
      <c r="G20" s="16"/>
      <c r="H20" s="16"/>
      <c r="I20" s="16"/>
      <c r="J20" s="18"/>
      <c r="K20" s="19"/>
      <c r="L20" s="40"/>
      <c r="M20" s="11"/>
      <c r="N20" s="3"/>
      <c r="O20" s="3"/>
      <c r="P20" s="3"/>
      <c r="Q20" s="3"/>
    </row>
    <row r="21" spans="1:19" ht="31.5" customHeight="1" thickBot="1">
      <c r="A21" s="4"/>
      <c r="B21" s="4"/>
      <c r="C21" s="224" t="s">
        <v>334</v>
      </c>
      <c r="D21" s="225"/>
      <c r="E21" s="225"/>
      <c r="F21" s="225"/>
      <c r="G21" s="225"/>
      <c r="H21" s="225"/>
      <c r="I21" s="225"/>
      <c r="J21" s="225"/>
      <c r="K21" s="226"/>
      <c r="L21" s="41"/>
      <c r="N21" s="3"/>
      <c r="O21" s="3"/>
      <c r="P21" s="3"/>
      <c r="Q21" s="3"/>
    </row>
    <row r="22" spans="1:19" ht="5.0999999999999996" customHeight="1" thickBot="1">
      <c r="A22" s="4"/>
      <c r="B22" s="4"/>
      <c r="C22" s="9"/>
      <c r="D22" s="10"/>
      <c r="E22" s="10"/>
      <c r="F22" s="10"/>
      <c r="G22" s="10"/>
      <c r="H22" s="10"/>
      <c r="I22" s="10"/>
      <c r="J22" s="10"/>
      <c r="K22" s="10"/>
      <c r="L22" s="41"/>
      <c r="N22" s="3"/>
      <c r="O22" s="3"/>
      <c r="P22" s="3"/>
      <c r="Q22" s="3"/>
    </row>
    <row r="23" spans="1:19" ht="36.75" customHeight="1">
      <c r="A23" s="4"/>
      <c r="B23" s="4"/>
      <c r="C23" s="6" t="s">
        <v>33</v>
      </c>
      <c r="D23" s="234">
        <v>45643</v>
      </c>
      <c r="E23" s="234"/>
      <c r="F23" s="234"/>
      <c r="G23" s="234"/>
      <c r="H23" s="234"/>
      <c r="I23" s="234"/>
      <c r="J23" s="235"/>
      <c r="K23" s="236"/>
      <c r="L23" s="41"/>
      <c r="N23" s="3"/>
      <c r="O23" s="3"/>
      <c r="P23" s="3"/>
      <c r="Q23" s="3"/>
    </row>
    <row r="24" spans="1:19" ht="36.75" customHeight="1">
      <c r="A24" s="4"/>
      <c r="B24" s="4"/>
      <c r="C24" s="7" t="s">
        <v>34</v>
      </c>
      <c r="D24" s="239">
        <v>45639</v>
      </c>
      <c r="E24" s="239"/>
      <c r="F24" s="239"/>
      <c r="G24" s="239"/>
      <c r="H24" s="239"/>
      <c r="I24" s="239"/>
      <c r="J24" s="237" t="str">
        <f>IF(D24&gt;=O24,"CUMPLE","NO CUMPLE")</f>
        <v>CUMPLE</v>
      </c>
      <c r="K24" s="238"/>
      <c r="L24" s="41" t="s">
        <v>35</v>
      </c>
      <c r="M24" s="11">
        <f>IF(J24="CUMPLE",0,1)</f>
        <v>0</v>
      </c>
      <c r="N24" s="3"/>
      <c r="O24" s="12">
        <f>+D23-30</f>
        <v>45613</v>
      </c>
      <c r="P24" s="3" t="s">
        <v>36</v>
      </c>
      <c r="Q24" s="3"/>
    </row>
    <row r="25" spans="1:19" ht="36.75" customHeight="1">
      <c r="A25" s="4"/>
      <c r="B25" s="4"/>
      <c r="C25" s="7" t="s">
        <v>37</v>
      </c>
      <c r="D25" s="239">
        <v>45351</v>
      </c>
      <c r="E25" s="239"/>
      <c r="F25" s="239"/>
      <c r="G25" s="239"/>
      <c r="H25" s="239"/>
      <c r="I25" s="239"/>
      <c r="J25" s="237" t="str">
        <f>IF(D24&gt;=O25,"CUMPLE","NO CUMPLE")</f>
        <v>CUMPLE</v>
      </c>
      <c r="K25" s="238"/>
      <c r="L25" s="41" t="s">
        <v>35</v>
      </c>
      <c r="M25" s="11">
        <f>IF(J25="CUMPLE",0,1)</f>
        <v>0</v>
      </c>
      <c r="N25" s="3"/>
      <c r="O25" s="13">
        <f>+D25+15</f>
        <v>45366</v>
      </c>
      <c r="P25" s="3" t="s">
        <v>38</v>
      </c>
      <c r="Q25" s="3"/>
    </row>
    <row r="26" spans="1:19" s="14" customFormat="1" ht="36" customHeight="1" thickBot="1">
      <c r="A26" s="4"/>
      <c r="B26" s="4"/>
      <c r="C26" s="8" t="s">
        <v>39</v>
      </c>
      <c r="D26" s="230">
        <v>45291</v>
      </c>
      <c r="E26" s="230"/>
      <c r="F26" s="230"/>
      <c r="G26" s="230"/>
      <c r="H26" s="230"/>
      <c r="I26" s="230"/>
      <c r="J26" s="231" t="str">
        <f>IF(D24&gt;=O26,"CUMPLE","NO CUMPLE")</f>
        <v>CUMPLE</v>
      </c>
      <c r="K26" s="232"/>
      <c r="L26" s="41" t="s">
        <v>35</v>
      </c>
      <c r="M26" s="11">
        <f>IF(J26="CUMPLE",0,1)</f>
        <v>0</v>
      </c>
      <c r="N26" s="3"/>
      <c r="O26" s="13">
        <f>+D26+15</f>
        <v>45306</v>
      </c>
      <c r="P26" s="3"/>
      <c r="Q26" s="3"/>
    </row>
    <row r="27" spans="1:19" ht="13.5" customHeight="1" thickBot="1">
      <c r="B27" s="4"/>
      <c r="C27" s="15"/>
      <c r="D27" s="16"/>
      <c r="E27" s="16"/>
      <c r="F27" s="17"/>
      <c r="G27" s="16"/>
      <c r="H27" s="16"/>
      <c r="I27" s="16"/>
      <c r="J27" s="18"/>
      <c r="K27" s="19"/>
      <c r="L27" s="40"/>
      <c r="M27" s="11"/>
      <c r="N27" s="3"/>
      <c r="O27" s="3"/>
      <c r="P27" s="3"/>
      <c r="Q27" s="3"/>
    </row>
    <row r="28" spans="1:19" ht="39" customHeight="1" thickBot="1">
      <c r="A28" s="4"/>
      <c r="B28" s="5"/>
      <c r="C28" s="241" t="s">
        <v>40</v>
      </c>
      <c r="D28" s="242"/>
      <c r="E28" s="242"/>
      <c r="F28" s="243"/>
      <c r="G28" s="242"/>
      <c r="H28" s="242"/>
      <c r="I28" s="242"/>
      <c r="J28" s="242"/>
      <c r="K28" s="244"/>
      <c r="L28" s="5"/>
      <c r="N28" s="3"/>
      <c r="O28" s="3"/>
      <c r="P28" s="3"/>
      <c r="Q28" s="3"/>
    </row>
    <row r="29" spans="1:19" ht="7.5" customHeight="1">
      <c r="A29" s="4"/>
      <c r="B29" s="5"/>
      <c r="C29" s="5"/>
      <c r="D29" s="5"/>
      <c r="E29" s="5"/>
      <c r="F29" s="20"/>
      <c r="G29" s="5"/>
      <c r="H29" s="5"/>
      <c r="I29" s="5"/>
      <c r="J29" s="5"/>
      <c r="K29" s="21"/>
      <c r="L29" s="5"/>
      <c r="N29" s="3"/>
      <c r="O29" s="3"/>
      <c r="P29" s="3"/>
      <c r="Q29" s="3"/>
    </row>
    <row r="30" spans="1:19" s="24" customFormat="1" ht="69" customHeight="1">
      <c r="A30" s="245" t="s">
        <v>41</v>
      </c>
      <c r="B30" s="245" t="s">
        <v>42</v>
      </c>
      <c r="C30" s="245" t="s">
        <v>43</v>
      </c>
      <c r="D30" s="245" t="s">
        <v>44</v>
      </c>
      <c r="E30" s="245" t="s">
        <v>45</v>
      </c>
      <c r="F30" s="23" t="str">
        <f>+C9</f>
        <v>GESTIÓN RURAL Y URBANA S.A.S.</v>
      </c>
      <c r="G30" s="22" t="str">
        <f>+C15</f>
        <v>REDES, CONSTRUCCIONES E INGENIERIA S.A.S.</v>
      </c>
      <c r="H30" s="22" t="str">
        <f>+C21</f>
        <v>INGINIUS S.A.S.</v>
      </c>
      <c r="I30" s="245" t="s">
        <v>46</v>
      </c>
      <c r="J30" s="245" t="s">
        <v>47</v>
      </c>
      <c r="K30" s="245" t="s">
        <v>48</v>
      </c>
      <c r="L30" s="246" t="s">
        <v>49</v>
      </c>
      <c r="M30" s="3"/>
      <c r="N30" s="3"/>
      <c r="O30" s="3"/>
      <c r="P30" s="3"/>
      <c r="Q30" s="3"/>
    </row>
    <row r="31" spans="1:19" s="24" customFormat="1" ht="27" customHeight="1">
      <c r="A31" s="245"/>
      <c r="B31" s="245"/>
      <c r="C31" s="245"/>
      <c r="D31" s="245"/>
      <c r="E31" s="245"/>
      <c r="F31" s="25">
        <v>0.33</v>
      </c>
      <c r="G31" s="26">
        <v>0.33</v>
      </c>
      <c r="H31" s="26">
        <v>0.34</v>
      </c>
      <c r="I31" s="245"/>
      <c r="J31" s="245"/>
      <c r="K31" s="245"/>
      <c r="L31" s="246"/>
      <c r="M31" s="3"/>
      <c r="N31" s="3"/>
      <c r="O31" s="3"/>
      <c r="P31" s="3"/>
      <c r="Q31" s="3"/>
    </row>
    <row r="32" spans="1:19" ht="33" customHeight="1">
      <c r="A32" s="247" t="s">
        <v>50</v>
      </c>
      <c r="B32" s="248" t="s">
        <v>51</v>
      </c>
      <c r="C32" s="249" t="s">
        <v>52</v>
      </c>
      <c r="D32" s="250">
        <f>'CONSOLIDADO FINANCIERO'!L7*25%</f>
        <v>1320732991.5</v>
      </c>
      <c r="E32" s="27" t="s">
        <v>53</v>
      </c>
      <c r="F32" s="74">
        <v>8305559378</v>
      </c>
      <c r="G32" s="74">
        <v>939087661</v>
      </c>
      <c r="H32" s="28">
        <v>534576489</v>
      </c>
      <c r="I32" s="251">
        <f>(F32-F33)+(G32-G33)</f>
        <v>6901342226</v>
      </c>
      <c r="J32" s="252" t="str">
        <f>IF(I32&gt;=D32,"CUMPLE","NO CUMPLE")</f>
        <v>CUMPLE</v>
      </c>
      <c r="K32" s="253" t="s">
        <v>54</v>
      </c>
      <c r="L32" s="254" t="s">
        <v>55</v>
      </c>
      <c r="M32" s="367">
        <f>IF(J32="CUMPLE",0,1)</f>
        <v>0</v>
      </c>
      <c r="N32" s="29"/>
      <c r="O32" s="3"/>
      <c r="P32" s="3"/>
      <c r="Q32" s="3"/>
      <c r="S32" s="46"/>
    </row>
    <row r="33" spans="1:52" ht="33" customHeight="1">
      <c r="A33" s="247"/>
      <c r="B33" s="248"/>
      <c r="C33" s="249"/>
      <c r="D33" s="250"/>
      <c r="E33" s="27" t="s">
        <v>56</v>
      </c>
      <c r="F33" s="74">
        <v>2050610452</v>
      </c>
      <c r="G33" s="74">
        <v>292694361</v>
      </c>
      <c r="H33" s="28">
        <v>100369962</v>
      </c>
      <c r="I33" s="251"/>
      <c r="J33" s="252"/>
      <c r="K33" s="253"/>
      <c r="L33" s="255"/>
      <c r="M33" s="367"/>
      <c r="N33" s="3"/>
      <c r="O33" s="3"/>
      <c r="P33" s="3"/>
      <c r="Q33" s="3"/>
      <c r="S33" s="46"/>
    </row>
    <row r="34" spans="1:52" ht="33" customHeight="1">
      <c r="A34" s="247" t="s">
        <v>50</v>
      </c>
      <c r="B34" s="248" t="str">
        <f>B32</f>
        <v>4.3.1 CAPACIDAD FINANCIERA</v>
      </c>
      <c r="C34" s="249" t="s">
        <v>10</v>
      </c>
      <c r="D34" s="262">
        <v>1.9</v>
      </c>
      <c r="E34" s="27" t="s">
        <v>53</v>
      </c>
      <c r="F34" s="75">
        <f t="shared" ref="F34:H35" si="0">+F32</f>
        <v>8305559378</v>
      </c>
      <c r="G34" s="75">
        <f t="shared" si="0"/>
        <v>939087661</v>
      </c>
      <c r="H34" s="43">
        <f t="shared" si="0"/>
        <v>534576489</v>
      </c>
      <c r="I34" s="263">
        <f>+((F34*F31)+(G34*G31)+(H34*H31))/((F35*F31)+(G35*G31)+(H35*H31))</f>
        <v>4.0034976100759732</v>
      </c>
      <c r="J34" s="264" t="str">
        <f>IF(I34&gt;=D34,"CUMPLE","NO CUMPLE")</f>
        <v>CUMPLE</v>
      </c>
      <c r="K34" s="253" t="s">
        <v>54</v>
      </c>
      <c r="L34" s="255"/>
      <c r="M34" s="367">
        <f>IF(J34="CUMPLE",0,1)</f>
        <v>0</v>
      </c>
      <c r="N34" s="3"/>
      <c r="O34" s="3"/>
      <c r="P34" s="3"/>
      <c r="Q34" s="3"/>
      <c r="S34" s="46"/>
    </row>
    <row r="35" spans="1:52" ht="33" customHeight="1">
      <c r="A35" s="247"/>
      <c r="B35" s="248"/>
      <c r="C35" s="249"/>
      <c r="D35" s="262"/>
      <c r="E35" s="27" t="s">
        <v>56</v>
      </c>
      <c r="F35" s="75">
        <f t="shared" si="0"/>
        <v>2050610452</v>
      </c>
      <c r="G35" s="75">
        <f t="shared" si="0"/>
        <v>292694361</v>
      </c>
      <c r="H35" s="35">
        <f t="shared" si="0"/>
        <v>100369962</v>
      </c>
      <c r="I35" s="263"/>
      <c r="J35" s="264"/>
      <c r="K35" s="257"/>
      <c r="L35" s="255"/>
      <c r="M35" s="367"/>
      <c r="N35" s="3"/>
      <c r="O35" s="3"/>
      <c r="P35" s="3"/>
      <c r="Q35" s="3"/>
    </row>
    <row r="36" spans="1:52" ht="33" customHeight="1">
      <c r="A36" s="247" t="s">
        <v>50</v>
      </c>
      <c r="B36" s="248" t="str">
        <f>B34</f>
        <v>4.3.1 CAPACIDAD FINANCIERA</v>
      </c>
      <c r="C36" s="249" t="s">
        <v>11</v>
      </c>
      <c r="D36" s="267">
        <v>0.6</v>
      </c>
      <c r="E36" s="30" t="s">
        <v>57</v>
      </c>
      <c r="F36" s="74">
        <v>4360571934</v>
      </c>
      <c r="G36" s="74">
        <v>428367081</v>
      </c>
      <c r="H36" s="35">
        <v>115369962</v>
      </c>
      <c r="I36" s="268">
        <f>((F36*F31)+(G36*G31)+(H36*H31))/((F37*F31)+(G37*G31)+(H37*H31))</f>
        <v>0.46738572544475804</v>
      </c>
      <c r="J36" s="264" t="str">
        <f>IF(I36&lt;=D36,"CUMPLE","NO CUMPLE")</f>
        <v>CUMPLE</v>
      </c>
      <c r="K36" s="253" t="s">
        <v>54</v>
      </c>
      <c r="L36" s="255"/>
      <c r="M36" s="367">
        <f>IF(J36="CUMPLE",0,1)</f>
        <v>0</v>
      </c>
      <c r="N36" s="3"/>
      <c r="O36" s="3"/>
      <c r="P36" s="3"/>
      <c r="Q36" s="3"/>
    </row>
    <row r="37" spans="1:52" ht="33" customHeight="1">
      <c r="A37" s="247"/>
      <c r="B37" s="248"/>
      <c r="C37" s="249"/>
      <c r="D37" s="267"/>
      <c r="E37" s="30" t="s">
        <v>58</v>
      </c>
      <c r="F37" s="74">
        <v>8953882313</v>
      </c>
      <c r="G37" s="74">
        <v>980328155</v>
      </c>
      <c r="H37" s="35">
        <v>549678037</v>
      </c>
      <c r="I37" s="268"/>
      <c r="J37" s="264"/>
      <c r="K37" s="257"/>
      <c r="L37" s="255"/>
      <c r="M37" s="367"/>
      <c r="N37" s="3"/>
      <c r="O37" s="3"/>
      <c r="P37" s="3"/>
      <c r="Q37" s="3"/>
    </row>
    <row r="38" spans="1:52" s="32" customFormat="1" ht="27.75" customHeight="1">
      <c r="A38" s="247" t="s">
        <v>50</v>
      </c>
      <c r="B38" s="248" t="str">
        <f>B36</f>
        <v>4.3.1 CAPACIDAD FINANCIERA</v>
      </c>
      <c r="C38" s="249" t="s">
        <v>12</v>
      </c>
      <c r="D38" s="265">
        <v>1.49</v>
      </c>
      <c r="E38" s="30" t="s">
        <v>59</v>
      </c>
      <c r="F38" s="74">
        <v>1198313379</v>
      </c>
      <c r="G38" s="74">
        <v>406610194</v>
      </c>
      <c r="H38" s="35">
        <v>232179520</v>
      </c>
      <c r="I38" s="266">
        <f>((F38*F31)+(G38*G31)+(H38*H31))/((F39*F31)+(G39*G31)+(H39*H31))</f>
        <v>6.7997758367873393</v>
      </c>
      <c r="J38" s="264" t="str">
        <f>IF(I38&gt;=D38,"CUMPLE","NO CUMPLE")</f>
        <v>CUMPLE</v>
      </c>
      <c r="K38" s="258" t="s">
        <v>54</v>
      </c>
      <c r="L38" s="255"/>
      <c r="M38" s="367">
        <f>IF(J38="CUMPLE",0,1)</f>
        <v>0</v>
      </c>
      <c r="N38" s="31"/>
      <c r="O38" s="31"/>
      <c r="P38" s="31"/>
      <c r="Q38" s="31"/>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row>
    <row r="39" spans="1:52" s="32" customFormat="1" ht="27.75" customHeight="1">
      <c r="A39" s="247"/>
      <c r="B39" s="248"/>
      <c r="C39" s="249"/>
      <c r="D39" s="265"/>
      <c r="E39" s="30" t="s">
        <v>60</v>
      </c>
      <c r="F39" s="74">
        <v>208548241</v>
      </c>
      <c r="G39" s="74">
        <v>62657587</v>
      </c>
      <c r="H39" s="35">
        <v>0</v>
      </c>
      <c r="I39" s="266"/>
      <c r="J39" s="264"/>
      <c r="K39" s="258"/>
      <c r="L39" s="255"/>
      <c r="M39" s="367"/>
      <c r="N39" s="31"/>
      <c r="O39" s="31"/>
      <c r="P39" s="31"/>
      <c r="Q39" s="31"/>
      <c r="R39" s="37"/>
      <c r="S39" s="37"/>
      <c r="T39" s="37"/>
      <c r="U39" s="37"/>
      <c r="V39" s="37"/>
      <c r="W39" s="37"/>
      <c r="X39" s="37"/>
      <c r="Y39" s="37"/>
      <c r="Z39" s="37"/>
      <c r="AA39" s="37"/>
      <c r="AB39" s="37"/>
      <c r="AC39" s="37"/>
      <c r="AD39" s="37"/>
      <c r="AE39" s="37"/>
      <c r="AF39" s="37"/>
      <c r="AG39" s="37"/>
      <c r="AH39" s="37"/>
      <c r="AI39" s="37"/>
      <c r="AJ39" s="37"/>
      <c r="AK39" s="37"/>
      <c r="AL39" s="37"/>
      <c r="AM39" s="37"/>
      <c r="AN39" s="37"/>
      <c r="AO39" s="37"/>
      <c r="AP39" s="37"/>
      <c r="AQ39" s="37"/>
      <c r="AR39" s="37"/>
      <c r="AS39" s="37"/>
      <c r="AT39" s="37"/>
      <c r="AU39" s="37"/>
      <c r="AV39" s="37"/>
      <c r="AW39" s="37"/>
      <c r="AX39" s="37"/>
      <c r="AY39" s="37"/>
      <c r="AZ39" s="37"/>
    </row>
    <row r="40" spans="1:52" s="34" customFormat="1" ht="33" customHeight="1">
      <c r="A40" s="247" t="s">
        <v>61</v>
      </c>
      <c r="B40" s="248" t="s">
        <v>62</v>
      </c>
      <c r="C40" s="269" t="s">
        <v>13</v>
      </c>
      <c r="D40" s="270">
        <v>0.11</v>
      </c>
      <c r="E40" s="30" t="s">
        <v>63</v>
      </c>
      <c r="F40" s="75">
        <f>+F38</f>
        <v>1198313379</v>
      </c>
      <c r="G40" s="75">
        <f>+G38</f>
        <v>406610194</v>
      </c>
      <c r="H40" s="33">
        <f>+H38</f>
        <v>232179520</v>
      </c>
      <c r="I40" s="271">
        <f>((F40*F31)+(G40*G31)+(H40*H31))/((F41*F31)+(G41*G31)+(H41*H31))</f>
        <v>0.32973796585207799</v>
      </c>
      <c r="J40" s="264" t="str">
        <f>IF(I40&gt;=D40,"CUMPLE","NO CUMPLE")</f>
        <v>CUMPLE</v>
      </c>
      <c r="K40" s="258" t="s">
        <v>54</v>
      </c>
      <c r="L40" s="255"/>
      <c r="M40" s="367">
        <f>IF(J40="CUMPLE",0,1)</f>
        <v>0</v>
      </c>
      <c r="N40" s="3"/>
      <c r="O40" s="3"/>
      <c r="P40" s="3"/>
      <c r="Q40" s="3"/>
    </row>
    <row r="41" spans="1:52" s="34" customFormat="1" ht="33" customHeight="1">
      <c r="A41" s="247"/>
      <c r="B41" s="248"/>
      <c r="C41" s="269"/>
      <c r="D41" s="270"/>
      <c r="E41" s="30" t="s">
        <v>64</v>
      </c>
      <c r="F41" s="74">
        <v>4593310379</v>
      </c>
      <c r="G41" s="74">
        <v>551961074</v>
      </c>
      <c r="H41" s="35">
        <v>434308075</v>
      </c>
      <c r="I41" s="271"/>
      <c r="J41" s="264"/>
      <c r="K41" s="258"/>
      <c r="L41" s="255"/>
      <c r="M41" s="367"/>
      <c r="N41" s="3"/>
      <c r="O41" s="3"/>
      <c r="P41" s="3"/>
      <c r="Q41" s="3"/>
    </row>
    <row r="42" spans="1:52" s="34" customFormat="1" ht="33" customHeight="1">
      <c r="A42" s="247" t="s">
        <v>61</v>
      </c>
      <c r="B42" s="248" t="str">
        <f>+B40</f>
        <v>4.3.2 capacidad Organizacional</v>
      </c>
      <c r="C42" s="269" t="s">
        <v>65</v>
      </c>
      <c r="D42" s="270">
        <v>0.05</v>
      </c>
      <c r="E42" s="30" t="s">
        <v>63</v>
      </c>
      <c r="F42" s="75">
        <f>+F38</f>
        <v>1198313379</v>
      </c>
      <c r="G42" s="75">
        <f>+G38</f>
        <v>406610194</v>
      </c>
      <c r="H42" s="35">
        <f>+H38</f>
        <v>232179520</v>
      </c>
      <c r="I42" s="271">
        <f>((F42*F31)+(G42*G31)+(H42*H31))/((F43*F31)+(G43*G31)+(H43*H31))</f>
        <v>0.17562314747562566</v>
      </c>
      <c r="J42" s="264" t="str">
        <f>IF(I42&gt;=D42,"CUMPLE","NO CUMPLE")</f>
        <v>CUMPLE</v>
      </c>
      <c r="K42" s="258" t="s">
        <v>54</v>
      </c>
      <c r="L42" s="255"/>
      <c r="M42" s="367">
        <f>IF(J42="CUMPLE",0,1)</f>
        <v>0</v>
      </c>
      <c r="N42" s="3"/>
      <c r="O42" s="3"/>
      <c r="P42" s="3"/>
      <c r="Q42" s="3"/>
    </row>
    <row r="43" spans="1:52" s="34" customFormat="1" ht="33" customHeight="1">
      <c r="A43" s="247"/>
      <c r="B43" s="248"/>
      <c r="C43" s="269"/>
      <c r="D43" s="270"/>
      <c r="E43" s="30" t="s">
        <v>66</v>
      </c>
      <c r="F43" s="75">
        <f>+F37</f>
        <v>8953882313</v>
      </c>
      <c r="G43" s="75">
        <f>+G37</f>
        <v>980328155</v>
      </c>
      <c r="H43" s="35">
        <f>+H37</f>
        <v>549678037</v>
      </c>
      <c r="I43" s="271"/>
      <c r="J43" s="264"/>
      <c r="K43" s="258"/>
      <c r="L43" s="255"/>
      <c r="M43" s="367"/>
      <c r="N43" s="3"/>
      <c r="O43" s="3"/>
      <c r="P43" s="3"/>
      <c r="Q43" s="3"/>
    </row>
    <row r="44" spans="1:52" s="37" customFormat="1" ht="27.75" customHeight="1">
      <c r="A44" s="247" t="s">
        <v>50</v>
      </c>
      <c r="B44" s="248" t="str">
        <f>B32</f>
        <v>4.3.1 CAPACIDAD FINANCIERA</v>
      </c>
      <c r="C44" s="249" t="s">
        <v>67</v>
      </c>
      <c r="D44" s="278">
        <f>'CONSOLIDADO FINANCIERO'!L7*30%</f>
        <v>1584879589.8</v>
      </c>
      <c r="E44" s="30" t="s">
        <v>66</v>
      </c>
      <c r="F44" s="75">
        <f>+F37</f>
        <v>8953882313</v>
      </c>
      <c r="G44" s="75">
        <f>+G37</f>
        <v>980328155</v>
      </c>
      <c r="H44" s="33">
        <f>+H37</f>
        <v>549678037</v>
      </c>
      <c r="I44" s="279">
        <f>(F44-F45)+(G44-G45)</f>
        <v>5145271453</v>
      </c>
      <c r="J44" s="252" t="str">
        <f>IF(I44&gt;=D44,"CUMPLE","NO CUMPLE")</f>
        <v>CUMPLE</v>
      </c>
      <c r="K44" s="259" t="s">
        <v>54</v>
      </c>
      <c r="L44" s="255"/>
      <c r="M44" s="367">
        <f>IF(J44="CUMPLE",0,1)</f>
        <v>0</v>
      </c>
      <c r="N44" s="36"/>
      <c r="O44" s="31"/>
      <c r="P44" s="31"/>
      <c r="Q44" s="31"/>
    </row>
    <row r="45" spans="1:52" s="37" customFormat="1" ht="27.75" customHeight="1" thickBot="1">
      <c r="A45" s="247"/>
      <c r="B45" s="248"/>
      <c r="C45" s="249"/>
      <c r="D45" s="278"/>
      <c r="E45" s="44" t="s">
        <v>68</v>
      </c>
      <c r="F45" s="76">
        <f>+F36</f>
        <v>4360571934</v>
      </c>
      <c r="G45" s="76">
        <f>+G36</f>
        <v>428367081</v>
      </c>
      <c r="H45" s="33">
        <f>+H36</f>
        <v>115369962</v>
      </c>
      <c r="I45" s="280"/>
      <c r="J45" s="281"/>
      <c r="K45" s="260"/>
      <c r="L45" s="256"/>
      <c r="M45" s="367"/>
      <c r="N45" s="31"/>
      <c r="O45" s="31"/>
      <c r="P45" s="31"/>
      <c r="Q45" s="31"/>
    </row>
    <row r="46" spans="1:52" ht="34.5" customHeight="1" thickBot="1">
      <c r="A46" s="4"/>
      <c r="B46" s="4"/>
      <c r="C46" s="4"/>
      <c r="D46" s="4"/>
      <c r="E46" s="272" t="s">
        <v>69</v>
      </c>
      <c r="F46" s="273"/>
      <c r="G46" s="274"/>
      <c r="H46" s="38"/>
      <c r="I46" s="275" t="str">
        <f>IF(M46&gt;0,"NO CUMPLE","CUMPLE")</f>
        <v>CUMPLE</v>
      </c>
      <c r="J46" s="276"/>
      <c r="K46" s="277"/>
      <c r="L46" s="4"/>
      <c r="M46" s="45">
        <f>SUM(M32:M45)</f>
        <v>0</v>
      </c>
      <c r="N46" s="3"/>
      <c r="O46" s="3"/>
      <c r="P46" s="3"/>
      <c r="Q46" s="3"/>
    </row>
    <row r="47" spans="1:52">
      <c r="A47" s="4"/>
      <c r="B47" s="4"/>
      <c r="C47" s="4"/>
      <c r="D47" s="4"/>
      <c r="E47" s="38"/>
      <c r="F47" s="38"/>
      <c r="G47" s="38"/>
      <c r="H47" s="38"/>
      <c r="I47" s="38"/>
      <c r="J47" s="38"/>
      <c r="K47" s="38"/>
      <c r="L47" s="4"/>
      <c r="N47" s="3"/>
      <c r="O47" s="3"/>
      <c r="P47" s="3"/>
      <c r="Q47" s="3"/>
    </row>
    <row r="48" spans="1:52">
      <c r="A48" s="4"/>
      <c r="B48" s="4"/>
      <c r="C48" s="4"/>
      <c r="D48" s="4"/>
      <c r="E48" s="4"/>
      <c r="F48" s="4"/>
      <c r="G48" s="4"/>
      <c r="H48" s="4"/>
      <c r="I48" s="4"/>
      <c r="J48" s="4"/>
      <c r="K48" s="4"/>
      <c r="L48" s="4"/>
      <c r="N48" s="3"/>
      <c r="O48" s="3"/>
      <c r="P48" s="3"/>
      <c r="Q48" s="3"/>
    </row>
    <row r="49" spans="1:17">
      <c r="A49" s="4"/>
      <c r="B49" s="4"/>
      <c r="C49" s="4"/>
      <c r="D49" s="4"/>
      <c r="E49" s="4"/>
      <c r="F49" s="4"/>
      <c r="G49" s="4"/>
      <c r="H49" s="4"/>
      <c r="I49" s="4"/>
      <c r="J49" s="4"/>
      <c r="K49" s="4"/>
      <c r="L49" s="4"/>
      <c r="N49" s="3"/>
      <c r="O49" s="3"/>
      <c r="P49" s="3"/>
      <c r="Q49" s="3"/>
    </row>
  </sheetData>
  <sheetProtection algorithmName="SHA-512" hashValue="FfYCJzvanZf9kq8CRQmmGBvoyz3kOQM7mR1/VjTH3e0Wg3o0VboLQfjt41Dj32DFdVCH64NzeIND22sRJvQfRQ==" saltValue="WrqbURyt1QlLSPPv4w/ASQ==" spinCount="100000" sheet="1" objects="1" scenarios="1"/>
  <mergeCells count="103">
    <mergeCell ref="C1:K1"/>
    <mergeCell ref="D3:K3"/>
    <mergeCell ref="D4:K4"/>
    <mergeCell ref="D5:K5"/>
    <mergeCell ref="C7:K7"/>
    <mergeCell ref="C9:K9"/>
    <mergeCell ref="D13:I13"/>
    <mergeCell ref="J13:K13"/>
    <mergeCell ref="C14:K14"/>
    <mergeCell ref="C8:K8"/>
    <mergeCell ref="C15:K15"/>
    <mergeCell ref="D16:I16"/>
    <mergeCell ref="J16:K16"/>
    <mergeCell ref="D10:I10"/>
    <mergeCell ref="J10:K10"/>
    <mergeCell ref="D11:I11"/>
    <mergeCell ref="J11:K11"/>
    <mergeCell ref="D12:I12"/>
    <mergeCell ref="J12:K12"/>
    <mergeCell ref="C21:K21"/>
    <mergeCell ref="D23:I23"/>
    <mergeCell ref="J23:K23"/>
    <mergeCell ref="D24:I24"/>
    <mergeCell ref="J24:K24"/>
    <mergeCell ref="D25:I25"/>
    <mergeCell ref="J25:K25"/>
    <mergeCell ref="D17:I17"/>
    <mergeCell ref="J17:K17"/>
    <mergeCell ref="D18:I18"/>
    <mergeCell ref="J18:K18"/>
    <mergeCell ref="D19:I19"/>
    <mergeCell ref="J19:K19"/>
    <mergeCell ref="D26:I26"/>
    <mergeCell ref="J26:K26"/>
    <mergeCell ref="C28:K28"/>
    <mergeCell ref="A30:A31"/>
    <mergeCell ref="B30:B31"/>
    <mergeCell ref="C30:C31"/>
    <mergeCell ref="D30:D31"/>
    <mergeCell ref="E30:E31"/>
    <mergeCell ref="I30:I31"/>
    <mergeCell ref="J30:J31"/>
    <mergeCell ref="K30:K31"/>
    <mergeCell ref="L30:L31"/>
    <mergeCell ref="A32:A33"/>
    <mergeCell ref="B32:B33"/>
    <mergeCell ref="C32:C33"/>
    <mergeCell ref="D32:D33"/>
    <mergeCell ref="I32:I33"/>
    <mergeCell ref="J32:J33"/>
    <mergeCell ref="K32:K33"/>
    <mergeCell ref="L32:L45"/>
    <mergeCell ref="D40:D41"/>
    <mergeCell ref="I40:I41"/>
    <mergeCell ref="J40:J41"/>
    <mergeCell ref="K36:K37"/>
    <mergeCell ref="K44:K45"/>
    <mergeCell ref="A38:A39"/>
    <mergeCell ref="B38:B39"/>
    <mergeCell ref="C38:C39"/>
    <mergeCell ref="D38:D39"/>
    <mergeCell ref="I38:I39"/>
    <mergeCell ref="J38:J39"/>
    <mergeCell ref="K38:K39"/>
    <mergeCell ref="K42:K43"/>
    <mergeCell ref="M32:M33"/>
    <mergeCell ref="A34:A35"/>
    <mergeCell ref="B34:B35"/>
    <mergeCell ref="C34:C35"/>
    <mergeCell ref="D34:D35"/>
    <mergeCell ref="I34:I35"/>
    <mergeCell ref="J34:J35"/>
    <mergeCell ref="K34:K35"/>
    <mergeCell ref="M34:M35"/>
    <mergeCell ref="M44:M45"/>
    <mergeCell ref="E46:G46"/>
    <mergeCell ref="I46:K46"/>
    <mergeCell ref="A44:A45"/>
    <mergeCell ref="B44:B45"/>
    <mergeCell ref="C44:C45"/>
    <mergeCell ref="D44:D45"/>
    <mergeCell ref="I44:I45"/>
    <mergeCell ref="J44:J45"/>
    <mergeCell ref="M42:M43"/>
    <mergeCell ref="A40:A41"/>
    <mergeCell ref="B40:B41"/>
    <mergeCell ref="C40:C41"/>
    <mergeCell ref="M36:M37"/>
    <mergeCell ref="M38:M39"/>
    <mergeCell ref="A36:A37"/>
    <mergeCell ref="B36:B37"/>
    <mergeCell ref="C36:C37"/>
    <mergeCell ref="D36:D37"/>
    <mergeCell ref="I36:I37"/>
    <mergeCell ref="J36:J37"/>
    <mergeCell ref="K40:K41"/>
    <mergeCell ref="M40:M41"/>
    <mergeCell ref="A42:A43"/>
    <mergeCell ref="B42:B43"/>
    <mergeCell ref="C42:C43"/>
    <mergeCell ref="D42:D43"/>
    <mergeCell ref="I42:I43"/>
    <mergeCell ref="J42:J43"/>
  </mergeCells>
  <conditionalFormatting sqref="J11:J13">
    <cfRule type="cellIs" dxfId="31" priority="12" operator="equal">
      <formula>"CUMPLE"</formula>
    </cfRule>
  </conditionalFormatting>
  <conditionalFormatting sqref="J17:J19">
    <cfRule type="cellIs" dxfId="30" priority="2" operator="equal">
      <formula>"CUMPLE"</formula>
    </cfRule>
  </conditionalFormatting>
  <conditionalFormatting sqref="J24:J26">
    <cfRule type="cellIs" dxfId="29" priority="1" operator="equal">
      <formula>"CUMPLE"</formula>
    </cfRule>
  </conditionalFormatting>
  <conditionalFormatting sqref="J32:J45">
    <cfRule type="cellIs" dxfId="28" priority="7" operator="equal">
      <formula>"CUMPLE"</formula>
    </cfRule>
    <cfRule type="cellIs" dxfId="27" priority="8" operator="equal">
      <formula>"NO CUMPLE"</formula>
    </cfRule>
  </conditionalFormatting>
  <conditionalFormatting sqref="J20:K20">
    <cfRule type="cellIs" dxfId="26" priority="11" operator="equal">
      <formula>"CUMPLE"</formula>
    </cfRule>
  </conditionalFormatting>
  <conditionalFormatting sqref="J27:K27">
    <cfRule type="cellIs" dxfId="25" priority="3" operator="equal">
      <formula>"CUMPLE"</formula>
    </cfRule>
  </conditionalFormatting>
  <conditionalFormatting sqref="K32">
    <cfRule type="cellIs" dxfId="24" priority="21" operator="equal">
      <formula>"CUMPLE"</formula>
    </cfRule>
    <cfRule type="cellIs" dxfId="23" priority="22" operator="equal">
      <formula>"NO CUMPLE"</formula>
    </cfRule>
  </conditionalFormatting>
  <conditionalFormatting sqref="K34 K36 K40 K42">
    <cfRule type="cellIs" dxfId="22" priority="17" operator="equal">
      <formula>"CUMPLE"</formula>
    </cfRule>
    <cfRule type="cellIs" dxfId="21" priority="18" operator="equal">
      <formula>"NO CUMPLE"</formula>
    </cfRule>
  </conditionalFormatting>
  <conditionalFormatting sqref="K38">
    <cfRule type="cellIs" dxfId="20" priority="5" operator="equal">
      <formula>"CUMPLE"</formula>
    </cfRule>
    <cfRule type="cellIs" dxfId="19" priority="6" operator="equal">
      <formula>"NO CUMPLE"</formula>
    </cfRule>
  </conditionalFormatting>
  <conditionalFormatting sqref="K44">
    <cfRule type="cellIs" dxfId="18" priority="9" operator="equal">
      <formula>"CUMPLE"</formula>
    </cfRule>
    <cfRule type="cellIs" dxfId="17" priority="10" operator="equal">
      <formula>"NO CUMPLE"</formula>
    </cfRule>
  </conditionalFormatting>
  <conditionalFormatting sqref="M11:M13">
    <cfRule type="cellIs" dxfId="16" priority="15" operator="equal">
      <formula>"CUMPLE"</formula>
    </cfRule>
    <cfRule type="cellIs" dxfId="15" priority="16" operator="equal">
      <formula>"NO CUMPLE"</formula>
    </cfRule>
  </conditionalFormatting>
  <conditionalFormatting sqref="M17:M20 M24:M27">
    <cfRule type="cellIs" dxfId="14" priority="13" operator="equal">
      <formula>"CUMPLE"</formula>
    </cfRule>
    <cfRule type="cellIs" dxfId="13" priority="14" operator="equal">
      <formula>"NO CUMPLE"</formula>
    </cfRule>
  </conditionalFormatting>
  <conditionalFormatting sqref="M32 M34 M36 M38 M40 M42 M44">
    <cfRule type="cellIs" dxfId="12" priority="19" operator="equal">
      <formula>"CUMPLE"</formula>
    </cfRule>
    <cfRule type="cellIs" dxfId="11" priority="20" operator="equal">
      <formula>"NO CUMPLE"</formula>
    </cfRule>
  </conditionalFormatting>
  <pageMargins left="0.70866141732283472" right="0.70866141732283472" top="0.74803149606299213" bottom="0.74803149606299213" header="0.31496062992125984" footer="0.31496062992125984"/>
  <pageSetup scale="33" fitToHeight="0"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B9DBB-E1DE-45FA-A037-E593E11B7678}">
  <sheetPr>
    <tabColor rgb="FFFF0000"/>
  </sheetPr>
  <dimension ref="A1:BN146"/>
  <sheetViews>
    <sheetView showGridLines="0" view="pageBreakPreview" topLeftCell="A21" zoomScale="60" zoomScaleNormal="70" workbookViewId="0">
      <selection activeCell="C23" sqref="C23:E23"/>
    </sheetView>
  </sheetViews>
  <sheetFormatPr baseColWidth="10" defaultColWidth="11.42578125" defaultRowHeight="15"/>
  <cols>
    <col min="2" max="2" width="8.5703125" customWidth="1"/>
    <col min="3" max="3" width="8" customWidth="1"/>
    <col min="4" max="4" width="23.85546875" bestFit="1" customWidth="1"/>
    <col min="5" max="5" width="64.140625" customWidth="1"/>
    <col min="6" max="6" width="19.140625" bestFit="1" customWidth="1"/>
    <col min="7" max="7" width="13.7109375" bestFit="1" customWidth="1"/>
    <col min="8" max="8" width="27" customWidth="1"/>
    <col min="9" max="10" width="32.140625" customWidth="1"/>
    <col min="11" max="11" width="18.42578125" customWidth="1"/>
    <col min="12" max="12" width="21.28515625" customWidth="1"/>
    <col min="13" max="13" width="19.42578125" customWidth="1"/>
    <col min="14" max="14" width="20.7109375" customWidth="1"/>
    <col min="15" max="15" width="19" bestFit="1" customWidth="1"/>
    <col min="16" max="16" width="20.7109375" customWidth="1"/>
    <col min="17" max="17" width="19.28515625" customWidth="1"/>
    <col min="18" max="18" width="20.28515625" customWidth="1"/>
    <col min="19" max="19" width="20.85546875" customWidth="1"/>
    <col min="20" max="20" width="22" customWidth="1"/>
    <col min="21" max="21" width="20.140625" bestFit="1" customWidth="1"/>
    <col min="22" max="22" width="18.5703125" bestFit="1" customWidth="1"/>
  </cols>
  <sheetData>
    <row r="1" spans="1:66" ht="15" customHeight="1">
      <c r="A1" s="330"/>
      <c r="B1" s="331"/>
      <c r="C1" s="331"/>
      <c r="D1" s="332"/>
      <c r="E1" s="339" t="s">
        <v>70</v>
      </c>
      <c r="F1" s="340"/>
      <c r="G1" s="340"/>
      <c r="H1" s="340"/>
      <c r="I1" s="340"/>
      <c r="J1" s="341"/>
    </row>
    <row r="2" spans="1:66">
      <c r="A2" s="333"/>
      <c r="B2" s="334"/>
      <c r="C2" s="334"/>
      <c r="D2" s="335"/>
      <c r="E2" s="342"/>
      <c r="F2" s="343"/>
      <c r="G2" s="343"/>
      <c r="H2" s="343"/>
      <c r="I2" s="343"/>
      <c r="J2" s="344"/>
    </row>
    <row r="3" spans="1:66">
      <c r="A3" s="333"/>
      <c r="B3" s="334"/>
      <c r="C3" s="334"/>
      <c r="D3" s="335"/>
      <c r="E3" s="342"/>
      <c r="F3" s="343"/>
      <c r="G3" s="343"/>
      <c r="H3" s="343"/>
      <c r="I3" s="343"/>
      <c r="J3" s="344"/>
    </row>
    <row r="4" spans="1:66" ht="38.25" customHeight="1" thickBot="1">
      <c r="A4" s="336"/>
      <c r="B4" s="337"/>
      <c r="C4" s="337"/>
      <c r="D4" s="338"/>
      <c r="E4" s="345"/>
      <c r="F4" s="346"/>
      <c r="G4" s="346"/>
      <c r="H4" s="346"/>
      <c r="I4" s="346"/>
      <c r="J4" s="347"/>
    </row>
    <row r="5" spans="1:66" ht="42" customHeight="1" thickBot="1">
      <c r="A5" s="348" t="s">
        <v>71</v>
      </c>
      <c r="B5" s="349"/>
      <c r="C5" s="349"/>
      <c r="D5" s="349"/>
      <c r="E5" s="349"/>
      <c r="F5" s="349"/>
      <c r="G5" s="349"/>
      <c r="H5" s="349"/>
      <c r="I5" s="349"/>
      <c r="J5" s="349"/>
    </row>
    <row r="6" spans="1:66" ht="34.5" customHeight="1" thickBot="1">
      <c r="A6" s="317" t="s">
        <v>72</v>
      </c>
      <c r="B6" s="318"/>
      <c r="C6" s="318"/>
      <c r="D6" s="319"/>
      <c r="E6" s="329"/>
      <c r="F6" s="321"/>
      <c r="G6" s="321"/>
      <c r="H6" s="321"/>
      <c r="I6" s="321"/>
      <c r="J6" s="322"/>
    </row>
    <row r="7" spans="1:66" ht="53.25" customHeight="1" thickBot="1">
      <c r="A7" s="317" t="s">
        <v>73</v>
      </c>
      <c r="B7" s="318"/>
      <c r="C7" s="318"/>
      <c r="D7" s="319"/>
      <c r="E7" s="350" t="s">
        <v>74</v>
      </c>
      <c r="F7" s="351"/>
      <c r="G7" s="351"/>
      <c r="H7" s="351"/>
      <c r="I7" s="351"/>
      <c r="J7" s="352"/>
    </row>
    <row r="8" spans="1:66" ht="27" customHeight="1" thickBot="1">
      <c r="A8" s="317" t="s">
        <v>75</v>
      </c>
      <c r="B8" s="318"/>
      <c r="C8" s="318"/>
      <c r="D8" s="319"/>
      <c r="E8" s="329"/>
      <c r="F8" s="321"/>
      <c r="G8" s="321"/>
      <c r="H8" s="321"/>
      <c r="I8" s="321"/>
      <c r="J8" s="322"/>
    </row>
    <row r="9" spans="1:66" ht="27" customHeight="1" thickBot="1">
      <c r="A9" s="317" t="s">
        <v>77</v>
      </c>
      <c r="B9" s="318"/>
      <c r="C9" s="318"/>
      <c r="D9" s="319"/>
      <c r="E9" s="329"/>
      <c r="F9" s="321"/>
      <c r="G9" s="321"/>
      <c r="H9" s="321"/>
      <c r="I9" s="321"/>
      <c r="J9" s="322"/>
    </row>
    <row r="10" spans="1:66" ht="27" customHeight="1" thickBot="1">
      <c r="A10" s="317" t="s">
        <v>79</v>
      </c>
      <c r="B10" s="318"/>
      <c r="C10" s="318"/>
      <c r="D10" s="319"/>
      <c r="E10" s="329"/>
      <c r="F10" s="321"/>
      <c r="G10" s="321"/>
      <c r="H10" s="321"/>
      <c r="I10" s="321"/>
      <c r="J10" s="322"/>
    </row>
    <row r="11" spans="1:66" ht="27" customHeight="1" thickBot="1">
      <c r="A11" s="317" t="s">
        <v>81</v>
      </c>
      <c r="B11" s="318"/>
      <c r="C11" s="318"/>
      <c r="D11" s="319"/>
      <c r="E11" s="329"/>
      <c r="F11" s="321"/>
      <c r="G11" s="321"/>
      <c r="H11" s="321"/>
      <c r="I11" s="321"/>
      <c r="J11" s="322"/>
    </row>
    <row r="12" spans="1:66" ht="225.75" customHeight="1" thickBot="1">
      <c r="A12" s="323" t="s">
        <v>82</v>
      </c>
      <c r="B12" s="324"/>
      <c r="C12" s="324"/>
      <c r="D12" s="324"/>
      <c r="E12" s="324"/>
      <c r="F12" s="324"/>
      <c r="G12" s="324"/>
      <c r="H12" s="324"/>
      <c r="I12" s="324"/>
      <c r="J12" s="325"/>
    </row>
    <row r="13" spans="1:66" ht="12.75" customHeight="1"/>
    <row r="14" spans="1:66" ht="48" customHeight="1">
      <c r="A14" s="326" t="s">
        <v>83</v>
      </c>
      <c r="B14" s="326"/>
      <c r="C14" s="326" t="s">
        <v>84</v>
      </c>
      <c r="D14" s="326"/>
      <c r="E14" s="326"/>
      <c r="F14" s="327" t="s">
        <v>85</v>
      </c>
      <c r="G14" s="327" t="s">
        <v>86</v>
      </c>
      <c r="H14" s="327" t="s">
        <v>87</v>
      </c>
      <c r="I14" s="328" t="s">
        <v>88</v>
      </c>
      <c r="J14" s="328"/>
      <c r="BN14" s="84"/>
    </row>
    <row r="15" spans="1:66" ht="48.75" customHeight="1">
      <c r="A15" s="326"/>
      <c r="B15" s="326"/>
      <c r="C15" s="326"/>
      <c r="D15" s="326"/>
      <c r="E15" s="326"/>
      <c r="F15" s="327"/>
      <c r="G15" s="327"/>
      <c r="H15" s="327"/>
      <c r="I15" s="85" t="s">
        <v>89</v>
      </c>
      <c r="J15" s="85" t="s">
        <v>90</v>
      </c>
      <c r="K15" s="132" t="s">
        <v>91</v>
      </c>
      <c r="L15" s="132" t="s">
        <v>92</v>
      </c>
      <c r="BN15" s="84"/>
    </row>
    <row r="16" spans="1:66" ht="60.75" customHeight="1">
      <c r="A16" s="310" t="s">
        <v>93</v>
      </c>
      <c r="B16" s="310"/>
      <c r="C16" s="303" t="s">
        <v>94</v>
      </c>
      <c r="D16" s="303"/>
      <c r="E16" s="303"/>
      <c r="F16" s="86" t="s">
        <v>95</v>
      </c>
      <c r="G16" s="87">
        <v>2000</v>
      </c>
      <c r="H16" s="88">
        <v>16341</v>
      </c>
      <c r="I16" s="88">
        <v>14707</v>
      </c>
      <c r="J16" s="88">
        <f>+ROUND(I16*G16,0)</f>
        <v>29414000</v>
      </c>
      <c r="K16" s="133">
        <f>+I16-H16</f>
        <v>-1634</v>
      </c>
      <c r="L16" s="134">
        <f>+I16/H16</f>
        <v>0.90000611957652532</v>
      </c>
      <c r="BN16" s="89"/>
    </row>
    <row r="17" spans="1:66" ht="60.75" customHeight="1">
      <c r="A17" s="310" t="s">
        <v>96</v>
      </c>
      <c r="B17" s="310"/>
      <c r="C17" s="303" t="s">
        <v>97</v>
      </c>
      <c r="D17" s="303"/>
      <c r="E17" s="303"/>
      <c r="F17" s="86" t="s">
        <v>98</v>
      </c>
      <c r="G17" s="87">
        <v>300</v>
      </c>
      <c r="H17" s="88">
        <v>43227</v>
      </c>
      <c r="I17" s="88">
        <v>34582</v>
      </c>
      <c r="J17" s="88">
        <f t="shared" ref="J17:J72" si="0">+ROUND(I17*G17,0)</f>
        <v>10374600</v>
      </c>
      <c r="K17" s="133">
        <f t="shared" ref="K17:K80" si="1">+I17-H17</f>
        <v>-8645</v>
      </c>
      <c r="L17" s="169">
        <f t="shared" ref="L17:L80" si="2">+I17/H17</f>
        <v>0.80000925347583685</v>
      </c>
      <c r="BN17" s="90"/>
    </row>
    <row r="18" spans="1:66" ht="60.75" customHeight="1">
      <c r="A18" s="310" t="s">
        <v>99</v>
      </c>
      <c r="B18" s="310"/>
      <c r="C18" s="303" t="s">
        <v>100</v>
      </c>
      <c r="D18" s="303"/>
      <c r="E18" s="303"/>
      <c r="F18" s="86" t="s">
        <v>98</v>
      </c>
      <c r="G18" s="87">
        <v>2332.42</v>
      </c>
      <c r="H18" s="88">
        <v>30375</v>
      </c>
      <c r="I18" s="88">
        <v>24300</v>
      </c>
      <c r="J18" s="88">
        <f t="shared" si="0"/>
        <v>56677806</v>
      </c>
      <c r="K18" s="133">
        <f t="shared" si="1"/>
        <v>-6075</v>
      </c>
      <c r="L18" s="170">
        <f t="shared" si="2"/>
        <v>0.8</v>
      </c>
      <c r="BN18" s="89"/>
    </row>
    <row r="19" spans="1:66" ht="60.75" customHeight="1">
      <c r="A19" s="310" t="s">
        <v>101</v>
      </c>
      <c r="B19" s="310"/>
      <c r="C19" s="303" t="s">
        <v>102</v>
      </c>
      <c r="D19" s="303"/>
      <c r="E19" s="303"/>
      <c r="F19" s="86" t="s">
        <v>98</v>
      </c>
      <c r="G19" s="87">
        <v>2332.42</v>
      </c>
      <c r="H19" s="88">
        <v>64685</v>
      </c>
      <c r="I19" s="88">
        <v>51748</v>
      </c>
      <c r="J19" s="88">
        <f t="shared" si="0"/>
        <v>120698070</v>
      </c>
      <c r="K19" s="133">
        <f t="shared" si="1"/>
        <v>-12937</v>
      </c>
      <c r="L19" s="134">
        <f t="shared" si="2"/>
        <v>0.8</v>
      </c>
      <c r="BN19" s="90"/>
    </row>
    <row r="20" spans="1:66" ht="60.75" customHeight="1">
      <c r="A20" s="310" t="s">
        <v>103</v>
      </c>
      <c r="B20" s="310"/>
      <c r="C20" s="303" t="s">
        <v>104</v>
      </c>
      <c r="D20" s="303"/>
      <c r="E20" s="303"/>
      <c r="F20" s="86" t="s">
        <v>98</v>
      </c>
      <c r="G20" s="87">
        <v>2332.42</v>
      </c>
      <c r="H20" s="88">
        <v>129968</v>
      </c>
      <c r="I20" s="88">
        <v>106574</v>
      </c>
      <c r="J20" s="88">
        <f t="shared" si="0"/>
        <v>248575329</v>
      </c>
      <c r="K20" s="133">
        <f t="shared" si="1"/>
        <v>-23394</v>
      </c>
      <c r="L20" s="134">
        <f t="shared" si="2"/>
        <v>0.82000184660839592</v>
      </c>
      <c r="BN20" s="90"/>
    </row>
    <row r="21" spans="1:66" ht="60.75" customHeight="1">
      <c r="A21" s="310" t="s">
        <v>105</v>
      </c>
      <c r="B21" s="310"/>
      <c r="C21" s="303" t="s">
        <v>106</v>
      </c>
      <c r="D21" s="303"/>
      <c r="E21" s="303"/>
      <c r="F21" s="86" t="s">
        <v>98</v>
      </c>
      <c r="G21" s="87">
        <v>150</v>
      </c>
      <c r="H21" s="88">
        <v>53922</v>
      </c>
      <c r="I21" s="88">
        <v>43138</v>
      </c>
      <c r="J21" s="88">
        <f t="shared" si="0"/>
        <v>6470700</v>
      </c>
      <c r="K21" s="133">
        <f t="shared" si="1"/>
        <v>-10784</v>
      </c>
      <c r="L21" s="134">
        <f t="shared" si="2"/>
        <v>0.80000741812247322</v>
      </c>
      <c r="BB21" s="91"/>
      <c r="BC21" s="92"/>
      <c r="BD21" s="91"/>
      <c r="BE21" s="91"/>
      <c r="BF21" s="93"/>
      <c r="BH21" s="91"/>
      <c r="BI21" s="92"/>
      <c r="BJ21" s="91"/>
      <c r="BK21" s="91"/>
      <c r="BL21" s="93"/>
      <c r="BN21" s="90"/>
    </row>
    <row r="22" spans="1:66" ht="60.75" customHeight="1">
      <c r="A22" s="310" t="s">
        <v>107</v>
      </c>
      <c r="B22" s="310"/>
      <c r="C22" s="303" t="s">
        <v>108</v>
      </c>
      <c r="D22" s="303"/>
      <c r="E22" s="303"/>
      <c r="F22" s="86" t="s">
        <v>98</v>
      </c>
      <c r="G22" s="87">
        <v>150</v>
      </c>
      <c r="H22" s="88">
        <v>305942</v>
      </c>
      <c r="I22" s="88">
        <v>281467</v>
      </c>
      <c r="J22" s="88">
        <f t="shared" si="0"/>
        <v>42220050</v>
      </c>
      <c r="K22" s="133">
        <f t="shared" si="1"/>
        <v>-24475</v>
      </c>
      <c r="L22" s="134">
        <f t="shared" si="2"/>
        <v>0.92000117669362169</v>
      </c>
      <c r="BB22" s="91"/>
      <c r="BC22" s="92"/>
      <c r="BD22" s="91"/>
      <c r="BE22" s="91"/>
      <c r="BF22" s="93"/>
      <c r="BH22" s="91"/>
      <c r="BI22" s="92"/>
      <c r="BJ22" s="91"/>
      <c r="BK22" s="91"/>
      <c r="BL22" s="93"/>
      <c r="BN22" s="90"/>
    </row>
    <row r="23" spans="1:66" ht="92.25" customHeight="1">
      <c r="A23" s="310" t="s">
        <v>109</v>
      </c>
      <c r="B23" s="310"/>
      <c r="C23" s="303" t="s">
        <v>110</v>
      </c>
      <c r="D23" s="303"/>
      <c r="E23" s="303"/>
      <c r="F23" s="86" t="s">
        <v>95</v>
      </c>
      <c r="G23" s="87">
        <v>231</v>
      </c>
      <c r="H23" s="88">
        <v>125271</v>
      </c>
      <c r="I23" s="88">
        <v>115249</v>
      </c>
      <c r="J23" s="88">
        <f t="shared" si="0"/>
        <v>26622519</v>
      </c>
      <c r="K23" s="133">
        <f t="shared" si="1"/>
        <v>-10022</v>
      </c>
      <c r="L23" s="134">
        <f t="shared" si="2"/>
        <v>0.9199974455380735</v>
      </c>
      <c r="BB23" s="91"/>
      <c r="BC23" s="92"/>
      <c r="BD23" s="91"/>
      <c r="BE23" s="91"/>
      <c r="BF23" s="93"/>
      <c r="BH23" s="91"/>
      <c r="BI23" s="92"/>
      <c r="BJ23" s="91"/>
      <c r="BK23" s="91"/>
      <c r="BL23" s="93"/>
      <c r="BN23" s="90"/>
    </row>
    <row r="24" spans="1:66" ht="60.75" customHeight="1">
      <c r="A24" s="310" t="s">
        <v>111</v>
      </c>
      <c r="B24" s="310"/>
      <c r="C24" s="303" t="s">
        <v>112</v>
      </c>
      <c r="D24" s="303"/>
      <c r="E24" s="303"/>
      <c r="F24" s="86" t="s">
        <v>113</v>
      </c>
      <c r="G24" s="87">
        <v>50</v>
      </c>
      <c r="H24" s="88">
        <v>88909</v>
      </c>
      <c r="I24" s="88">
        <v>71127</v>
      </c>
      <c r="J24" s="88">
        <f t="shared" si="0"/>
        <v>3556350</v>
      </c>
      <c r="K24" s="133">
        <f t="shared" si="1"/>
        <v>-17782</v>
      </c>
      <c r="L24" s="170">
        <f t="shared" si="2"/>
        <v>0.79999775050894739</v>
      </c>
      <c r="BB24" s="91"/>
      <c r="BC24" s="92"/>
      <c r="BD24" s="91"/>
      <c r="BE24" s="91"/>
      <c r="BF24" s="93"/>
      <c r="BH24" s="91"/>
      <c r="BI24" s="92"/>
      <c r="BJ24" s="91"/>
      <c r="BK24" s="91"/>
      <c r="BL24" s="93"/>
      <c r="BN24" s="90"/>
    </row>
    <row r="25" spans="1:66" ht="60.75" customHeight="1">
      <c r="A25" s="310" t="s">
        <v>114</v>
      </c>
      <c r="B25" s="310"/>
      <c r="C25" s="303" t="s">
        <v>115</v>
      </c>
      <c r="D25" s="303"/>
      <c r="E25" s="303"/>
      <c r="F25" s="86" t="s">
        <v>113</v>
      </c>
      <c r="G25" s="87">
        <v>50</v>
      </c>
      <c r="H25" s="88">
        <v>97000</v>
      </c>
      <c r="I25" s="88">
        <v>77600</v>
      </c>
      <c r="J25" s="88">
        <f t="shared" si="0"/>
        <v>3880000</v>
      </c>
      <c r="K25" s="133">
        <f t="shared" si="1"/>
        <v>-19400</v>
      </c>
      <c r="L25" s="134">
        <f t="shared" si="2"/>
        <v>0.8</v>
      </c>
      <c r="BB25" s="91"/>
      <c r="BC25" s="92"/>
      <c r="BD25" s="91"/>
      <c r="BE25" s="91"/>
      <c r="BF25" s="93"/>
      <c r="BH25" s="91"/>
      <c r="BI25" s="92"/>
      <c r="BJ25" s="91"/>
      <c r="BK25" s="91"/>
      <c r="BL25" s="93"/>
      <c r="BN25" s="90"/>
    </row>
    <row r="26" spans="1:66" ht="60.75" customHeight="1">
      <c r="A26" s="302" t="s">
        <v>116</v>
      </c>
      <c r="B26" s="302"/>
      <c r="C26" s="303" t="s">
        <v>117</v>
      </c>
      <c r="D26" s="303"/>
      <c r="E26" s="303"/>
      <c r="F26" s="94" t="s">
        <v>98</v>
      </c>
      <c r="G26" s="95">
        <v>80</v>
      </c>
      <c r="H26" s="88">
        <v>38338</v>
      </c>
      <c r="I26" s="88">
        <v>30670</v>
      </c>
      <c r="J26" s="88">
        <f t="shared" si="0"/>
        <v>2453600</v>
      </c>
      <c r="K26" s="133">
        <f t="shared" si="1"/>
        <v>-7668</v>
      </c>
      <c r="L26" s="134">
        <f t="shared" si="2"/>
        <v>0.79998956648755803</v>
      </c>
    </row>
    <row r="27" spans="1:66" ht="60.75" customHeight="1">
      <c r="A27" s="302" t="s">
        <v>118</v>
      </c>
      <c r="B27" s="302"/>
      <c r="C27" s="303" t="s">
        <v>119</v>
      </c>
      <c r="D27" s="303"/>
      <c r="E27" s="303"/>
      <c r="F27" s="94" t="s">
        <v>98</v>
      </c>
      <c r="G27" s="95">
        <v>1800</v>
      </c>
      <c r="H27" s="88">
        <v>35000</v>
      </c>
      <c r="I27" s="88">
        <v>32200</v>
      </c>
      <c r="J27" s="88">
        <f t="shared" si="0"/>
        <v>57960000</v>
      </c>
      <c r="K27" s="133">
        <f t="shared" si="1"/>
        <v>-2800</v>
      </c>
      <c r="L27" s="134">
        <f t="shared" si="2"/>
        <v>0.92</v>
      </c>
    </row>
    <row r="28" spans="1:66" ht="60.75" customHeight="1">
      <c r="A28" s="302" t="s">
        <v>120</v>
      </c>
      <c r="B28" s="302"/>
      <c r="C28" s="303" t="s">
        <v>121</v>
      </c>
      <c r="D28" s="303"/>
      <c r="E28" s="303"/>
      <c r="F28" s="94" t="s">
        <v>98</v>
      </c>
      <c r="G28" s="95">
        <v>80</v>
      </c>
      <c r="H28" s="88">
        <v>96707</v>
      </c>
      <c r="I28" s="88">
        <v>88970</v>
      </c>
      <c r="J28" s="88">
        <f t="shared" si="0"/>
        <v>7117600</v>
      </c>
      <c r="K28" s="133">
        <f t="shared" si="1"/>
        <v>-7737</v>
      </c>
      <c r="L28" s="134">
        <f t="shared" si="2"/>
        <v>0.91999545017423767</v>
      </c>
    </row>
    <row r="29" spans="1:66" ht="60.75" customHeight="1">
      <c r="A29" s="302" t="s">
        <v>122</v>
      </c>
      <c r="B29" s="302"/>
      <c r="C29" s="303" t="s">
        <v>123</v>
      </c>
      <c r="D29" s="303"/>
      <c r="E29" s="303"/>
      <c r="F29" s="94" t="s">
        <v>98</v>
      </c>
      <c r="G29" s="95">
        <v>80</v>
      </c>
      <c r="H29" s="88">
        <v>130500</v>
      </c>
      <c r="I29" s="88">
        <v>117450</v>
      </c>
      <c r="J29" s="88">
        <f t="shared" si="0"/>
        <v>9396000</v>
      </c>
      <c r="K29" s="133">
        <f t="shared" si="1"/>
        <v>-13050</v>
      </c>
      <c r="L29" s="134">
        <f t="shared" si="2"/>
        <v>0.9</v>
      </c>
    </row>
    <row r="30" spans="1:66" ht="60.75" customHeight="1">
      <c r="A30" s="310" t="s">
        <v>124</v>
      </c>
      <c r="B30" s="310"/>
      <c r="C30" s="303" t="s">
        <v>125</v>
      </c>
      <c r="D30" s="303"/>
      <c r="E30" s="303"/>
      <c r="F30" s="94" t="s">
        <v>113</v>
      </c>
      <c r="G30" s="95">
        <v>100</v>
      </c>
      <c r="H30" s="88">
        <v>1233196</v>
      </c>
      <c r="I30" s="88">
        <v>986557</v>
      </c>
      <c r="J30" s="88">
        <f t="shared" si="0"/>
        <v>98655700</v>
      </c>
      <c r="K30" s="133">
        <f t="shared" si="1"/>
        <v>-246639</v>
      </c>
      <c r="L30" s="134">
        <f t="shared" si="2"/>
        <v>0.80000016218022119</v>
      </c>
    </row>
    <row r="31" spans="1:66" ht="60.75" customHeight="1">
      <c r="A31" s="310" t="s">
        <v>126</v>
      </c>
      <c r="B31" s="310"/>
      <c r="C31" s="303" t="s">
        <v>127</v>
      </c>
      <c r="D31" s="303"/>
      <c r="E31" s="303"/>
      <c r="F31" s="94" t="s">
        <v>113</v>
      </c>
      <c r="G31" s="95">
        <v>85</v>
      </c>
      <c r="H31" s="88">
        <v>749188</v>
      </c>
      <c r="I31" s="88">
        <v>599350</v>
      </c>
      <c r="J31" s="88">
        <f t="shared" si="0"/>
        <v>50944750</v>
      </c>
      <c r="K31" s="133">
        <f t="shared" si="1"/>
        <v>-149838</v>
      </c>
      <c r="L31" s="134">
        <f t="shared" si="2"/>
        <v>0.7999994660886186</v>
      </c>
    </row>
    <row r="32" spans="1:66" ht="60.75" customHeight="1">
      <c r="A32" s="310" t="s">
        <v>128</v>
      </c>
      <c r="B32" s="310"/>
      <c r="C32" s="303" t="s">
        <v>129</v>
      </c>
      <c r="D32" s="303"/>
      <c r="E32" s="303"/>
      <c r="F32" s="94" t="s">
        <v>113</v>
      </c>
      <c r="G32" s="95">
        <v>20</v>
      </c>
      <c r="H32" s="88">
        <v>1242026</v>
      </c>
      <c r="I32" s="88">
        <v>1018461</v>
      </c>
      <c r="J32" s="88">
        <f t="shared" si="0"/>
        <v>20369220</v>
      </c>
      <c r="K32" s="133">
        <f t="shared" si="1"/>
        <v>-223565</v>
      </c>
      <c r="L32" s="134">
        <f t="shared" si="2"/>
        <v>0.81999974235644024</v>
      </c>
    </row>
    <row r="33" spans="1:12" ht="60.75" customHeight="1">
      <c r="A33" s="310" t="s">
        <v>130</v>
      </c>
      <c r="B33" s="310"/>
      <c r="C33" s="303" t="s">
        <v>131</v>
      </c>
      <c r="D33" s="303"/>
      <c r="E33" s="303"/>
      <c r="F33" s="94" t="s">
        <v>98</v>
      </c>
      <c r="G33" s="95">
        <v>45</v>
      </c>
      <c r="H33" s="88">
        <v>40656</v>
      </c>
      <c r="I33" s="88">
        <v>32525</v>
      </c>
      <c r="J33" s="88">
        <f t="shared" si="0"/>
        <v>1463625</v>
      </c>
      <c r="K33" s="133">
        <f t="shared" si="1"/>
        <v>-8131</v>
      </c>
      <c r="L33" s="134">
        <f t="shared" si="2"/>
        <v>0.80000491932310114</v>
      </c>
    </row>
    <row r="34" spans="1:12" ht="60.75" customHeight="1">
      <c r="A34" s="310" t="s">
        <v>132</v>
      </c>
      <c r="B34" s="310"/>
      <c r="C34" s="303" t="s">
        <v>133</v>
      </c>
      <c r="D34" s="303"/>
      <c r="E34" s="303"/>
      <c r="F34" s="94" t="s">
        <v>98</v>
      </c>
      <c r="G34" s="95">
        <v>45</v>
      </c>
      <c r="H34" s="88">
        <v>1032471</v>
      </c>
      <c r="I34" s="88">
        <v>1011822</v>
      </c>
      <c r="J34" s="88">
        <f t="shared" si="0"/>
        <v>45531990</v>
      </c>
      <c r="K34" s="133">
        <f t="shared" si="1"/>
        <v>-20649</v>
      </c>
      <c r="L34" s="134">
        <f t="shared" si="2"/>
        <v>0.98000040679108658</v>
      </c>
    </row>
    <row r="35" spans="1:12" ht="60.75" customHeight="1">
      <c r="A35" s="310" t="s">
        <v>134</v>
      </c>
      <c r="B35" s="310"/>
      <c r="C35" s="303" t="s">
        <v>135</v>
      </c>
      <c r="D35" s="303"/>
      <c r="E35" s="303"/>
      <c r="F35" s="94" t="s">
        <v>113</v>
      </c>
      <c r="G35" s="95">
        <v>275</v>
      </c>
      <c r="H35" s="88">
        <v>112609</v>
      </c>
      <c r="I35" s="88">
        <v>90087</v>
      </c>
      <c r="J35" s="88">
        <f t="shared" si="0"/>
        <v>24773925</v>
      </c>
      <c r="K35" s="133">
        <f t="shared" si="1"/>
        <v>-22522</v>
      </c>
      <c r="L35" s="134">
        <f t="shared" si="2"/>
        <v>0.79999822394302411</v>
      </c>
    </row>
    <row r="36" spans="1:12" ht="60.75" customHeight="1">
      <c r="A36" s="310" t="s">
        <v>136</v>
      </c>
      <c r="B36" s="310"/>
      <c r="C36" s="303" t="s">
        <v>137</v>
      </c>
      <c r="D36" s="303"/>
      <c r="E36" s="303"/>
      <c r="F36" s="94" t="s">
        <v>113</v>
      </c>
      <c r="G36" s="95">
        <v>1</v>
      </c>
      <c r="H36" s="88">
        <v>131148</v>
      </c>
      <c r="I36" s="88">
        <v>104918</v>
      </c>
      <c r="J36" s="88">
        <f t="shared" si="0"/>
        <v>104918</v>
      </c>
      <c r="K36" s="133">
        <f t="shared" si="1"/>
        <v>-26230</v>
      </c>
      <c r="L36" s="134">
        <f t="shared" si="2"/>
        <v>0.79999695001067495</v>
      </c>
    </row>
    <row r="37" spans="1:12" ht="60.75" customHeight="1">
      <c r="A37" s="310" t="s">
        <v>138</v>
      </c>
      <c r="B37" s="310"/>
      <c r="C37" s="303" t="s">
        <v>139</v>
      </c>
      <c r="D37" s="303"/>
      <c r="E37" s="303"/>
      <c r="F37" s="94" t="s">
        <v>113</v>
      </c>
      <c r="G37" s="95">
        <v>1</v>
      </c>
      <c r="H37" s="88">
        <v>1224745</v>
      </c>
      <c r="I37" s="88">
        <v>1163508</v>
      </c>
      <c r="J37" s="88">
        <f t="shared" si="0"/>
        <v>1163508</v>
      </c>
      <c r="K37" s="133">
        <f t="shared" si="1"/>
        <v>-61237</v>
      </c>
      <c r="L37" s="134">
        <f t="shared" si="2"/>
        <v>0.95000020412412378</v>
      </c>
    </row>
    <row r="38" spans="1:12" ht="60.75" customHeight="1">
      <c r="A38" s="310" t="s">
        <v>140</v>
      </c>
      <c r="B38" s="310"/>
      <c r="C38" s="303" t="s">
        <v>141</v>
      </c>
      <c r="D38" s="303"/>
      <c r="E38" s="303"/>
      <c r="F38" s="94" t="s">
        <v>98</v>
      </c>
      <c r="G38" s="95">
        <v>4500</v>
      </c>
      <c r="H38" s="88">
        <v>34663</v>
      </c>
      <c r="I38" s="88">
        <v>29464</v>
      </c>
      <c r="J38" s="88">
        <f t="shared" si="0"/>
        <v>132588000</v>
      </c>
      <c r="K38" s="133">
        <f t="shared" si="1"/>
        <v>-5199</v>
      </c>
      <c r="L38" s="134">
        <f t="shared" si="2"/>
        <v>0.850012982142342</v>
      </c>
    </row>
    <row r="39" spans="1:12" ht="60.75" customHeight="1">
      <c r="A39" s="314" t="s">
        <v>142</v>
      </c>
      <c r="B39" s="315"/>
      <c r="C39" s="315"/>
      <c r="D39" s="315"/>
      <c r="E39" s="315"/>
      <c r="F39" s="315"/>
      <c r="G39" s="315"/>
      <c r="H39" s="315"/>
      <c r="I39" s="316"/>
      <c r="J39" s="96">
        <f>SUM(J16:J38)</f>
        <v>1001012260</v>
      </c>
      <c r="K39" s="133">
        <f t="shared" si="1"/>
        <v>0</v>
      </c>
      <c r="L39" s="134" t="e">
        <f t="shared" si="2"/>
        <v>#DIV/0!</v>
      </c>
    </row>
    <row r="40" spans="1:12" ht="60.75" customHeight="1">
      <c r="A40" s="310" t="s">
        <v>93</v>
      </c>
      <c r="B40" s="310"/>
      <c r="C40" s="303" t="s">
        <v>143</v>
      </c>
      <c r="D40" s="303"/>
      <c r="E40" s="303"/>
      <c r="F40" s="94" t="s">
        <v>98</v>
      </c>
      <c r="G40" s="95">
        <v>250</v>
      </c>
      <c r="H40" s="88">
        <v>49033</v>
      </c>
      <c r="I40" s="88">
        <v>39226</v>
      </c>
      <c r="J40" s="88">
        <f t="shared" si="0"/>
        <v>9806500</v>
      </c>
      <c r="K40" s="133">
        <f t="shared" si="1"/>
        <v>-9807</v>
      </c>
      <c r="L40" s="134">
        <f t="shared" si="2"/>
        <v>0.79999184222870312</v>
      </c>
    </row>
    <row r="41" spans="1:12" ht="60.75" customHeight="1">
      <c r="A41" s="310" t="s">
        <v>96</v>
      </c>
      <c r="B41" s="310"/>
      <c r="C41" s="303" t="s">
        <v>144</v>
      </c>
      <c r="D41" s="303"/>
      <c r="E41" s="303"/>
      <c r="F41" s="94" t="s">
        <v>98</v>
      </c>
      <c r="G41" s="95">
        <v>61</v>
      </c>
      <c r="H41" s="88">
        <v>50667</v>
      </c>
      <c r="I41" s="88">
        <v>40534</v>
      </c>
      <c r="J41" s="88">
        <f t="shared" si="0"/>
        <v>2472574</v>
      </c>
      <c r="K41" s="133">
        <f t="shared" si="1"/>
        <v>-10133</v>
      </c>
      <c r="L41" s="134">
        <f t="shared" si="2"/>
        <v>0.80000789468490341</v>
      </c>
    </row>
    <row r="42" spans="1:12" ht="60.75" customHeight="1">
      <c r="A42" s="310" t="s">
        <v>145</v>
      </c>
      <c r="B42" s="310"/>
      <c r="C42" s="303" t="s">
        <v>117</v>
      </c>
      <c r="D42" s="303"/>
      <c r="E42" s="303"/>
      <c r="F42" s="94" t="s">
        <v>98</v>
      </c>
      <c r="G42" s="95">
        <v>1070</v>
      </c>
      <c r="H42" s="88">
        <v>36183</v>
      </c>
      <c r="I42" s="88">
        <v>30670</v>
      </c>
      <c r="J42" s="88">
        <f t="shared" si="0"/>
        <v>32816900</v>
      </c>
      <c r="K42" s="133">
        <f t="shared" si="1"/>
        <v>-5513</v>
      </c>
      <c r="L42" s="134">
        <f t="shared" si="2"/>
        <v>0.84763562999198516</v>
      </c>
    </row>
    <row r="43" spans="1:12" ht="60.75" customHeight="1">
      <c r="A43" s="310" t="s">
        <v>146</v>
      </c>
      <c r="B43" s="310"/>
      <c r="C43" s="303" t="s">
        <v>147</v>
      </c>
      <c r="D43" s="303"/>
      <c r="E43" s="303"/>
      <c r="F43" s="94" t="s">
        <v>148</v>
      </c>
      <c r="G43" s="95">
        <v>1</v>
      </c>
      <c r="H43" s="88">
        <v>13063210</v>
      </c>
      <c r="I43" s="88">
        <v>10450568</v>
      </c>
      <c r="J43" s="88">
        <f t="shared" si="0"/>
        <v>10450568</v>
      </c>
      <c r="K43" s="133">
        <f t="shared" si="1"/>
        <v>-2612642</v>
      </c>
      <c r="L43" s="134">
        <f t="shared" si="2"/>
        <v>0.8</v>
      </c>
    </row>
    <row r="44" spans="1:12" ht="60.75" customHeight="1">
      <c r="A44" s="310" t="s">
        <v>149</v>
      </c>
      <c r="B44" s="310"/>
      <c r="C44" s="303" t="s">
        <v>150</v>
      </c>
      <c r="D44" s="303"/>
      <c r="E44" s="303"/>
      <c r="F44" s="94" t="s">
        <v>113</v>
      </c>
      <c r="G44" s="95">
        <v>135</v>
      </c>
      <c r="H44" s="88">
        <v>96339</v>
      </c>
      <c r="I44" s="88">
        <v>77071</v>
      </c>
      <c r="J44" s="88">
        <f t="shared" si="0"/>
        <v>10404585</v>
      </c>
      <c r="K44" s="133">
        <f t="shared" si="1"/>
        <v>-19268</v>
      </c>
      <c r="L44" s="134">
        <f t="shared" si="2"/>
        <v>0.79999792399755032</v>
      </c>
    </row>
    <row r="45" spans="1:12" ht="60.75" customHeight="1">
      <c r="A45" s="310" t="s">
        <v>151</v>
      </c>
      <c r="B45" s="310"/>
      <c r="C45" s="303" t="s">
        <v>152</v>
      </c>
      <c r="D45" s="303"/>
      <c r="E45" s="303"/>
      <c r="F45" s="94" t="s">
        <v>98</v>
      </c>
      <c r="G45" s="95">
        <v>78</v>
      </c>
      <c r="H45" s="88">
        <v>95199</v>
      </c>
      <c r="I45" s="88">
        <v>80919</v>
      </c>
      <c r="J45" s="88">
        <f t="shared" si="0"/>
        <v>6311682</v>
      </c>
      <c r="K45" s="133">
        <f t="shared" si="1"/>
        <v>-14280</v>
      </c>
      <c r="L45" s="134">
        <f t="shared" si="2"/>
        <v>0.84999842435319695</v>
      </c>
    </row>
    <row r="46" spans="1:12" ht="60.75" customHeight="1">
      <c r="A46" s="310" t="s">
        <v>99</v>
      </c>
      <c r="B46" s="310"/>
      <c r="C46" s="303" t="s">
        <v>153</v>
      </c>
      <c r="D46" s="303"/>
      <c r="E46" s="303"/>
      <c r="F46" s="94" t="s">
        <v>95</v>
      </c>
      <c r="G46" s="95">
        <v>100</v>
      </c>
      <c r="H46" s="88">
        <v>203925</v>
      </c>
      <c r="I46" s="88">
        <v>163140</v>
      </c>
      <c r="J46" s="88">
        <f t="shared" si="0"/>
        <v>16314000</v>
      </c>
      <c r="K46" s="133">
        <f t="shared" si="1"/>
        <v>-40785</v>
      </c>
      <c r="L46" s="134">
        <f t="shared" si="2"/>
        <v>0.8</v>
      </c>
    </row>
    <row r="47" spans="1:12" ht="60.75" customHeight="1">
      <c r="A47" s="310" t="s">
        <v>101</v>
      </c>
      <c r="B47" s="310"/>
      <c r="C47" s="303" t="s">
        <v>154</v>
      </c>
      <c r="D47" s="303"/>
      <c r="E47" s="303"/>
      <c r="F47" s="94" t="s">
        <v>95</v>
      </c>
      <c r="G47" s="95">
        <v>130</v>
      </c>
      <c r="H47" s="88">
        <v>186288</v>
      </c>
      <c r="I47" s="88">
        <v>149030</v>
      </c>
      <c r="J47" s="88">
        <f t="shared" si="0"/>
        <v>19373900</v>
      </c>
      <c r="K47" s="133">
        <f t="shared" si="1"/>
        <v>-37258</v>
      </c>
      <c r="L47" s="134">
        <f t="shared" si="2"/>
        <v>0.79999785278708235</v>
      </c>
    </row>
    <row r="48" spans="1:12" ht="60.75" customHeight="1">
      <c r="A48" s="310" t="s">
        <v>116</v>
      </c>
      <c r="B48" s="310"/>
      <c r="C48" s="303" t="s">
        <v>155</v>
      </c>
      <c r="D48" s="303"/>
      <c r="E48" s="303"/>
      <c r="F48" s="94" t="s">
        <v>98</v>
      </c>
      <c r="G48" s="95">
        <v>30</v>
      </c>
      <c r="H48" s="88">
        <v>205133</v>
      </c>
      <c r="I48" s="88">
        <v>174363</v>
      </c>
      <c r="J48" s="88">
        <f t="shared" si="0"/>
        <v>5230890</v>
      </c>
      <c r="K48" s="133">
        <f t="shared" si="1"/>
        <v>-30770</v>
      </c>
      <c r="L48" s="134">
        <f t="shared" si="2"/>
        <v>0.84999975625569757</v>
      </c>
    </row>
    <row r="49" spans="1:12" ht="60.75" customHeight="1">
      <c r="A49" s="310" t="s">
        <v>124</v>
      </c>
      <c r="B49" s="310"/>
      <c r="C49" s="303" t="s">
        <v>156</v>
      </c>
      <c r="D49" s="303"/>
      <c r="E49" s="303"/>
      <c r="F49" s="94" t="s">
        <v>98</v>
      </c>
      <c r="G49" s="95">
        <v>1301</v>
      </c>
      <c r="H49" s="88">
        <v>131613</v>
      </c>
      <c r="I49" s="88">
        <v>117450</v>
      </c>
      <c r="J49" s="88">
        <f t="shared" si="0"/>
        <v>152802450</v>
      </c>
      <c r="K49" s="133">
        <f t="shared" si="1"/>
        <v>-14163</v>
      </c>
      <c r="L49" s="134">
        <f t="shared" si="2"/>
        <v>0.89238904971393407</v>
      </c>
    </row>
    <row r="50" spans="1:12" ht="60.75" customHeight="1">
      <c r="A50" s="310" t="s">
        <v>126</v>
      </c>
      <c r="B50" s="310"/>
      <c r="C50" s="303" t="s">
        <v>157</v>
      </c>
      <c r="D50" s="303"/>
      <c r="E50" s="303"/>
      <c r="F50" s="94" t="s">
        <v>98</v>
      </c>
      <c r="G50" s="95">
        <v>1301</v>
      </c>
      <c r="H50" s="88">
        <v>33384</v>
      </c>
      <c r="I50" s="88">
        <v>26707</v>
      </c>
      <c r="J50" s="88">
        <f t="shared" si="0"/>
        <v>34745807</v>
      </c>
      <c r="K50" s="133">
        <f t="shared" si="1"/>
        <v>-6677</v>
      </c>
      <c r="L50" s="134">
        <f t="shared" si="2"/>
        <v>0.79999400910615859</v>
      </c>
    </row>
    <row r="51" spans="1:12" ht="60.75" customHeight="1">
      <c r="A51" s="302" t="s">
        <v>136</v>
      </c>
      <c r="B51" s="302"/>
      <c r="C51" s="303" t="s">
        <v>158</v>
      </c>
      <c r="D51" s="303"/>
      <c r="E51" s="303"/>
      <c r="F51" s="97" t="s">
        <v>98</v>
      </c>
      <c r="G51" s="98">
        <v>1070</v>
      </c>
      <c r="H51" s="88">
        <v>194913</v>
      </c>
      <c r="I51" s="88">
        <v>165676</v>
      </c>
      <c r="J51" s="88">
        <f t="shared" si="0"/>
        <v>177273320</v>
      </c>
      <c r="K51" s="133">
        <f t="shared" si="1"/>
        <v>-29237</v>
      </c>
      <c r="L51" s="134">
        <f t="shared" si="2"/>
        <v>0.84999974347529406</v>
      </c>
    </row>
    <row r="52" spans="1:12" ht="60.75" customHeight="1">
      <c r="A52" s="310" t="s">
        <v>140</v>
      </c>
      <c r="B52" s="310"/>
      <c r="C52" s="303" t="s">
        <v>159</v>
      </c>
      <c r="D52" s="303"/>
      <c r="E52" s="303"/>
      <c r="F52" s="97" t="s">
        <v>95</v>
      </c>
      <c r="G52" s="98">
        <v>2400</v>
      </c>
      <c r="H52" s="88">
        <v>20487</v>
      </c>
      <c r="I52" s="88">
        <v>17414</v>
      </c>
      <c r="J52" s="88">
        <f t="shared" si="0"/>
        <v>41793600</v>
      </c>
      <c r="K52" s="133">
        <f t="shared" si="1"/>
        <v>-3073</v>
      </c>
      <c r="L52" s="134">
        <f t="shared" si="2"/>
        <v>0.85000244057207008</v>
      </c>
    </row>
    <row r="53" spans="1:12" ht="60.75" customHeight="1">
      <c r="A53" s="310" t="s">
        <v>160</v>
      </c>
      <c r="B53" s="310"/>
      <c r="C53" s="303" t="s">
        <v>161</v>
      </c>
      <c r="D53" s="303"/>
      <c r="E53" s="303"/>
      <c r="F53" s="97" t="s">
        <v>95</v>
      </c>
      <c r="G53" s="98">
        <v>200</v>
      </c>
      <c r="H53" s="88">
        <v>373466</v>
      </c>
      <c r="I53" s="88">
        <v>317446</v>
      </c>
      <c r="J53" s="88">
        <f t="shared" si="0"/>
        <v>63489200</v>
      </c>
      <c r="K53" s="133">
        <f t="shared" si="1"/>
        <v>-56020</v>
      </c>
      <c r="L53" s="134">
        <f t="shared" si="2"/>
        <v>0.84999973223800829</v>
      </c>
    </row>
    <row r="54" spans="1:12" ht="60.75" customHeight="1">
      <c r="A54" s="310" t="s">
        <v>162</v>
      </c>
      <c r="B54" s="310"/>
      <c r="C54" s="303" t="s">
        <v>163</v>
      </c>
      <c r="D54" s="303"/>
      <c r="E54" s="303"/>
      <c r="F54" s="97" t="s">
        <v>113</v>
      </c>
      <c r="G54" s="98">
        <v>240</v>
      </c>
      <c r="H54" s="88">
        <v>157875</v>
      </c>
      <c r="I54" s="88">
        <v>134194</v>
      </c>
      <c r="J54" s="88">
        <f t="shared" si="0"/>
        <v>32206560</v>
      </c>
      <c r="K54" s="133">
        <f t="shared" si="1"/>
        <v>-23681</v>
      </c>
      <c r="L54" s="134">
        <f t="shared" si="2"/>
        <v>0.85000158353127475</v>
      </c>
    </row>
    <row r="55" spans="1:12" ht="60.75" customHeight="1">
      <c r="A55" s="310" t="s">
        <v>164</v>
      </c>
      <c r="B55" s="310"/>
      <c r="C55" s="303" t="s">
        <v>165</v>
      </c>
      <c r="D55" s="303"/>
      <c r="E55" s="303"/>
      <c r="F55" s="97" t="s">
        <v>113</v>
      </c>
      <c r="G55" s="98">
        <v>60</v>
      </c>
      <c r="H55" s="88">
        <v>177999</v>
      </c>
      <c r="I55" s="88">
        <v>151299</v>
      </c>
      <c r="J55" s="88">
        <f t="shared" si="0"/>
        <v>9077940</v>
      </c>
      <c r="K55" s="133">
        <f t="shared" si="1"/>
        <v>-26700</v>
      </c>
      <c r="L55" s="134">
        <f t="shared" si="2"/>
        <v>0.84999915729863651</v>
      </c>
    </row>
    <row r="56" spans="1:12" ht="60.75" customHeight="1">
      <c r="A56" s="310" t="s">
        <v>166</v>
      </c>
      <c r="B56" s="310"/>
      <c r="C56" s="303" t="s">
        <v>167</v>
      </c>
      <c r="D56" s="303"/>
      <c r="E56" s="303"/>
      <c r="F56" s="97" t="s">
        <v>113</v>
      </c>
      <c r="G56" s="98">
        <v>82</v>
      </c>
      <c r="H56" s="88">
        <v>327191</v>
      </c>
      <c r="I56" s="88">
        <v>278112</v>
      </c>
      <c r="J56" s="88">
        <f t="shared" si="0"/>
        <v>22805184</v>
      </c>
      <c r="K56" s="133">
        <f t="shared" si="1"/>
        <v>-49079</v>
      </c>
      <c r="L56" s="134">
        <f t="shared" si="2"/>
        <v>0.84999893028842477</v>
      </c>
    </row>
    <row r="57" spans="1:12" ht="60.75" customHeight="1">
      <c r="A57" s="310" t="s">
        <v>168</v>
      </c>
      <c r="B57" s="310"/>
      <c r="C57" s="303" t="s">
        <v>169</v>
      </c>
      <c r="D57" s="303"/>
      <c r="E57" s="303"/>
      <c r="F57" s="97" t="s">
        <v>113</v>
      </c>
      <c r="G57" s="98">
        <v>90</v>
      </c>
      <c r="H57" s="88">
        <v>230677</v>
      </c>
      <c r="I57" s="88">
        <v>196075</v>
      </c>
      <c r="J57" s="88">
        <f t="shared" si="0"/>
        <v>17646750</v>
      </c>
      <c r="K57" s="133">
        <f t="shared" si="1"/>
        <v>-34602</v>
      </c>
      <c r="L57" s="134">
        <f t="shared" si="2"/>
        <v>0.84999804922033839</v>
      </c>
    </row>
    <row r="58" spans="1:12" ht="60.75" customHeight="1">
      <c r="A58" s="310" t="s">
        <v>170</v>
      </c>
      <c r="B58" s="310"/>
      <c r="C58" s="303" t="s">
        <v>171</v>
      </c>
      <c r="D58" s="303"/>
      <c r="E58" s="303"/>
      <c r="F58" s="97" t="s">
        <v>113</v>
      </c>
      <c r="G58" s="98">
        <v>7</v>
      </c>
      <c r="H58" s="88">
        <v>196020</v>
      </c>
      <c r="I58" s="88">
        <v>166617</v>
      </c>
      <c r="J58" s="88">
        <f t="shared" si="0"/>
        <v>1166319</v>
      </c>
      <c r="K58" s="133">
        <f t="shared" si="1"/>
        <v>-29403</v>
      </c>
      <c r="L58" s="134">
        <f t="shared" si="2"/>
        <v>0.85</v>
      </c>
    </row>
    <row r="59" spans="1:12" ht="60.75" customHeight="1">
      <c r="A59" s="310" t="s">
        <v>172</v>
      </c>
      <c r="B59" s="310"/>
      <c r="C59" s="303" t="s">
        <v>173</v>
      </c>
      <c r="D59" s="303"/>
      <c r="E59" s="303"/>
      <c r="F59" s="97" t="s">
        <v>113</v>
      </c>
      <c r="G59" s="98">
        <v>22</v>
      </c>
      <c r="H59" s="88">
        <v>181406</v>
      </c>
      <c r="I59" s="88">
        <v>154195</v>
      </c>
      <c r="J59" s="88">
        <f t="shared" si="0"/>
        <v>3392290</v>
      </c>
      <c r="K59" s="133">
        <f t="shared" si="1"/>
        <v>-27211</v>
      </c>
      <c r="L59" s="134">
        <f t="shared" si="2"/>
        <v>0.84999944875031697</v>
      </c>
    </row>
    <row r="60" spans="1:12" ht="60.75" customHeight="1">
      <c r="A60" s="310" t="s">
        <v>174</v>
      </c>
      <c r="B60" s="310"/>
      <c r="C60" s="303" t="s">
        <v>175</v>
      </c>
      <c r="D60" s="303"/>
      <c r="E60" s="303"/>
      <c r="F60" s="97" t="s">
        <v>113</v>
      </c>
      <c r="G60" s="98">
        <v>10</v>
      </c>
      <c r="H60" s="88">
        <v>200830</v>
      </c>
      <c r="I60" s="88">
        <v>170706</v>
      </c>
      <c r="J60" s="88">
        <f t="shared" si="0"/>
        <v>1707060</v>
      </c>
      <c r="K60" s="133">
        <f t="shared" si="1"/>
        <v>-30124</v>
      </c>
      <c r="L60" s="134">
        <f t="shared" si="2"/>
        <v>0.85000248966787828</v>
      </c>
    </row>
    <row r="61" spans="1:12" ht="60.75" customHeight="1">
      <c r="A61" s="310" t="s">
        <v>176</v>
      </c>
      <c r="B61" s="310"/>
      <c r="C61" s="303" t="s">
        <v>177</v>
      </c>
      <c r="D61" s="303"/>
      <c r="E61" s="303"/>
      <c r="F61" s="97" t="s">
        <v>113</v>
      </c>
      <c r="G61" s="98">
        <v>43</v>
      </c>
      <c r="H61" s="88">
        <v>178332</v>
      </c>
      <c r="I61" s="88">
        <v>151582</v>
      </c>
      <c r="J61" s="88">
        <f t="shared" si="0"/>
        <v>6518026</v>
      </c>
      <c r="K61" s="133">
        <f t="shared" si="1"/>
        <v>-26750</v>
      </c>
      <c r="L61" s="134">
        <f t="shared" si="2"/>
        <v>0.84999887849628786</v>
      </c>
    </row>
    <row r="62" spans="1:12" ht="60.75" customHeight="1">
      <c r="A62" s="310" t="s">
        <v>178</v>
      </c>
      <c r="B62" s="310"/>
      <c r="C62" s="303" t="s">
        <v>179</v>
      </c>
      <c r="D62" s="303"/>
      <c r="E62" s="303"/>
      <c r="F62" s="97" t="s">
        <v>180</v>
      </c>
      <c r="G62" s="98">
        <v>300</v>
      </c>
      <c r="H62" s="88">
        <v>16471</v>
      </c>
      <c r="I62" s="88">
        <v>14000</v>
      </c>
      <c r="J62" s="88">
        <f t="shared" si="0"/>
        <v>4200000</v>
      </c>
      <c r="K62" s="133">
        <f t="shared" si="1"/>
        <v>-2471</v>
      </c>
      <c r="L62" s="134">
        <f t="shared" si="2"/>
        <v>0.84997875053123673</v>
      </c>
    </row>
    <row r="63" spans="1:12" ht="60.75" customHeight="1">
      <c r="A63" s="310" t="s">
        <v>181</v>
      </c>
      <c r="B63" s="310"/>
      <c r="C63" s="303" t="s">
        <v>182</v>
      </c>
      <c r="D63" s="303"/>
      <c r="E63" s="303"/>
      <c r="F63" s="97" t="s">
        <v>95</v>
      </c>
      <c r="G63" s="98">
        <v>180</v>
      </c>
      <c r="H63" s="88">
        <v>159622</v>
      </c>
      <c r="I63" s="88">
        <v>135679</v>
      </c>
      <c r="J63" s="88">
        <f t="shared" si="0"/>
        <v>24422220</v>
      </c>
      <c r="K63" s="133">
        <f t="shared" si="1"/>
        <v>-23943</v>
      </c>
      <c r="L63" s="134">
        <f t="shared" si="2"/>
        <v>0.85000187944017747</v>
      </c>
    </row>
    <row r="64" spans="1:12" ht="60.75" customHeight="1">
      <c r="A64" s="310" t="s">
        <v>183</v>
      </c>
      <c r="B64" s="310"/>
      <c r="C64" s="303" t="s">
        <v>184</v>
      </c>
      <c r="D64" s="303"/>
      <c r="E64" s="303"/>
      <c r="F64" s="97" t="s">
        <v>95</v>
      </c>
      <c r="G64" s="98">
        <v>220</v>
      </c>
      <c r="H64" s="88">
        <v>301400</v>
      </c>
      <c r="I64" s="88">
        <v>256190</v>
      </c>
      <c r="J64" s="88">
        <f t="shared" si="0"/>
        <v>56361800</v>
      </c>
      <c r="K64" s="133">
        <f t="shared" si="1"/>
        <v>-45210</v>
      </c>
      <c r="L64" s="134">
        <f t="shared" si="2"/>
        <v>0.85</v>
      </c>
    </row>
    <row r="65" spans="1:12" ht="60.75" customHeight="1">
      <c r="A65" s="310" t="s">
        <v>185</v>
      </c>
      <c r="B65" s="310"/>
      <c r="C65" s="303" t="s">
        <v>186</v>
      </c>
      <c r="D65" s="303"/>
      <c r="E65" s="303"/>
      <c r="F65" s="97" t="s">
        <v>113</v>
      </c>
      <c r="G65" s="98">
        <v>2</v>
      </c>
      <c r="H65" s="88">
        <v>3554535</v>
      </c>
      <c r="I65" s="88">
        <v>3021355</v>
      </c>
      <c r="J65" s="88">
        <f t="shared" si="0"/>
        <v>6042710</v>
      </c>
      <c r="K65" s="133">
        <f t="shared" si="1"/>
        <v>-533180</v>
      </c>
      <c r="L65" s="134">
        <f t="shared" si="2"/>
        <v>0.85000007033268765</v>
      </c>
    </row>
    <row r="66" spans="1:12" ht="60.75" customHeight="1">
      <c r="A66" s="310" t="s">
        <v>187</v>
      </c>
      <c r="B66" s="310"/>
      <c r="C66" s="303" t="s">
        <v>188</v>
      </c>
      <c r="D66" s="303"/>
      <c r="E66" s="303"/>
      <c r="F66" s="97" t="s">
        <v>98</v>
      </c>
      <c r="G66" s="98">
        <v>300</v>
      </c>
      <c r="H66" s="88">
        <v>853000</v>
      </c>
      <c r="I66" s="88">
        <v>682400</v>
      </c>
      <c r="J66" s="88">
        <f t="shared" si="0"/>
        <v>204720000</v>
      </c>
      <c r="K66" s="133">
        <f t="shared" si="1"/>
        <v>-170600</v>
      </c>
      <c r="L66" s="134">
        <f t="shared" si="2"/>
        <v>0.8</v>
      </c>
    </row>
    <row r="67" spans="1:12" ht="60.75" customHeight="1">
      <c r="A67" s="310" t="s">
        <v>189</v>
      </c>
      <c r="B67" s="310"/>
      <c r="C67" s="303" t="s">
        <v>190</v>
      </c>
      <c r="D67" s="303"/>
      <c r="E67" s="303"/>
      <c r="F67" s="97" t="s">
        <v>98</v>
      </c>
      <c r="G67" s="98">
        <v>30</v>
      </c>
      <c r="H67" s="88">
        <v>879613</v>
      </c>
      <c r="I67" s="88">
        <v>703690</v>
      </c>
      <c r="J67" s="88">
        <f t="shared" si="0"/>
        <v>21110700</v>
      </c>
      <c r="K67" s="133">
        <f t="shared" si="1"/>
        <v>-175923</v>
      </c>
      <c r="L67" s="134">
        <f t="shared" si="2"/>
        <v>0.79999954525456085</v>
      </c>
    </row>
    <row r="68" spans="1:12" ht="60.75" customHeight="1">
      <c r="A68" s="310" t="s">
        <v>191</v>
      </c>
      <c r="B68" s="310"/>
      <c r="C68" s="303" t="s">
        <v>192</v>
      </c>
      <c r="D68" s="303"/>
      <c r="E68" s="303"/>
      <c r="F68" s="97" t="s">
        <v>95</v>
      </c>
      <c r="G68" s="98">
        <v>60</v>
      </c>
      <c r="H68" s="88">
        <v>87418</v>
      </c>
      <c r="I68" s="88">
        <v>69934</v>
      </c>
      <c r="J68" s="88">
        <f t="shared" si="0"/>
        <v>4196040</v>
      </c>
      <c r="K68" s="133">
        <f t="shared" si="1"/>
        <v>-17484</v>
      </c>
      <c r="L68" s="134">
        <f t="shared" si="2"/>
        <v>0.79999542428332837</v>
      </c>
    </row>
    <row r="69" spans="1:12" ht="60.75" customHeight="1">
      <c r="A69" s="310" t="s">
        <v>193</v>
      </c>
      <c r="B69" s="310"/>
      <c r="C69" s="303" t="s">
        <v>194</v>
      </c>
      <c r="D69" s="303"/>
      <c r="E69" s="303"/>
      <c r="F69" s="97" t="s">
        <v>113</v>
      </c>
      <c r="G69" s="98">
        <v>41</v>
      </c>
      <c r="H69" s="88">
        <v>142900</v>
      </c>
      <c r="I69" s="88">
        <v>114320</v>
      </c>
      <c r="J69" s="88">
        <f t="shared" si="0"/>
        <v>4687120</v>
      </c>
      <c r="K69" s="133">
        <f t="shared" si="1"/>
        <v>-28580</v>
      </c>
      <c r="L69" s="134">
        <f t="shared" si="2"/>
        <v>0.8</v>
      </c>
    </row>
    <row r="70" spans="1:12" ht="60.75" customHeight="1">
      <c r="A70" s="310" t="s">
        <v>195</v>
      </c>
      <c r="B70" s="310"/>
      <c r="C70" s="303" t="s">
        <v>196</v>
      </c>
      <c r="D70" s="303"/>
      <c r="E70" s="303"/>
      <c r="F70" s="97" t="s">
        <v>113</v>
      </c>
      <c r="G70" s="98">
        <v>1</v>
      </c>
      <c r="H70" s="88">
        <v>1176585</v>
      </c>
      <c r="I70" s="88">
        <v>1000097</v>
      </c>
      <c r="J70" s="88">
        <f t="shared" si="0"/>
        <v>1000097</v>
      </c>
      <c r="K70" s="133">
        <f t="shared" si="1"/>
        <v>-176488</v>
      </c>
      <c r="L70" s="134">
        <f t="shared" si="2"/>
        <v>0.84999978752066363</v>
      </c>
    </row>
    <row r="71" spans="1:12" ht="60.75" customHeight="1">
      <c r="A71" s="310" t="s">
        <v>197</v>
      </c>
      <c r="B71" s="310"/>
      <c r="C71" s="303" t="s">
        <v>198</v>
      </c>
      <c r="D71" s="303"/>
      <c r="E71" s="303"/>
      <c r="F71" s="97" t="s">
        <v>98</v>
      </c>
      <c r="G71" s="98">
        <v>1000</v>
      </c>
      <c r="H71" s="88">
        <v>38208</v>
      </c>
      <c r="I71" s="88">
        <v>30566</v>
      </c>
      <c r="J71" s="88">
        <f t="shared" si="0"/>
        <v>30566000</v>
      </c>
      <c r="K71" s="133">
        <f t="shared" si="1"/>
        <v>-7642</v>
      </c>
      <c r="L71" s="134">
        <f t="shared" si="2"/>
        <v>0.79998953098827474</v>
      </c>
    </row>
    <row r="72" spans="1:12" ht="60.75" customHeight="1">
      <c r="A72" s="310" t="s">
        <v>199</v>
      </c>
      <c r="B72" s="310"/>
      <c r="C72" s="303" t="s">
        <v>200</v>
      </c>
      <c r="D72" s="303"/>
      <c r="E72" s="303"/>
      <c r="F72" s="97" t="s">
        <v>98</v>
      </c>
      <c r="G72" s="98">
        <v>230.61</v>
      </c>
      <c r="H72" s="88">
        <v>41123</v>
      </c>
      <c r="I72" s="88">
        <v>32898</v>
      </c>
      <c r="J72" s="88">
        <f t="shared" si="0"/>
        <v>7586608</v>
      </c>
      <c r="K72" s="133">
        <f t="shared" si="1"/>
        <v>-8225</v>
      </c>
      <c r="L72" s="134">
        <f t="shared" si="2"/>
        <v>0.79999027308318948</v>
      </c>
    </row>
    <row r="73" spans="1:12" ht="60.75" customHeight="1">
      <c r="A73" s="311" t="s">
        <v>201</v>
      </c>
      <c r="B73" s="312"/>
      <c r="C73" s="312"/>
      <c r="D73" s="312"/>
      <c r="E73" s="312"/>
      <c r="F73" s="312"/>
      <c r="G73" s="312"/>
      <c r="H73" s="312"/>
      <c r="I73" s="313"/>
      <c r="J73" s="99">
        <f>SUM(J40:J72)</f>
        <v>1042699400</v>
      </c>
      <c r="K73" s="133">
        <f t="shared" si="1"/>
        <v>0</v>
      </c>
      <c r="L73" s="134" t="e">
        <f t="shared" si="2"/>
        <v>#DIV/0!</v>
      </c>
    </row>
    <row r="74" spans="1:12" ht="60.75" customHeight="1">
      <c r="A74" s="302" t="s">
        <v>202</v>
      </c>
      <c r="B74" s="302"/>
      <c r="C74" s="303" t="s">
        <v>203</v>
      </c>
      <c r="D74" s="303"/>
      <c r="E74" s="303"/>
      <c r="F74" s="97" t="s">
        <v>98</v>
      </c>
      <c r="G74" s="98">
        <v>450</v>
      </c>
      <c r="H74" s="88">
        <v>194913</v>
      </c>
      <c r="I74" s="88">
        <v>165676</v>
      </c>
      <c r="J74" s="88">
        <f t="shared" ref="J74:J130" si="3">+ROUND(I74*G74,0)</f>
        <v>74554200</v>
      </c>
      <c r="K74" s="133">
        <f t="shared" si="1"/>
        <v>-29237</v>
      </c>
      <c r="L74" s="134">
        <f t="shared" si="2"/>
        <v>0.84999974347529406</v>
      </c>
    </row>
    <row r="75" spans="1:12" ht="60.75" customHeight="1">
      <c r="A75" s="302" t="s">
        <v>197</v>
      </c>
      <c r="B75" s="302"/>
      <c r="C75" s="303" t="s">
        <v>204</v>
      </c>
      <c r="D75" s="303"/>
      <c r="E75" s="303"/>
      <c r="F75" s="97" t="s">
        <v>113</v>
      </c>
      <c r="G75" s="98">
        <v>2</v>
      </c>
      <c r="H75" s="88">
        <v>3334200</v>
      </c>
      <c r="I75" s="88">
        <v>2667360</v>
      </c>
      <c r="J75" s="88">
        <f t="shared" si="3"/>
        <v>5334720</v>
      </c>
      <c r="K75" s="133">
        <f t="shared" si="1"/>
        <v>-666840</v>
      </c>
      <c r="L75" s="134">
        <f t="shared" si="2"/>
        <v>0.8</v>
      </c>
    </row>
    <row r="76" spans="1:12" ht="60.75" customHeight="1">
      <c r="A76" s="302" t="s">
        <v>199</v>
      </c>
      <c r="B76" s="302"/>
      <c r="C76" s="303" t="s">
        <v>205</v>
      </c>
      <c r="D76" s="303"/>
      <c r="E76" s="303"/>
      <c r="F76" s="97" t="s">
        <v>113</v>
      </c>
      <c r="G76" s="98">
        <v>12</v>
      </c>
      <c r="H76" s="88">
        <v>858374</v>
      </c>
      <c r="I76" s="88">
        <v>686699</v>
      </c>
      <c r="J76" s="88">
        <f t="shared" si="3"/>
        <v>8240388</v>
      </c>
      <c r="K76" s="133">
        <f t="shared" si="1"/>
        <v>-171675</v>
      </c>
      <c r="L76" s="134">
        <f t="shared" si="2"/>
        <v>0.79999976700133046</v>
      </c>
    </row>
    <row r="77" spans="1:12" ht="60.75" customHeight="1">
      <c r="A77" s="302" t="s">
        <v>206</v>
      </c>
      <c r="B77" s="302"/>
      <c r="C77" s="303" t="s">
        <v>207</v>
      </c>
      <c r="D77" s="303"/>
      <c r="E77" s="303"/>
      <c r="F77" s="97" t="s">
        <v>98</v>
      </c>
      <c r="G77" s="98">
        <v>222.23000000000002</v>
      </c>
      <c r="H77" s="88">
        <v>34663</v>
      </c>
      <c r="I77" s="88">
        <v>27730</v>
      </c>
      <c r="J77" s="88">
        <f t="shared" si="3"/>
        <v>6162438</v>
      </c>
      <c r="K77" s="133">
        <f t="shared" si="1"/>
        <v>-6933</v>
      </c>
      <c r="L77" s="134">
        <f t="shared" si="2"/>
        <v>0.79998846031791826</v>
      </c>
    </row>
    <row r="78" spans="1:12" ht="60.75" customHeight="1">
      <c r="A78" s="307" t="s">
        <v>208</v>
      </c>
      <c r="B78" s="308"/>
      <c r="C78" s="308"/>
      <c r="D78" s="308"/>
      <c r="E78" s="308"/>
      <c r="F78" s="308"/>
      <c r="G78" s="308"/>
      <c r="H78" s="308"/>
      <c r="I78" s="309"/>
      <c r="J78" s="100">
        <f>SUM(J74:J77)</f>
        <v>94291746</v>
      </c>
      <c r="K78" s="133">
        <f t="shared" si="1"/>
        <v>0</v>
      </c>
      <c r="L78" s="134" t="e">
        <f t="shared" si="2"/>
        <v>#DIV/0!</v>
      </c>
    </row>
    <row r="79" spans="1:12" ht="60.75" customHeight="1">
      <c r="A79" s="302" t="s">
        <v>93</v>
      </c>
      <c r="B79" s="302"/>
      <c r="C79" s="303" t="s">
        <v>143</v>
      </c>
      <c r="D79" s="303"/>
      <c r="E79" s="303"/>
      <c r="F79" s="97" t="s">
        <v>98</v>
      </c>
      <c r="G79" s="98">
        <v>161.58000000000001</v>
      </c>
      <c r="H79" s="88">
        <v>49033</v>
      </c>
      <c r="I79" s="88">
        <v>39226</v>
      </c>
      <c r="J79" s="88">
        <f t="shared" si="3"/>
        <v>6338137</v>
      </c>
      <c r="K79" s="133">
        <f t="shared" si="1"/>
        <v>-9807</v>
      </c>
      <c r="L79" s="134">
        <f t="shared" si="2"/>
        <v>0.79999184222870312</v>
      </c>
    </row>
    <row r="80" spans="1:12" ht="60.75" customHeight="1">
      <c r="A80" s="302" t="s">
        <v>96</v>
      </c>
      <c r="B80" s="302"/>
      <c r="C80" s="303" t="s">
        <v>144</v>
      </c>
      <c r="D80" s="303"/>
      <c r="E80" s="303"/>
      <c r="F80" s="97" t="s">
        <v>98</v>
      </c>
      <c r="G80" s="98">
        <v>246.96</v>
      </c>
      <c r="H80" s="88">
        <v>97950</v>
      </c>
      <c r="I80" s="88">
        <v>40534</v>
      </c>
      <c r="J80" s="88">
        <f t="shared" si="3"/>
        <v>10010277</v>
      </c>
      <c r="K80" s="133">
        <f t="shared" si="1"/>
        <v>-57416</v>
      </c>
      <c r="L80" s="134">
        <f t="shared" si="2"/>
        <v>0.4138233792751404</v>
      </c>
    </row>
    <row r="81" spans="1:12" ht="60.75" customHeight="1">
      <c r="A81" s="302" t="s">
        <v>145</v>
      </c>
      <c r="B81" s="302"/>
      <c r="C81" s="303" t="s">
        <v>209</v>
      </c>
      <c r="D81" s="303"/>
      <c r="E81" s="303"/>
      <c r="F81" s="97" t="s">
        <v>98</v>
      </c>
      <c r="G81" s="98">
        <v>888.84</v>
      </c>
      <c r="H81" s="88">
        <v>36183</v>
      </c>
      <c r="I81" s="88">
        <v>30670</v>
      </c>
      <c r="J81" s="88">
        <f t="shared" si="3"/>
        <v>27260723</v>
      </c>
      <c r="K81" s="133">
        <f t="shared" ref="K81:K130" si="4">+I81-H81</f>
        <v>-5513</v>
      </c>
      <c r="L81" s="134">
        <f t="shared" ref="L81:L130" si="5">+I81/H81</f>
        <v>0.84763562999198516</v>
      </c>
    </row>
    <row r="82" spans="1:12" ht="60.75" customHeight="1">
      <c r="A82" s="302" t="s">
        <v>146</v>
      </c>
      <c r="B82" s="302"/>
      <c r="C82" s="303" t="s">
        <v>147</v>
      </c>
      <c r="D82" s="303"/>
      <c r="E82" s="303"/>
      <c r="F82" s="97" t="s">
        <v>148</v>
      </c>
      <c r="G82" s="98">
        <v>1</v>
      </c>
      <c r="H82" s="88">
        <v>6960160</v>
      </c>
      <c r="I82" s="88">
        <v>10450568</v>
      </c>
      <c r="J82" s="88">
        <f t="shared" si="3"/>
        <v>10450568</v>
      </c>
      <c r="K82" s="133">
        <f t="shared" si="4"/>
        <v>3490408</v>
      </c>
      <c r="L82" s="134">
        <f t="shared" si="5"/>
        <v>1.5014838739339325</v>
      </c>
    </row>
    <row r="83" spans="1:12" ht="60.75" customHeight="1">
      <c r="A83" s="302" t="s">
        <v>149</v>
      </c>
      <c r="B83" s="302"/>
      <c r="C83" s="303" t="s">
        <v>210</v>
      </c>
      <c r="D83" s="303"/>
      <c r="E83" s="303"/>
      <c r="F83" s="97" t="s">
        <v>113</v>
      </c>
      <c r="G83" s="98">
        <v>150</v>
      </c>
      <c r="H83" s="88">
        <v>96339</v>
      </c>
      <c r="I83" s="88">
        <v>77071</v>
      </c>
      <c r="J83" s="88">
        <f t="shared" si="3"/>
        <v>11560650</v>
      </c>
      <c r="K83" s="133">
        <f t="shared" si="4"/>
        <v>-19268</v>
      </c>
      <c r="L83" s="134">
        <f t="shared" si="5"/>
        <v>0.79999792399755032</v>
      </c>
    </row>
    <row r="84" spans="1:12" ht="60.75" customHeight="1">
      <c r="A84" s="302" t="s">
        <v>151</v>
      </c>
      <c r="B84" s="302"/>
      <c r="C84" s="303" t="s">
        <v>211</v>
      </c>
      <c r="D84" s="303"/>
      <c r="E84" s="303"/>
      <c r="F84" s="97" t="s">
        <v>98</v>
      </c>
      <c r="G84" s="98">
        <v>37.5</v>
      </c>
      <c r="H84" s="88">
        <v>95199</v>
      </c>
      <c r="I84" s="88">
        <v>117450</v>
      </c>
      <c r="J84" s="88">
        <f t="shared" si="3"/>
        <v>4404375</v>
      </c>
      <c r="K84" s="133">
        <f t="shared" si="4"/>
        <v>22251</v>
      </c>
      <c r="L84" s="134">
        <f t="shared" si="5"/>
        <v>1.2337314467588945</v>
      </c>
    </row>
    <row r="85" spans="1:12" ht="60.75" customHeight="1">
      <c r="A85" s="302" t="s">
        <v>99</v>
      </c>
      <c r="B85" s="302"/>
      <c r="C85" s="303" t="s">
        <v>153</v>
      </c>
      <c r="D85" s="303"/>
      <c r="E85" s="303"/>
      <c r="F85" s="97" t="s">
        <v>95</v>
      </c>
      <c r="G85" s="98">
        <v>121</v>
      </c>
      <c r="H85" s="88">
        <v>203925</v>
      </c>
      <c r="I85" s="88">
        <v>163140</v>
      </c>
      <c r="J85" s="88">
        <f t="shared" si="3"/>
        <v>19739940</v>
      </c>
      <c r="K85" s="133">
        <f t="shared" si="4"/>
        <v>-40785</v>
      </c>
      <c r="L85" s="134">
        <f t="shared" si="5"/>
        <v>0.8</v>
      </c>
    </row>
    <row r="86" spans="1:12" ht="60.75" customHeight="1">
      <c r="A86" s="302" t="s">
        <v>101</v>
      </c>
      <c r="B86" s="302"/>
      <c r="C86" s="303" t="s">
        <v>154</v>
      </c>
      <c r="D86" s="303"/>
      <c r="E86" s="303"/>
      <c r="F86" s="97" t="s">
        <v>95</v>
      </c>
      <c r="G86" s="98">
        <v>145</v>
      </c>
      <c r="H86" s="88">
        <v>186288</v>
      </c>
      <c r="I86" s="88">
        <v>149030</v>
      </c>
      <c r="J86" s="88">
        <f t="shared" si="3"/>
        <v>21609350</v>
      </c>
      <c r="K86" s="133">
        <f t="shared" si="4"/>
        <v>-37258</v>
      </c>
      <c r="L86" s="134">
        <f t="shared" si="5"/>
        <v>0.79999785278708235</v>
      </c>
    </row>
    <row r="87" spans="1:12" ht="60.75" customHeight="1">
      <c r="A87" s="302" t="s">
        <v>103</v>
      </c>
      <c r="B87" s="302"/>
      <c r="C87" s="303" t="s">
        <v>212</v>
      </c>
      <c r="D87" s="303"/>
      <c r="E87" s="303"/>
      <c r="F87" s="97" t="s">
        <v>98</v>
      </c>
      <c r="G87" s="98">
        <v>40</v>
      </c>
      <c r="H87" s="88">
        <v>240790</v>
      </c>
      <c r="I87" s="88">
        <v>235974</v>
      </c>
      <c r="J87" s="88">
        <f t="shared" si="3"/>
        <v>9438960</v>
      </c>
      <c r="K87" s="133">
        <f t="shared" si="4"/>
        <v>-4816</v>
      </c>
      <c r="L87" s="134">
        <f t="shared" si="5"/>
        <v>0.97999916940072263</v>
      </c>
    </row>
    <row r="88" spans="1:12" ht="60.75" customHeight="1">
      <c r="A88" s="302" t="s">
        <v>116</v>
      </c>
      <c r="B88" s="302"/>
      <c r="C88" s="303" t="s">
        <v>213</v>
      </c>
      <c r="D88" s="303"/>
      <c r="E88" s="303"/>
      <c r="F88" s="97" t="s">
        <v>98</v>
      </c>
      <c r="G88" s="98">
        <v>5</v>
      </c>
      <c r="H88" s="88">
        <v>161174</v>
      </c>
      <c r="I88" s="88">
        <v>174363</v>
      </c>
      <c r="J88" s="88">
        <f t="shared" si="3"/>
        <v>871815</v>
      </c>
      <c r="K88" s="133">
        <f t="shared" si="4"/>
        <v>13189</v>
      </c>
      <c r="L88" s="134">
        <f t="shared" si="5"/>
        <v>1.0818308163847767</v>
      </c>
    </row>
    <row r="89" spans="1:12" ht="60.75" customHeight="1">
      <c r="A89" s="302" t="s">
        <v>124</v>
      </c>
      <c r="B89" s="302"/>
      <c r="C89" s="303" t="s">
        <v>214</v>
      </c>
      <c r="D89" s="303"/>
      <c r="E89" s="303"/>
      <c r="F89" s="97" t="s">
        <v>98</v>
      </c>
      <c r="G89" s="98">
        <v>888.84</v>
      </c>
      <c r="H89" s="88">
        <v>116086</v>
      </c>
      <c r="I89" s="88">
        <v>117450</v>
      </c>
      <c r="J89" s="88">
        <f t="shared" si="3"/>
        <v>104394258</v>
      </c>
      <c r="K89" s="133">
        <f t="shared" si="4"/>
        <v>1364</v>
      </c>
      <c r="L89" s="134">
        <f t="shared" si="5"/>
        <v>1.0117499095498166</v>
      </c>
    </row>
    <row r="90" spans="1:12" ht="60.75" customHeight="1">
      <c r="A90" s="302" t="s">
        <v>136</v>
      </c>
      <c r="B90" s="302"/>
      <c r="C90" s="303" t="s">
        <v>215</v>
      </c>
      <c r="D90" s="303"/>
      <c r="E90" s="303"/>
      <c r="F90" s="97" t="s">
        <v>98</v>
      </c>
      <c r="G90" s="98">
        <v>888.84</v>
      </c>
      <c r="H90" s="88">
        <v>194913</v>
      </c>
      <c r="I90" s="88">
        <v>165676</v>
      </c>
      <c r="J90" s="88">
        <f t="shared" si="3"/>
        <v>147259456</v>
      </c>
      <c r="K90" s="133">
        <f t="shared" si="4"/>
        <v>-29237</v>
      </c>
      <c r="L90" s="134">
        <f t="shared" si="5"/>
        <v>0.84999974347529406</v>
      </c>
    </row>
    <row r="91" spans="1:12" ht="60.75" customHeight="1">
      <c r="A91" s="302" t="s">
        <v>140</v>
      </c>
      <c r="B91" s="302"/>
      <c r="C91" s="303" t="s">
        <v>159</v>
      </c>
      <c r="D91" s="303"/>
      <c r="E91" s="303"/>
      <c r="F91" s="97" t="s">
        <v>95</v>
      </c>
      <c r="G91" s="98">
        <v>1800</v>
      </c>
      <c r="H91" s="88">
        <v>20382</v>
      </c>
      <c r="I91" s="88">
        <v>17325</v>
      </c>
      <c r="J91" s="88">
        <f t="shared" si="3"/>
        <v>31185000</v>
      </c>
      <c r="K91" s="133">
        <f t="shared" si="4"/>
        <v>-3057</v>
      </c>
      <c r="L91" s="134">
        <f t="shared" si="5"/>
        <v>0.85001471886959079</v>
      </c>
    </row>
    <row r="92" spans="1:12" ht="60.75" customHeight="1">
      <c r="A92" s="302" t="s">
        <v>160</v>
      </c>
      <c r="B92" s="302"/>
      <c r="C92" s="303" t="s">
        <v>161</v>
      </c>
      <c r="D92" s="303"/>
      <c r="E92" s="303"/>
      <c r="F92" s="97" t="s">
        <v>95</v>
      </c>
      <c r="G92" s="98">
        <v>50</v>
      </c>
      <c r="H92" s="88">
        <v>226317</v>
      </c>
      <c r="I92" s="88">
        <v>192369</v>
      </c>
      <c r="J92" s="88">
        <f t="shared" si="3"/>
        <v>9618450</v>
      </c>
      <c r="K92" s="133">
        <f t="shared" si="4"/>
        <v>-33948</v>
      </c>
      <c r="L92" s="134">
        <f t="shared" si="5"/>
        <v>0.84999801163854238</v>
      </c>
    </row>
    <row r="93" spans="1:12" ht="60.75" customHeight="1">
      <c r="A93" s="302" t="s">
        <v>162</v>
      </c>
      <c r="B93" s="302"/>
      <c r="C93" s="303" t="s">
        <v>216</v>
      </c>
      <c r="D93" s="303"/>
      <c r="E93" s="303"/>
      <c r="F93" s="97" t="s">
        <v>113</v>
      </c>
      <c r="G93" s="98">
        <v>180</v>
      </c>
      <c r="H93" s="88">
        <v>151650</v>
      </c>
      <c r="I93" s="88">
        <v>128903</v>
      </c>
      <c r="J93" s="88">
        <f t="shared" si="3"/>
        <v>23202540</v>
      </c>
      <c r="K93" s="133">
        <f t="shared" si="4"/>
        <v>-22747</v>
      </c>
      <c r="L93" s="134">
        <f t="shared" si="5"/>
        <v>0.85000329706561162</v>
      </c>
    </row>
    <row r="94" spans="1:12" ht="60.75" customHeight="1">
      <c r="A94" s="302" t="s">
        <v>164</v>
      </c>
      <c r="B94" s="302"/>
      <c r="C94" s="303" t="s">
        <v>217</v>
      </c>
      <c r="D94" s="303"/>
      <c r="E94" s="303"/>
      <c r="F94" s="97" t="s">
        <v>113</v>
      </c>
      <c r="G94" s="98">
        <v>60</v>
      </c>
      <c r="H94" s="88">
        <v>170847</v>
      </c>
      <c r="I94" s="88">
        <v>145220</v>
      </c>
      <c r="J94" s="88">
        <f t="shared" si="3"/>
        <v>8713200</v>
      </c>
      <c r="K94" s="133">
        <f t="shared" si="4"/>
        <v>-25627</v>
      </c>
      <c r="L94" s="134">
        <f t="shared" si="5"/>
        <v>0.85000029265951405</v>
      </c>
    </row>
    <row r="95" spans="1:12" ht="60.75" customHeight="1">
      <c r="A95" s="302" t="s">
        <v>166</v>
      </c>
      <c r="B95" s="302"/>
      <c r="C95" s="303" t="s">
        <v>218</v>
      </c>
      <c r="D95" s="303"/>
      <c r="E95" s="303"/>
      <c r="F95" s="97" t="s">
        <v>113</v>
      </c>
      <c r="G95" s="98">
        <v>42</v>
      </c>
      <c r="H95" s="88">
        <v>308438</v>
      </c>
      <c r="I95" s="88">
        <v>262172</v>
      </c>
      <c r="J95" s="88">
        <f t="shared" si="3"/>
        <v>11011224</v>
      </c>
      <c r="K95" s="133">
        <f t="shared" si="4"/>
        <v>-46266</v>
      </c>
      <c r="L95" s="134">
        <f t="shared" si="5"/>
        <v>0.84999902735719979</v>
      </c>
    </row>
    <row r="96" spans="1:12" ht="60.75" customHeight="1">
      <c r="A96" s="302" t="s">
        <v>168</v>
      </c>
      <c r="B96" s="302"/>
      <c r="C96" s="303" t="s">
        <v>219</v>
      </c>
      <c r="D96" s="303"/>
      <c r="E96" s="303"/>
      <c r="F96" s="97" t="s">
        <v>113</v>
      </c>
      <c r="G96" s="98">
        <v>88</v>
      </c>
      <c r="H96" s="88">
        <v>106167</v>
      </c>
      <c r="I96" s="88">
        <v>90242</v>
      </c>
      <c r="J96" s="88">
        <f t="shared" si="3"/>
        <v>7941296</v>
      </c>
      <c r="K96" s="133">
        <f t="shared" si="4"/>
        <v>-15925</v>
      </c>
      <c r="L96" s="134">
        <f t="shared" si="5"/>
        <v>0.85000047095613518</v>
      </c>
    </row>
    <row r="97" spans="1:12" ht="60.75" customHeight="1">
      <c r="A97" s="302" t="s">
        <v>220</v>
      </c>
      <c r="B97" s="302"/>
      <c r="C97" s="303" t="s">
        <v>169</v>
      </c>
      <c r="D97" s="303"/>
      <c r="E97" s="303"/>
      <c r="F97" s="97" t="s">
        <v>113</v>
      </c>
      <c r="G97" s="98">
        <v>22</v>
      </c>
      <c r="H97" s="88">
        <v>215408</v>
      </c>
      <c r="I97" s="88">
        <v>183097</v>
      </c>
      <c r="J97" s="88">
        <f t="shared" si="3"/>
        <v>4028134</v>
      </c>
      <c r="K97" s="133">
        <f t="shared" si="4"/>
        <v>-32311</v>
      </c>
      <c r="L97" s="134">
        <f t="shared" si="5"/>
        <v>0.85000092847062314</v>
      </c>
    </row>
    <row r="98" spans="1:12" ht="60.75" customHeight="1">
      <c r="A98" s="302" t="s">
        <v>172</v>
      </c>
      <c r="B98" s="302"/>
      <c r="C98" s="303" t="s">
        <v>173</v>
      </c>
      <c r="D98" s="303"/>
      <c r="E98" s="303"/>
      <c r="F98" s="97" t="s">
        <v>113</v>
      </c>
      <c r="G98" s="98">
        <v>14</v>
      </c>
      <c r="H98" s="88">
        <v>226550</v>
      </c>
      <c r="I98" s="88">
        <v>192568</v>
      </c>
      <c r="J98" s="88">
        <f t="shared" si="3"/>
        <v>2695952</v>
      </c>
      <c r="K98" s="133">
        <f t="shared" si="4"/>
        <v>-33982</v>
      </c>
      <c r="L98" s="134">
        <f t="shared" si="5"/>
        <v>0.8500022070183183</v>
      </c>
    </row>
    <row r="99" spans="1:12" ht="60.75" customHeight="1">
      <c r="A99" s="302" t="s">
        <v>174</v>
      </c>
      <c r="B99" s="302"/>
      <c r="C99" s="303" t="s">
        <v>221</v>
      </c>
      <c r="D99" s="303"/>
      <c r="E99" s="303"/>
      <c r="F99" s="97" t="s">
        <v>113</v>
      </c>
      <c r="G99" s="98">
        <v>11</v>
      </c>
      <c r="H99" s="88">
        <v>203875</v>
      </c>
      <c r="I99" s="88">
        <v>173294</v>
      </c>
      <c r="J99" s="88">
        <f t="shared" si="3"/>
        <v>1906234</v>
      </c>
      <c r="K99" s="133">
        <f t="shared" si="4"/>
        <v>-30581</v>
      </c>
      <c r="L99" s="134">
        <f t="shared" si="5"/>
        <v>0.8500012262415696</v>
      </c>
    </row>
    <row r="100" spans="1:12" ht="60.75" customHeight="1">
      <c r="A100" s="302" t="s">
        <v>176</v>
      </c>
      <c r="B100" s="302"/>
      <c r="C100" s="303" t="s">
        <v>222</v>
      </c>
      <c r="D100" s="303"/>
      <c r="E100" s="303"/>
      <c r="F100" s="97" t="s">
        <v>113</v>
      </c>
      <c r="G100" s="98">
        <v>23</v>
      </c>
      <c r="H100" s="88">
        <v>178332</v>
      </c>
      <c r="I100" s="88">
        <v>151582</v>
      </c>
      <c r="J100" s="88">
        <f t="shared" si="3"/>
        <v>3486386</v>
      </c>
      <c r="K100" s="133">
        <f t="shared" si="4"/>
        <v>-26750</v>
      </c>
      <c r="L100" s="134">
        <f t="shared" si="5"/>
        <v>0.84999887849628786</v>
      </c>
    </row>
    <row r="101" spans="1:12" ht="60.75" customHeight="1">
      <c r="A101" s="302" t="s">
        <v>178</v>
      </c>
      <c r="B101" s="302"/>
      <c r="C101" s="303" t="s">
        <v>223</v>
      </c>
      <c r="D101" s="303"/>
      <c r="E101" s="303"/>
      <c r="F101" s="97" t="s">
        <v>95</v>
      </c>
      <c r="G101" s="98">
        <v>150</v>
      </c>
      <c r="H101" s="88">
        <v>16471</v>
      </c>
      <c r="I101" s="88">
        <v>14000</v>
      </c>
      <c r="J101" s="88">
        <f t="shared" si="3"/>
        <v>2100000</v>
      </c>
      <c r="K101" s="133">
        <f t="shared" si="4"/>
        <v>-2471</v>
      </c>
      <c r="L101" s="134">
        <f t="shared" si="5"/>
        <v>0.84997875053123673</v>
      </c>
    </row>
    <row r="102" spans="1:12" ht="60.75" customHeight="1">
      <c r="A102" s="302" t="s">
        <v>181</v>
      </c>
      <c r="B102" s="302"/>
      <c r="C102" s="303" t="s">
        <v>224</v>
      </c>
      <c r="D102" s="303"/>
      <c r="E102" s="303"/>
      <c r="F102" s="97" t="s">
        <v>95</v>
      </c>
      <c r="G102" s="98">
        <v>50</v>
      </c>
      <c r="H102" s="88">
        <v>159622</v>
      </c>
      <c r="I102" s="88">
        <v>135679</v>
      </c>
      <c r="J102" s="88">
        <f t="shared" si="3"/>
        <v>6783950</v>
      </c>
      <c r="K102" s="133">
        <f t="shared" si="4"/>
        <v>-23943</v>
      </c>
      <c r="L102" s="134">
        <f t="shared" si="5"/>
        <v>0.85000187944017747</v>
      </c>
    </row>
    <row r="103" spans="1:12" ht="60.75" customHeight="1">
      <c r="A103" s="302" t="s">
        <v>183</v>
      </c>
      <c r="B103" s="302"/>
      <c r="C103" s="303" t="s">
        <v>225</v>
      </c>
      <c r="D103" s="303"/>
      <c r="E103" s="303"/>
      <c r="F103" s="97" t="s">
        <v>95</v>
      </c>
      <c r="G103" s="98">
        <v>120</v>
      </c>
      <c r="H103" s="88">
        <v>326273</v>
      </c>
      <c r="I103" s="88">
        <v>277332</v>
      </c>
      <c r="J103" s="88">
        <f t="shared" si="3"/>
        <v>33279840</v>
      </c>
      <c r="K103" s="133">
        <f t="shared" si="4"/>
        <v>-48941</v>
      </c>
      <c r="L103" s="134">
        <f t="shared" si="5"/>
        <v>0.84999984675409856</v>
      </c>
    </row>
    <row r="104" spans="1:12" ht="60.75" customHeight="1">
      <c r="A104" s="302" t="s">
        <v>185</v>
      </c>
      <c r="B104" s="302"/>
      <c r="C104" s="303" t="s">
        <v>226</v>
      </c>
      <c r="D104" s="303"/>
      <c r="E104" s="303"/>
      <c r="F104" s="97" t="s">
        <v>113</v>
      </c>
      <c r="G104" s="98">
        <v>1</v>
      </c>
      <c r="H104" s="88">
        <v>3554535</v>
      </c>
      <c r="I104" s="88">
        <v>3021355</v>
      </c>
      <c r="J104" s="88">
        <f t="shared" si="3"/>
        <v>3021355</v>
      </c>
      <c r="K104" s="133">
        <f t="shared" si="4"/>
        <v>-533180</v>
      </c>
      <c r="L104" s="134">
        <f t="shared" si="5"/>
        <v>0.85000007033268765</v>
      </c>
    </row>
    <row r="105" spans="1:12" ht="60.75" customHeight="1">
      <c r="A105" s="302" t="s">
        <v>187</v>
      </c>
      <c r="B105" s="302"/>
      <c r="C105" s="303" t="s">
        <v>227</v>
      </c>
      <c r="D105" s="303"/>
      <c r="E105" s="303"/>
      <c r="F105" s="97" t="s">
        <v>95</v>
      </c>
      <c r="G105" s="98">
        <v>3.22</v>
      </c>
      <c r="H105" s="88">
        <v>1454712</v>
      </c>
      <c r="I105" s="88">
        <v>1236505</v>
      </c>
      <c r="J105" s="88">
        <f t="shared" si="3"/>
        <v>3981546</v>
      </c>
      <c r="K105" s="133">
        <f t="shared" si="4"/>
        <v>-218207</v>
      </c>
      <c r="L105" s="134">
        <f t="shared" si="5"/>
        <v>0.849999862515742</v>
      </c>
    </row>
    <row r="106" spans="1:12" ht="60.75" customHeight="1">
      <c r="A106" s="302" t="s">
        <v>189</v>
      </c>
      <c r="B106" s="302"/>
      <c r="C106" s="303" t="s">
        <v>228</v>
      </c>
      <c r="D106" s="303"/>
      <c r="E106" s="303"/>
      <c r="F106" s="97" t="s">
        <v>113</v>
      </c>
      <c r="G106" s="98">
        <v>1</v>
      </c>
      <c r="H106" s="88">
        <v>2638957</v>
      </c>
      <c r="I106" s="88">
        <v>2243113</v>
      </c>
      <c r="J106" s="88">
        <f t="shared" si="3"/>
        <v>2243113</v>
      </c>
      <c r="K106" s="133">
        <f t="shared" si="4"/>
        <v>-395844</v>
      </c>
      <c r="L106" s="134">
        <f t="shared" si="5"/>
        <v>0.8499998294780855</v>
      </c>
    </row>
    <row r="107" spans="1:12" ht="60.75" customHeight="1">
      <c r="A107" s="302" t="s">
        <v>195</v>
      </c>
      <c r="B107" s="302"/>
      <c r="C107" s="303" t="s">
        <v>229</v>
      </c>
      <c r="D107" s="303"/>
      <c r="E107" s="303"/>
      <c r="F107" s="97" t="s">
        <v>98</v>
      </c>
      <c r="G107" s="98">
        <v>279.83999999999997</v>
      </c>
      <c r="H107" s="88">
        <v>879575</v>
      </c>
      <c r="I107" s="88">
        <v>747639</v>
      </c>
      <c r="J107" s="88">
        <f t="shared" si="3"/>
        <v>209219298</v>
      </c>
      <c r="K107" s="133">
        <f t="shared" si="4"/>
        <v>-131936</v>
      </c>
      <c r="L107" s="134">
        <f t="shared" si="5"/>
        <v>0.85000028422817842</v>
      </c>
    </row>
    <row r="108" spans="1:12" ht="60.75" customHeight="1">
      <c r="A108" s="302" t="s">
        <v>230</v>
      </c>
      <c r="B108" s="302"/>
      <c r="C108" s="303" t="s">
        <v>231</v>
      </c>
      <c r="D108" s="303"/>
      <c r="E108" s="303"/>
      <c r="F108" s="97" t="s">
        <v>98</v>
      </c>
      <c r="G108" s="98">
        <v>40</v>
      </c>
      <c r="H108" s="88">
        <v>882113</v>
      </c>
      <c r="I108" s="88">
        <v>749796</v>
      </c>
      <c r="J108" s="88">
        <f t="shared" si="3"/>
        <v>29991840</v>
      </c>
      <c r="K108" s="133">
        <f t="shared" si="4"/>
        <v>-132317</v>
      </c>
      <c r="L108" s="134">
        <f t="shared" si="5"/>
        <v>0.84999994331791962</v>
      </c>
    </row>
    <row r="109" spans="1:12" ht="60.75" customHeight="1">
      <c r="A109" s="302" t="s">
        <v>232</v>
      </c>
      <c r="B109" s="302"/>
      <c r="C109" s="303" t="s">
        <v>233</v>
      </c>
      <c r="D109" s="303"/>
      <c r="E109" s="303"/>
      <c r="F109" s="97" t="s">
        <v>98</v>
      </c>
      <c r="G109" s="98">
        <v>8</v>
      </c>
      <c r="H109" s="88">
        <v>1651657</v>
      </c>
      <c r="I109" s="88">
        <v>1403908</v>
      </c>
      <c r="J109" s="88">
        <f t="shared" si="3"/>
        <v>11231264</v>
      </c>
      <c r="K109" s="133">
        <f t="shared" si="4"/>
        <v>-247749</v>
      </c>
      <c r="L109" s="134">
        <f t="shared" si="5"/>
        <v>0.84999972754633679</v>
      </c>
    </row>
    <row r="110" spans="1:12" ht="60.75" customHeight="1">
      <c r="A110" s="302" t="s">
        <v>234</v>
      </c>
      <c r="B110" s="302"/>
      <c r="C110" s="303" t="s">
        <v>235</v>
      </c>
      <c r="D110" s="303"/>
      <c r="E110" s="303"/>
      <c r="F110" s="97" t="s">
        <v>95</v>
      </c>
      <c r="G110" s="98">
        <v>60</v>
      </c>
      <c r="H110" s="88">
        <v>84894</v>
      </c>
      <c r="I110" s="88">
        <v>69934</v>
      </c>
      <c r="J110" s="88">
        <f t="shared" si="3"/>
        <v>4196040</v>
      </c>
      <c r="K110" s="133">
        <f t="shared" si="4"/>
        <v>-14960</v>
      </c>
      <c r="L110" s="134">
        <f t="shared" si="5"/>
        <v>0.82378024359789859</v>
      </c>
    </row>
    <row r="111" spans="1:12" ht="60.75" customHeight="1">
      <c r="A111" s="302" t="s">
        <v>236</v>
      </c>
      <c r="B111" s="302"/>
      <c r="C111" s="303" t="s">
        <v>237</v>
      </c>
      <c r="D111" s="303"/>
      <c r="E111" s="303"/>
      <c r="F111" s="97" t="s">
        <v>113</v>
      </c>
      <c r="G111" s="98">
        <v>46</v>
      </c>
      <c r="H111" s="88">
        <v>142900</v>
      </c>
      <c r="I111" s="88">
        <v>114320</v>
      </c>
      <c r="J111" s="88">
        <f t="shared" si="3"/>
        <v>5258720</v>
      </c>
      <c r="K111" s="133">
        <f t="shared" si="4"/>
        <v>-28580</v>
      </c>
      <c r="L111" s="134">
        <f t="shared" si="5"/>
        <v>0.8</v>
      </c>
    </row>
    <row r="112" spans="1:12" ht="60.75" customHeight="1">
      <c r="A112" s="302" t="s">
        <v>197</v>
      </c>
      <c r="B112" s="302"/>
      <c r="C112" s="303" t="s">
        <v>238</v>
      </c>
      <c r="D112" s="303"/>
      <c r="E112" s="303"/>
      <c r="F112" s="97" t="s">
        <v>113</v>
      </c>
      <c r="G112" s="98">
        <v>1</v>
      </c>
      <c r="H112" s="88">
        <v>1176585</v>
      </c>
      <c r="I112" s="88">
        <v>1000097</v>
      </c>
      <c r="J112" s="88">
        <f t="shared" si="3"/>
        <v>1000097</v>
      </c>
      <c r="K112" s="133">
        <f t="shared" si="4"/>
        <v>-176488</v>
      </c>
      <c r="L112" s="134">
        <f t="shared" si="5"/>
        <v>0.84999978752066363</v>
      </c>
    </row>
    <row r="113" spans="1:12" ht="60.75" customHeight="1">
      <c r="A113" s="302" t="s">
        <v>199</v>
      </c>
      <c r="B113" s="302"/>
      <c r="C113" s="303" t="s">
        <v>239</v>
      </c>
      <c r="D113" s="303"/>
      <c r="E113" s="303"/>
      <c r="F113" s="97" t="s">
        <v>95</v>
      </c>
      <c r="G113" s="98">
        <v>30</v>
      </c>
      <c r="H113" s="88">
        <v>363800</v>
      </c>
      <c r="I113" s="88">
        <v>309230</v>
      </c>
      <c r="J113" s="88">
        <f t="shared" si="3"/>
        <v>9276900</v>
      </c>
      <c r="K113" s="133">
        <f t="shared" si="4"/>
        <v>-54570</v>
      </c>
      <c r="L113" s="134">
        <f t="shared" si="5"/>
        <v>0.85</v>
      </c>
    </row>
    <row r="114" spans="1:12" ht="60.75" customHeight="1">
      <c r="A114" s="302" t="s">
        <v>240</v>
      </c>
      <c r="B114" s="302"/>
      <c r="C114" s="303" t="s">
        <v>241</v>
      </c>
      <c r="D114" s="303"/>
      <c r="E114" s="303"/>
      <c r="F114" s="94" t="s">
        <v>98</v>
      </c>
      <c r="G114" s="95">
        <v>509.69</v>
      </c>
      <c r="H114" s="88">
        <v>33664</v>
      </c>
      <c r="I114" s="88">
        <v>30566</v>
      </c>
      <c r="J114" s="88">
        <f t="shared" si="3"/>
        <v>15579185</v>
      </c>
      <c r="K114" s="133">
        <f t="shared" si="4"/>
        <v>-3098</v>
      </c>
      <c r="L114" s="134">
        <f t="shared" si="5"/>
        <v>0.90797290874524716</v>
      </c>
    </row>
    <row r="115" spans="1:12" ht="60.75" customHeight="1">
      <c r="A115" s="302" t="s">
        <v>242</v>
      </c>
      <c r="B115" s="302"/>
      <c r="C115" s="303" t="s">
        <v>243</v>
      </c>
      <c r="D115" s="303"/>
      <c r="E115" s="303"/>
      <c r="F115" s="94" t="s">
        <v>98</v>
      </c>
      <c r="G115" s="95">
        <v>100</v>
      </c>
      <c r="H115" s="88">
        <v>40123</v>
      </c>
      <c r="I115" s="88">
        <v>32898</v>
      </c>
      <c r="J115" s="88">
        <f t="shared" si="3"/>
        <v>3289800</v>
      </c>
      <c r="K115" s="133">
        <f t="shared" si="4"/>
        <v>-7225</v>
      </c>
      <c r="L115" s="134">
        <f t="shared" si="5"/>
        <v>0.81992871918849541</v>
      </c>
    </row>
    <row r="116" spans="1:12" ht="60.75" customHeight="1">
      <c r="A116" s="302" t="s">
        <v>244</v>
      </c>
      <c r="B116" s="302"/>
      <c r="C116" s="303" t="s">
        <v>245</v>
      </c>
      <c r="D116" s="303"/>
      <c r="E116" s="303"/>
      <c r="F116" s="94" t="s">
        <v>98</v>
      </c>
      <c r="G116" s="95">
        <v>40</v>
      </c>
      <c r="H116" s="88">
        <v>38208</v>
      </c>
      <c r="I116" s="88">
        <v>31713</v>
      </c>
      <c r="J116" s="88">
        <f t="shared" si="3"/>
        <v>1268520</v>
      </c>
      <c r="K116" s="133">
        <f t="shared" si="4"/>
        <v>-6495</v>
      </c>
      <c r="L116" s="134">
        <f t="shared" si="5"/>
        <v>0.83000942211055273</v>
      </c>
    </row>
    <row r="117" spans="1:12" ht="60.75" customHeight="1">
      <c r="A117" s="302" t="s">
        <v>246</v>
      </c>
      <c r="B117" s="302"/>
      <c r="C117" s="303" t="s">
        <v>247</v>
      </c>
      <c r="D117" s="303"/>
      <c r="E117" s="303"/>
      <c r="F117" s="94" t="s">
        <v>98</v>
      </c>
      <c r="G117" s="95">
        <v>25</v>
      </c>
      <c r="H117" s="88">
        <v>38208</v>
      </c>
      <c r="I117" s="88">
        <v>31713</v>
      </c>
      <c r="J117" s="88">
        <f t="shared" si="3"/>
        <v>792825</v>
      </c>
      <c r="K117" s="133">
        <f t="shared" si="4"/>
        <v>-6495</v>
      </c>
      <c r="L117" s="134">
        <f t="shared" si="5"/>
        <v>0.83000942211055273</v>
      </c>
    </row>
    <row r="118" spans="1:12" ht="60.75" customHeight="1">
      <c r="A118" s="304" t="s">
        <v>248</v>
      </c>
      <c r="B118" s="305"/>
      <c r="C118" s="305"/>
      <c r="D118" s="305"/>
      <c r="E118" s="305"/>
      <c r="F118" s="305"/>
      <c r="G118" s="305"/>
      <c r="H118" s="305"/>
      <c r="I118" s="306"/>
      <c r="J118" s="101">
        <f>SUM(J79:J117)</f>
        <v>819641218</v>
      </c>
      <c r="K118" s="133">
        <f t="shared" si="4"/>
        <v>0</v>
      </c>
      <c r="L118" s="134" t="e">
        <f t="shared" si="5"/>
        <v>#DIV/0!</v>
      </c>
    </row>
    <row r="119" spans="1:12" ht="60.75" customHeight="1">
      <c r="A119" s="302" t="s">
        <v>93</v>
      </c>
      <c r="B119" s="302"/>
      <c r="C119" s="303" t="s">
        <v>249</v>
      </c>
      <c r="D119" s="303"/>
      <c r="E119" s="303"/>
      <c r="F119" s="94" t="s">
        <v>98</v>
      </c>
      <c r="G119" s="95">
        <v>860</v>
      </c>
      <c r="H119" s="88">
        <v>38338</v>
      </c>
      <c r="I119" s="88">
        <v>30670</v>
      </c>
      <c r="J119" s="88">
        <f t="shared" si="3"/>
        <v>26376200</v>
      </c>
      <c r="K119" s="133">
        <f t="shared" si="4"/>
        <v>-7668</v>
      </c>
      <c r="L119" s="169">
        <f t="shared" si="5"/>
        <v>0.79998956648755803</v>
      </c>
    </row>
    <row r="120" spans="1:12" ht="60.75" customHeight="1">
      <c r="A120" s="302" t="s">
        <v>96</v>
      </c>
      <c r="B120" s="302"/>
      <c r="C120" s="303" t="s">
        <v>150</v>
      </c>
      <c r="D120" s="303"/>
      <c r="E120" s="303"/>
      <c r="F120" s="94" t="s">
        <v>113</v>
      </c>
      <c r="G120" s="95">
        <v>180</v>
      </c>
      <c r="H120" s="88">
        <v>96339</v>
      </c>
      <c r="I120" s="88">
        <v>77071</v>
      </c>
      <c r="J120" s="88">
        <f t="shared" si="3"/>
        <v>13872780</v>
      </c>
      <c r="K120" s="133">
        <f t="shared" si="4"/>
        <v>-19268</v>
      </c>
      <c r="L120" s="169">
        <f t="shared" si="5"/>
        <v>0.79999792399755032</v>
      </c>
    </row>
    <row r="121" spans="1:12" ht="60.75" customHeight="1">
      <c r="A121" s="302" t="s">
        <v>145</v>
      </c>
      <c r="B121" s="302"/>
      <c r="C121" s="303" t="s">
        <v>152</v>
      </c>
      <c r="D121" s="303"/>
      <c r="E121" s="303"/>
      <c r="F121" s="94" t="s">
        <v>98</v>
      </c>
      <c r="G121" s="102">
        <v>4</v>
      </c>
      <c r="H121" s="88">
        <v>95199</v>
      </c>
      <c r="I121" s="88">
        <v>117450</v>
      </c>
      <c r="J121" s="88">
        <f t="shared" si="3"/>
        <v>469800</v>
      </c>
      <c r="K121" s="133">
        <f t="shared" si="4"/>
        <v>22251</v>
      </c>
      <c r="L121" s="134">
        <f t="shared" si="5"/>
        <v>1.2337314467588945</v>
      </c>
    </row>
    <row r="122" spans="1:12" ht="60.75" customHeight="1">
      <c r="A122" s="302" t="s">
        <v>99</v>
      </c>
      <c r="B122" s="302"/>
      <c r="C122" s="303" t="s">
        <v>250</v>
      </c>
      <c r="D122" s="303"/>
      <c r="E122" s="303"/>
      <c r="F122" s="94" t="s">
        <v>98</v>
      </c>
      <c r="G122" s="95">
        <v>860</v>
      </c>
      <c r="H122" s="88">
        <v>130620</v>
      </c>
      <c r="I122" s="88">
        <v>117450</v>
      </c>
      <c r="J122" s="88">
        <f t="shared" si="3"/>
        <v>101007000</v>
      </c>
      <c r="K122" s="133">
        <f t="shared" si="4"/>
        <v>-13170</v>
      </c>
      <c r="L122" s="134">
        <f t="shared" si="5"/>
        <v>0.89917317409278819</v>
      </c>
    </row>
    <row r="123" spans="1:12" ht="60.75" customHeight="1">
      <c r="A123" s="302" t="s">
        <v>116</v>
      </c>
      <c r="B123" s="302"/>
      <c r="C123" s="303" t="s">
        <v>158</v>
      </c>
      <c r="D123" s="303"/>
      <c r="E123" s="303"/>
      <c r="F123" s="94" t="s">
        <v>98</v>
      </c>
      <c r="G123" s="95">
        <v>860</v>
      </c>
      <c r="H123" s="88">
        <v>194913</v>
      </c>
      <c r="I123" s="88">
        <v>165676</v>
      </c>
      <c r="J123" s="88">
        <f t="shared" si="3"/>
        <v>142481360</v>
      </c>
      <c r="K123" s="133">
        <f t="shared" si="4"/>
        <v>-29237</v>
      </c>
      <c r="L123" s="134">
        <f t="shared" si="5"/>
        <v>0.84999974347529406</v>
      </c>
    </row>
    <row r="124" spans="1:12" ht="60.75" customHeight="1">
      <c r="A124" s="302" t="s">
        <v>124</v>
      </c>
      <c r="B124" s="302"/>
      <c r="C124" s="303" t="s">
        <v>167</v>
      </c>
      <c r="D124" s="303"/>
      <c r="E124" s="303"/>
      <c r="F124" s="94" t="s">
        <v>113</v>
      </c>
      <c r="G124" s="95">
        <v>20</v>
      </c>
      <c r="H124" s="88">
        <v>319533</v>
      </c>
      <c r="I124" s="88">
        <v>271603</v>
      </c>
      <c r="J124" s="88">
        <f t="shared" si="3"/>
        <v>5432060</v>
      </c>
      <c r="K124" s="133">
        <f t="shared" si="4"/>
        <v>-47930</v>
      </c>
      <c r="L124" s="134">
        <f t="shared" si="5"/>
        <v>0.84999984352163938</v>
      </c>
    </row>
    <row r="125" spans="1:12" ht="60.75" customHeight="1">
      <c r="A125" s="302" t="s">
        <v>126</v>
      </c>
      <c r="B125" s="302"/>
      <c r="C125" s="303" t="s">
        <v>169</v>
      </c>
      <c r="D125" s="303"/>
      <c r="E125" s="303"/>
      <c r="F125" s="94" t="s">
        <v>113</v>
      </c>
      <c r="G125" s="95">
        <v>20</v>
      </c>
      <c r="H125" s="88">
        <v>233891</v>
      </c>
      <c r="I125" s="88">
        <v>198807</v>
      </c>
      <c r="J125" s="88">
        <f t="shared" si="3"/>
        <v>3976140</v>
      </c>
      <c r="K125" s="133">
        <f t="shared" si="4"/>
        <v>-35084</v>
      </c>
      <c r="L125" s="134">
        <f t="shared" si="5"/>
        <v>0.84999850357645224</v>
      </c>
    </row>
    <row r="126" spans="1:12" ht="60.75" customHeight="1">
      <c r="A126" s="302" t="s">
        <v>128</v>
      </c>
      <c r="B126" s="302"/>
      <c r="C126" s="303" t="s">
        <v>251</v>
      </c>
      <c r="D126" s="303"/>
      <c r="E126" s="303"/>
      <c r="F126" s="94" t="s">
        <v>113</v>
      </c>
      <c r="G126" s="95">
        <v>113</v>
      </c>
      <c r="H126" s="88">
        <v>98830</v>
      </c>
      <c r="I126" s="88">
        <v>84006</v>
      </c>
      <c r="J126" s="88">
        <f t="shared" si="3"/>
        <v>9492678</v>
      </c>
      <c r="K126" s="133">
        <f t="shared" si="4"/>
        <v>-14824</v>
      </c>
      <c r="L126" s="134">
        <f t="shared" si="5"/>
        <v>0.85000505919255287</v>
      </c>
    </row>
    <row r="127" spans="1:12" ht="60.75" customHeight="1">
      <c r="A127" s="302" t="s">
        <v>130</v>
      </c>
      <c r="B127" s="302"/>
      <c r="C127" s="303" t="s">
        <v>173</v>
      </c>
      <c r="D127" s="303"/>
      <c r="E127" s="303"/>
      <c r="F127" s="94" t="s">
        <v>113</v>
      </c>
      <c r="G127" s="95">
        <v>8</v>
      </c>
      <c r="H127" s="88">
        <v>215750</v>
      </c>
      <c r="I127" s="88">
        <v>183388</v>
      </c>
      <c r="J127" s="88">
        <f t="shared" si="3"/>
        <v>1467104</v>
      </c>
      <c r="K127" s="133">
        <f t="shared" si="4"/>
        <v>-32362</v>
      </c>
      <c r="L127" s="134">
        <f t="shared" si="5"/>
        <v>0.85000231749710309</v>
      </c>
    </row>
    <row r="128" spans="1:12" ht="60.75" customHeight="1">
      <c r="A128" s="302" t="s">
        <v>132</v>
      </c>
      <c r="B128" s="302"/>
      <c r="C128" s="303" t="s">
        <v>175</v>
      </c>
      <c r="D128" s="303"/>
      <c r="E128" s="303"/>
      <c r="F128" s="94" t="s">
        <v>113</v>
      </c>
      <c r="G128" s="95">
        <v>4</v>
      </c>
      <c r="H128" s="88">
        <v>200830</v>
      </c>
      <c r="I128" s="88">
        <v>170706</v>
      </c>
      <c r="J128" s="88">
        <f t="shared" si="3"/>
        <v>682824</v>
      </c>
      <c r="K128" s="133">
        <f t="shared" si="4"/>
        <v>-30124</v>
      </c>
      <c r="L128" s="134">
        <f t="shared" si="5"/>
        <v>0.85000248966787828</v>
      </c>
    </row>
    <row r="129" spans="1:18" ht="60.75" customHeight="1">
      <c r="A129" s="302" t="s">
        <v>136</v>
      </c>
      <c r="B129" s="302"/>
      <c r="C129" s="303" t="s">
        <v>196</v>
      </c>
      <c r="D129" s="303"/>
      <c r="E129" s="303"/>
      <c r="F129" s="94" t="s">
        <v>113</v>
      </c>
      <c r="G129" s="95">
        <v>1</v>
      </c>
      <c r="H129" s="88">
        <v>1025000</v>
      </c>
      <c r="I129" s="88">
        <v>871250</v>
      </c>
      <c r="J129" s="88">
        <f t="shared" si="3"/>
        <v>871250</v>
      </c>
      <c r="K129" s="133">
        <f t="shared" si="4"/>
        <v>-153750</v>
      </c>
      <c r="L129" s="134">
        <f t="shared" si="5"/>
        <v>0.85</v>
      </c>
    </row>
    <row r="130" spans="1:18" ht="60.75" customHeight="1">
      <c r="A130" s="302" t="s">
        <v>140</v>
      </c>
      <c r="B130" s="302"/>
      <c r="C130" s="303" t="s">
        <v>198</v>
      </c>
      <c r="D130" s="303"/>
      <c r="E130" s="303"/>
      <c r="F130" s="94" t="s">
        <v>98</v>
      </c>
      <c r="G130" s="95">
        <v>880</v>
      </c>
      <c r="H130" s="88">
        <v>35833</v>
      </c>
      <c r="I130" s="88">
        <v>30458</v>
      </c>
      <c r="J130" s="88">
        <f t="shared" si="3"/>
        <v>26803040</v>
      </c>
      <c r="K130" s="133">
        <f t="shared" si="4"/>
        <v>-5375</v>
      </c>
      <c r="L130" s="134">
        <f t="shared" si="5"/>
        <v>0.84999860463818266</v>
      </c>
    </row>
    <row r="131" spans="1:18" ht="60.75" customHeight="1">
      <c r="A131" s="296" t="s">
        <v>252</v>
      </c>
      <c r="B131" s="297"/>
      <c r="C131" s="297"/>
      <c r="D131" s="297"/>
      <c r="E131" s="297"/>
      <c r="F131" s="297"/>
      <c r="G131" s="297"/>
      <c r="H131" s="297"/>
      <c r="I131" s="298"/>
      <c r="J131" s="104">
        <f>SUM(J119:J130)</f>
        <v>332932236</v>
      </c>
    </row>
    <row r="132" spans="1:18" ht="60.75" customHeight="1">
      <c r="A132" s="299" t="s">
        <v>253</v>
      </c>
      <c r="B132" s="300"/>
      <c r="C132" s="300"/>
      <c r="D132" s="300"/>
      <c r="E132" s="300"/>
      <c r="F132" s="300"/>
      <c r="G132" s="300"/>
      <c r="H132" s="301"/>
      <c r="I132" s="105">
        <f>+ROUND(J132*10%,0)</f>
        <v>329057686</v>
      </c>
      <c r="J132" s="104">
        <f>+J118+J78+J73+J39+J131</f>
        <v>3290576860</v>
      </c>
    </row>
    <row r="133" spans="1:18" ht="41.25" customHeight="1">
      <c r="A133" s="286" t="s">
        <v>254</v>
      </c>
      <c r="B133" s="287"/>
      <c r="C133" s="287"/>
      <c r="D133" s="288"/>
      <c r="E133" s="106">
        <v>0.12</v>
      </c>
      <c r="F133" s="289">
        <v>0.12</v>
      </c>
      <c r="G133" s="290"/>
      <c r="H133" s="291"/>
      <c r="I133" s="108">
        <f>+ROUND($I$132*F133,0)</f>
        <v>39486922</v>
      </c>
      <c r="J133" s="108">
        <f>+ROUND($J$132*F133,0)</f>
        <v>394869223</v>
      </c>
      <c r="K133" s="135">
        <f>+F133-E133</f>
        <v>0</v>
      </c>
      <c r="L133" s="134">
        <f>+F133/E133</f>
        <v>1</v>
      </c>
      <c r="M133" s="91"/>
      <c r="N133" s="91"/>
    </row>
    <row r="134" spans="1:18" ht="35.25" customHeight="1">
      <c r="A134" s="286" t="s">
        <v>255</v>
      </c>
      <c r="B134" s="287"/>
      <c r="C134" s="287"/>
      <c r="D134" s="288"/>
      <c r="E134" s="106">
        <v>0.03</v>
      </c>
      <c r="F134" s="289">
        <v>0.01</v>
      </c>
      <c r="G134" s="290"/>
      <c r="H134" s="291"/>
      <c r="I134" s="108">
        <f t="shared" ref="I134:I135" si="6">+ROUND($I$132*F134,0)</f>
        <v>3290577</v>
      </c>
      <c r="J134" s="108">
        <f t="shared" ref="J134:J135" si="7">+ROUND($J$132*F134,0)</f>
        <v>32905769</v>
      </c>
      <c r="K134" s="135">
        <f t="shared" ref="K134:K135" si="8">+F134-E134</f>
        <v>-1.9999999999999997E-2</v>
      </c>
      <c r="L134" s="134">
        <f>+F134/E134</f>
        <v>0.33333333333333337</v>
      </c>
      <c r="M134" s="91"/>
      <c r="N134" s="91"/>
    </row>
    <row r="135" spans="1:18" ht="31.5" customHeight="1">
      <c r="A135" s="286" t="s">
        <v>256</v>
      </c>
      <c r="B135" s="287"/>
      <c r="C135" s="287"/>
      <c r="D135" s="288"/>
      <c r="E135" s="106">
        <v>7.0000000000000007E-2</v>
      </c>
      <c r="F135" s="289">
        <v>7.0000000000000007E-2</v>
      </c>
      <c r="G135" s="290"/>
      <c r="H135" s="291"/>
      <c r="I135" s="108">
        <f t="shared" si="6"/>
        <v>23034038</v>
      </c>
      <c r="J135" s="108">
        <f t="shared" si="7"/>
        <v>230340380</v>
      </c>
      <c r="K135" s="135">
        <f t="shared" si="8"/>
        <v>0</v>
      </c>
      <c r="L135" s="134">
        <f t="shared" ref="L135" si="9">+F135/E135</f>
        <v>1</v>
      </c>
      <c r="M135" s="91"/>
      <c r="N135" s="91"/>
    </row>
    <row r="136" spans="1:18" ht="33.75" customHeight="1">
      <c r="A136" s="286" t="s">
        <v>257</v>
      </c>
      <c r="B136" s="287"/>
      <c r="C136" s="287"/>
      <c r="D136" s="288"/>
      <c r="E136" s="289">
        <v>0.19</v>
      </c>
      <c r="F136" s="290"/>
      <c r="G136" s="290"/>
      <c r="H136" s="291"/>
      <c r="I136" s="108">
        <f>+ROUND(I135*E136,0)</f>
        <v>4376467</v>
      </c>
      <c r="J136" s="108">
        <f>+ROUND(J135*E136,0)</f>
        <v>43764672</v>
      </c>
      <c r="K136" s="135"/>
      <c r="L136" s="134"/>
    </row>
    <row r="137" spans="1:18" ht="42" customHeight="1">
      <c r="A137" s="292" t="s">
        <v>258</v>
      </c>
      <c r="B137" s="293"/>
      <c r="C137" s="293"/>
      <c r="D137" s="293"/>
      <c r="E137" s="293"/>
      <c r="F137" s="293"/>
      <c r="G137" s="293"/>
      <c r="H137" s="294"/>
      <c r="I137" s="109">
        <f>SUM(I132:I136)</f>
        <v>399245690</v>
      </c>
      <c r="J137" s="109">
        <f>SUM(J132:J136)</f>
        <v>3992456904</v>
      </c>
      <c r="K137" s="133"/>
      <c r="L137" s="134"/>
    </row>
    <row r="138" spans="1:18" ht="60.75" customHeight="1">
      <c r="A138" s="295" t="s">
        <v>259</v>
      </c>
      <c r="B138" s="295"/>
      <c r="C138" s="295"/>
      <c r="D138" s="295"/>
      <c r="E138" s="295"/>
      <c r="F138" s="295"/>
      <c r="G138" s="295"/>
      <c r="H138" s="295"/>
      <c r="I138" s="295"/>
      <c r="J138" s="111">
        <f>+I137+J137</f>
        <v>4391702594</v>
      </c>
      <c r="K138" s="137">
        <f>+J138-'CONSOLIDADO FINANCIERO'!L7</f>
        <v>-891229372</v>
      </c>
      <c r="L138" s="134">
        <f>+J138/'CONSOLIDADO FINANCIERO'!L7</f>
        <v>0.83130023673676057</v>
      </c>
      <c r="M138" s="168"/>
      <c r="N138" s="165"/>
      <c r="O138" s="166"/>
    </row>
    <row r="139" spans="1:18" ht="15.75" customHeight="1" thickBot="1">
      <c r="Q139" s="136"/>
    </row>
    <row r="140" spans="1:18" ht="215.25" customHeight="1" thickBot="1">
      <c r="A140" s="282" t="s">
        <v>260</v>
      </c>
      <c r="B140" s="283"/>
      <c r="C140" s="283"/>
      <c r="D140" s="283"/>
      <c r="E140" s="283"/>
      <c r="F140" s="283"/>
      <c r="G140" s="283"/>
      <c r="H140" s="283"/>
      <c r="I140" s="283"/>
      <c r="J140" s="283"/>
      <c r="K140" s="283"/>
      <c r="L140" s="283"/>
      <c r="M140" s="284"/>
      <c r="O140" s="164"/>
      <c r="P140" s="164"/>
      <c r="Q140" s="91"/>
      <c r="R140" s="164"/>
    </row>
    <row r="141" spans="1:18" ht="2.25" customHeight="1" thickBot="1">
      <c r="A141" s="112"/>
      <c r="B141" s="112"/>
      <c r="C141" s="112"/>
      <c r="D141" s="112"/>
      <c r="E141" s="112"/>
      <c r="F141" s="113"/>
      <c r="G141" s="113"/>
      <c r="H141" s="113"/>
      <c r="I141" s="113"/>
      <c r="J141" s="113"/>
      <c r="K141" s="113"/>
      <c r="L141" s="113"/>
      <c r="M141" s="113"/>
    </row>
    <row r="142" spans="1:18" ht="57" customHeight="1" thickBot="1">
      <c r="A142" s="114"/>
      <c r="B142" s="115"/>
      <c r="C142" s="116"/>
      <c r="D142" s="116"/>
      <c r="E142" s="117"/>
      <c r="F142" s="117"/>
      <c r="G142" s="117"/>
      <c r="H142" s="117"/>
      <c r="I142" s="117"/>
      <c r="J142" s="117"/>
      <c r="K142" s="117"/>
      <c r="L142" s="117"/>
      <c r="M142" s="118"/>
    </row>
    <row r="143" spans="1:18" ht="16.5">
      <c r="A143" s="119"/>
      <c r="B143" s="285" t="s">
        <v>261</v>
      </c>
      <c r="C143" s="285"/>
      <c r="D143" s="121"/>
      <c r="E143" s="122"/>
      <c r="F143" s="112"/>
      <c r="G143" s="112"/>
      <c r="H143" s="112"/>
      <c r="I143" s="112"/>
      <c r="J143" s="112"/>
      <c r="K143" s="112"/>
      <c r="L143" s="112"/>
      <c r="M143" s="123"/>
    </row>
    <row r="144" spans="1:18" ht="16.5">
      <c r="A144" s="119"/>
      <c r="B144" s="167" t="s">
        <v>331</v>
      </c>
      <c r="C144" s="120"/>
      <c r="D144" s="121"/>
      <c r="E144" s="122"/>
      <c r="F144" s="112"/>
      <c r="G144" s="112"/>
      <c r="H144" s="112"/>
      <c r="I144" s="112"/>
      <c r="J144" s="112"/>
      <c r="K144" s="112"/>
      <c r="L144" s="112"/>
      <c r="M144" s="123"/>
    </row>
    <row r="145" spans="1:13" ht="17.25" thickBot="1">
      <c r="A145" s="124"/>
      <c r="B145" s="153" t="s">
        <v>335</v>
      </c>
      <c r="C145" s="126"/>
      <c r="D145" s="126"/>
      <c r="E145" s="127"/>
      <c r="F145" s="128"/>
      <c r="G145" s="128"/>
      <c r="H145" s="128"/>
      <c r="I145" s="128"/>
      <c r="J145" s="128"/>
      <c r="K145" s="128"/>
      <c r="L145" s="128"/>
      <c r="M145" s="129"/>
    </row>
    <row r="146" spans="1:13">
      <c r="A146" s="130"/>
      <c r="C146" s="131"/>
      <c r="D146" s="131"/>
      <c r="E146" s="131"/>
      <c r="F146" s="131"/>
      <c r="G146" s="131"/>
    </row>
  </sheetData>
  <sheetProtection algorithmName="SHA-512" hashValue="DM8c4dI2eOxkZynHAKLGikwkeyKvgtDyz5loXwevkyUNMM57I03Y1K6Fg4gA6nV12fU2SM8eEQETZhwZnvmMqA==" saltValue="eO0En7Sz5YCzWGGKC/xCfA==" spinCount="100000" sheet="1" objects="1" scenarios="1"/>
  <mergeCells count="262">
    <mergeCell ref="A8:D8"/>
    <mergeCell ref="E8:J8"/>
    <mergeCell ref="A9:D9"/>
    <mergeCell ref="E9:J9"/>
    <mergeCell ref="A10:D10"/>
    <mergeCell ref="E10:J10"/>
    <mergeCell ref="A1:D4"/>
    <mergeCell ref="E1:J4"/>
    <mergeCell ref="A5:J5"/>
    <mergeCell ref="A6:D6"/>
    <mergeCell ref="E6:J6"/>
    <mergeCell ref="A7:D7"/>
    <mergeCell ref="E7:J7"/>
    <mergeCell ref="A16:B16"/>
    <mergeCell ref="C16:E16"/>
    <mergeCell ref="A17:B17"/>
    <mergeCell ref="C17:E17"/>
    <mergeCell ref="A18:B18"/>
    <mergeCell ref="C18:E18"/>
    <mergeCell ref="A11:D11"/>
    <mergeCell ref="E11:J11"/>
    <mergeCell ref="A12:J12"/>
    <mergeCell ref="A14:B15"/>
    <mergeCell ref="C14:E15"/>
    <mergeCell ref="F14:F15"/>
    <mergeCell ref="G14:G15"/>
    <mergeCell ref="H14:H15"/>
    <mergeCell ref="I14:J14"/>
    <mergeCell ref="A22:B22"/>
    <mergeCell ref="C22:E22"/>
    <mergeCell ref="A23:B23"/>
    <mergeCell ref="C23:E23"/>
    <mergeCell ref="A24:B24"/>
    <mergeCell ref="C24:E24"/>
    <mergeCell ref="A19:B19"/>
    <mergeCell ref="C19:E19"/>
    <mergeCell ref="A20:B20"/>
    <mergeCell ref="C20:E20"/>
    <mergeCell ref="A21:B21"/>
    <mergeCell ref="C21:E21"/>
    <mergeCell ref="A28:B28"/>
    <mergeCell ref="C28:E28"/>
    <mergeCell ref="A29:B29"/>
    <mergeCell ref="C29:E29"/>
    <mergeCell ref="A30:B30"/>
    <mergeCell ref="C30:E30"/>
    <mergeCell ref="A25:B25"/>
    <mergeCell ref="C25:E25"/>
    <mergeCell ref="A26:B26"/>
    <mergeCell ref="C26:E26"/>
    <mergeCell ref="A27:B27"/>
    <mergeCell ref="C27:E27"/>
    <mergeCell ref="A34:B34"/>
    <mergeCell ref="C34:E34"/>
    <mergeCell ref="A35:B35"/>
    <mergeCell ref="C35:E35"/>
    <mergeCell ref="A36:B36"/>
    <mergeCell ref="C36:E36"/>
    <mergeCell ref="A31:B31"/>
    <mergeCell ref="C31:E31"/>
    <mergeCell ref="A32:B32"/>
    <mergeCell ref="C32:E32"/>
    <mergeCell ref="A33:B33"/>
    <mergeCell ref="C33:E33"/>
    <mergeCell ref="A41:B41"/>
    <mergeCell ref="C41:E41"/>
    <mergeCell ref="A42:B42"/>
    <mergeCell ref="C42:E42"/>
    <mergeCell ref="A43:B43"/>
    <mergeCell ref="C43:E43"/>
    <mergeCell ref="A37:B37"/>
    <mergeCell ref="C37:E37"/>
    <mergeCell ref="A38:B38"/>
    <mergeCell ref="C38:E38"/>
    <mergeCell ref="A39:I39"/>
    <mergeCell ref="A40:B40"/>
    <mergeCell ref="C40:E40"/>
    <mergeCell ref="A47:B47"/>
    <mergeCell ref="C47:E47"/>
    <mergeCell ref="A48:B48"/>
    <mergeCell ref="C48:E48"/>
    <mergeCell ref="A49:B49"/>
    <mergeCell ref="C49:E49"/>
    <mergeCell ref="A44:B44"/>
    <mergeCell ref="C44:E44"/>
    <mergeCell ref="A45:B45"/>
    <mergeCell ref="C45:E45"/>
    <mergeCell ref="A46:B46"/>
    <mergeCell ref="C46:E46"/>
    <mergeCell ref="A53:B53"/>
    <mergeCell ref="C53:E53"/>
    <mergeCell ref="A54:B54"/>
    <mergeCell ref="C54:E54"/>
    <mergeCell ref="A55:B55"/>
    <mergeCell ref="C55:E55"/>
    <mergeCell ref="A50:B50"/>
    <mergeCell ref="C50:E50"/>
    <mergeCell ref="A51:B51"/>
    <mergeCell ref="C51:E51"/>
    <mergeCell ref="A52:B52"/>
    <mergeCell ref="C52:E52"/>
    <mergeCell ref="A59:B59"/>
    <mergeCell ref="C59:E59"/>
    <mergeCell ref="A60:B60"/>
    <mergeCell ref="C60:E60"/>
    <mergeCell ref="A61:B61"/>
    <mergeCell ref="C61:E61"/>
    <mergeCell ref="A56:B56"/>
    <mergeCell ref="C56:E56"/>
    <mergeCell ref="A57:B57"/>
    <mergeCell ref="C57:E57"/>
    <mergeCell ref="A58:B58"/>
    <mergeCell ref="C58:E58"/>
    <mergeCell ref="A65:B65"/>
    <mergeCell ref="C65:E65"/>
    <mergeCell ref="A66:B66"/>
    <mergeCell ref="C66:E66"/>
    <mergeCell ref="A67:B67"/>
    <mergeCell ref="C67:E67"/>
    <mergeCell ref="A62:B62"/>
    <mergeCell ref="C62:E62"/>
    <mergeCell ref="A63:B63"/>
    <mergeCell ref="C63:E63"/>
    <mergeCell ref="A64:B64"/>
    <mergeCell ref="C64:E64"/>
    <mergeCell ref="A71:B71"/>
    <mergeCell ref="C71:E71"/>
    <mergeCell ref="A72:B72"/>
    <mergeCell ref="C72:E72"/>
    <mergeCell ref="A73:I73"/>
    <mergeCell ref="A74:B74"/>
    <mergeCell ref="C74:E74"/>
    <mergeCell ref="A68:B68"/>
    <mergeCell ref="C68:E68"/>
    <mergeCell ref="A69:B69"/>
    <mergeCell ref="C69:E69"/>
    <mergeCell ref="A70:B70"/>
    <mergeCell ref="C70:E70"/>
    <mergeCell ref="A78:I78"/>
    <mergeCell ref="A79:B79"/>
    <mergeCell ref="C79:E79"/>
    <mergeCell ref="A80:B80"/>
    <mergeCell ref="C80:E80"/>
    <mergeCell ref="A81:B81"/>
    <mergeCell ref="C81:E81"/>
    <mergeCell ref="A75:B75"/>
    <mergeCell ref="C75:E75"/>
    <mergeCell ref="A76:B76"/>
    <mergeCell ref="C76:E76"/>
    <mergeCell ref="A77:B77"/>
    <mergeCell ref="C77:E77"/>
    <mergeCell ref="A85:B85"/>
    <mergeCell ref="C85:E85"/>
    <mergeCell ref="A86:B86"/>
    <mergeCell ref="C86:E86"/>
    <mergeCell ref="A87:B87"/>
    <mergeCell ref="C87:E87"/>
    <mergeCell ref="A82:B82"/>
    <mergeCell ref="C82:E82"/>
    <mergeCell ref="A83:B83"/>
    <mergeCell ref="C83:E83"/>
    <mergeCell ref="A84:B84"/>
    <mergeCell ref="C84:E84"/>
    <mergeCell ref="A91:B91"/>
    <mergeCell ref="C91:E91"/>
    <mergeCell ref="A92:B92"/>
    <mergeCell ref="C92:E92"/>
    <mergeCell ref="A93:B93"/>
    <mergeCell ref="C93:E93"/>
    <mergeCell ref="A88:B88"/>
    <mergeCell ref="C88:E88"/>
    <mergeCell ref="A89:B89"/>
    <mergeCell ref="C89:E89"/>
    <mergeCell ref="A90:B90"/>
    <mergeCell ref="C90:E90"/>
    <mergeCell ref="A97:B97"/>
    <mergeCell ref="C97:E97"/>
    <mergeCell ref="A98:B98"/>
    <mergeCell ref="C98:E98"/>
    <mergeCell ref="A99:B99"/>
    <mergeCell ref="C99:E99"/>
    <mergeCell ref="A94:B94"/>
    <mergeCell ref="C94:E94"/>
    <mergeCell ref="A95:B95"/>
    <mergeCell ref="C95:E95"/>
    <mergeCell ref="A96:B96"/>
    <mergeCell ref="C96:E96"/>
    <mergeCell ref="A103:B103"/>
    <mergeCell ref="C103:E103"/>
    <mergeCell ref="A104:B104"/>
    <mergeCell ref="C104:E104"/>
    <mergeCell ref="A105:B105"/>
    <mergeCell ref="C105:E105"/>
    <mergeCell ref="A100:B100"/>
    <mergeCell ref="C100:E100"/>
    <mergeCell ref="A101:B101"/>
    <mergeCell ref="C101:E101"/>
    <mergeCell ref="A102:B102"/>
    <mergeCell ref="C102:E102"/>
    <mergeCell ref="A109:B109"/>
    <mergeCell ref="C109:E109"/>
    <mergeCell ref="A110:B110"/>
    <mergeCell ref="C110:E110"/>
    <mergeCell ref="A111:B111"/>
    <mergeCell ref="C111:E111"/>
    <mergeCell ref="A106:B106"/>
    <mergeCell ref="C106:E106"/>
    <mergeCell ref="A107:B107"/>
    <mergeCell ref="C107:E107"/>
    <mergeCell ref="A108:B108"/>
    <mergeCell ref="C108:E108"/>
    <mergeCell ref="A115:B115"/>
    <mergeCell ref="C115:E115"/>
    <mergeCell ref="A116:B116"/>
    <mergeCell ref="C116:E116"/>
    <mergeCell ref="A117:B117"/>
    <mergeCell ref="C117:E117"/>
    <mergeCell ref="A112:B112"/>
    <mergeCell ref="C112:E112"/>
    <mergeCell ref="A113:B113"/>
    <mergeCell ref="C113:E113"/>
    <mergeCell ref="A114:B114"/>
    <mergeCell ref="C114:E114"/>
    <mergeCell ref="A122:B122"/>
    <mergeCell ref="C122:E122"/>
    <mergeCell ref="A123:B123"/>
    <mergeCell ref="C123:E123"/>
    <mergeCell ref="A124:B124"/>
    <mergeCell ref="C124:E124"/>
    <mergeCell ref="A118:I118"/>
    <mergeCell ref="A119:B119"/>
    <mergeCell ref="C119:E119"/>
    <mergeCell ref="A120:B120"/>
    <mergeCell ref="C120:E120"/>
    <mergeCell ref="A121:B121"/>
    <mergeCell ref="C121:E121"/>
    <mergeCell ref="A128:B128"/>
    <mergeCell ref="C128:E128"/>
    <mergeCell ref="A129:B129"/>
    <mergeCell ref="C129:E129"/>
    <mergeCell ref="A130:B130"/>
    <mergeCell ref="C130:E130"/>
    <mergeCell ref="A125:B125"/>
    <mergeCell ref="C125:E125"/>
    <mergeCell ref="A126:B126"/>
    <mergeCell ref="C126:E126"/>
    <mergeCell ref="A127:B127"/>
    <mergeCell ref="C127:E127"/>
    <mergeCell ref="A140:M140"/>
    <mergeCell ref="B143:C143"/>
    <mergeCell ref="A135:D135"/>
    <mergeCell ref="F135:H135"/>
    <mergeCell ref="A136:D136"/>
    <mergeCell ref="E136:H136"/>
    <mergeCell ref="A137:H137"/>
    <mergeCell ref="A138:I138"/>
    <mergeCell ref="A131:I131"/>
    <mergeCell ref="A132:H132"/>
    <mergeCell ref="A133:D133"/>
    <mergeCell ref="F133:H133"/>
    <mergeCell ref="A134:D134"/>
    <mergeCell ref="F134:H134"/>
  </mergeCells>
  <conditionalFormatting sqref="K16:K130">
    <cfRule type="cellIs" dxfId="10" priority="9" operator="greaterThan">
      <formula>0</formula>
    </cfRule>
    <cfRule type="cellIs" dxfId="9" priority="10" operator="lessThan">
      <formula>0</formula>
    </cfRule>
    <cfRule type="cellIs" dxfId="8" priority="11" operator="lessThan">
      <formula>0</formula>
    </cfRule>
  </conditionalFormatting>
  <conditionalFormatting sqref="K133:K138">
    <cfRule type="cellIs" dxfId="7" priority="4" operator="greaterThan">
      <formula>0</formula>
    </cfRule>
    <cfRule type="cellIs" dxfId="6" priority="5" operator="lessThan">
      <formula>0</formula>
    </cfRule>
    <cfRule type="cellIs" dxfId="5" priority="6" operator="lessThan">
      <formula>0</formula>
    </cfRule>
  </conditionalFormatting>
  <conditionalFormatting sqref="L16:L130">
    <cfRule type="cellIs" dxfId="4" priority="7" operator="greaterThan">
      <formula>0.8</formula>
    </cfRule>
    <cfRule type="cellIs" dxfId="3" priority="8" operator="lessThan">
      <formula>0.8</formula>
    </cfRule>
  </conditionalFormatting>
  <conditionalFormatting sqref="L133:L138">
    <cfRule type="cellIs" dxfId="2" priority="2" operator="greaterThan">
      <formula>0.8</formula>
    </cfRule>
    <cfRule type="cellIs" dxfId="1" priority="3" operator="lessThan">
      <formula>0.8</formula>
    </cfRule>
  </conditionalFormatting>
  <conditionalFormatting sqref="L134">
    <cfRule type="cellIs" dxfId="0" priority="1" operator="lessThan">
      <formula>1</formula>
    </cfRule>
  </conditionalFormatting>
  <pageMargins left="0.70866141732283472" right="0.70866141732283472" top="0.74803149606299213" bottom="0.74803149606299213" header="0.31496062992125984" footer="0.31496062992125984"/>
  <pageSetup paperSize="9" scale="27" fitToHeight="10" orientation="portrait" r:id="rId1"/>
  <rowBreaks count="1" manualBreakCount="1">
    <brk id="130"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27</vt:i4>
      </vt:variant>
    </vt:vector>
  </HeadingPairs>
  <TitlesOfParts>
    <vt:vector size="48" baseType="lpstr">
      <vt:lpstr>CONSOLIDADO FINANCIERO</vt:lpstr>
      <vt:lpstr>1 LIMACOR</vt:lpstr>
      <vt:lpstr>OFERTA LIMACOR</vt:lpstr>
      <vt:lpstr>2 UT AMF-ELATIN</vt:lpstr>
      <vt:lpstr>OFERTA AMF-ELATIN</vt:lpstr>
      <vt:lpstr>3 DIARQCO</vt:lpstr>
      <vt:lpstr>OFERTA DIARQCO</vt:lpstr>
      <vt:lpstr>4 INSOL </vt:lpstr>
      <vt:lpstr>OFERTA INSOL</vt:lpstr>
      <vt:lpstr>5 CASTILLA Y LEON</vt:lpstr>
      <vt:lpstr>OFERTA CASTILLA Y LEON</vt:lpstr>
      <vt:lpstr>6 UNINGECOL</vt:lpstr>
      <vt:lpstr>6 OFERTA UNINGECOL</vt:lpstr>
      <vt:lpstr>7 CONSORCIO FONDO NACIONAL</vt:lpstr>
      <vt:lpstr>7 OFERTA CONSORCIO F.NACIONAL</vt:lpstr>
      <vt:lpstr>8 CONSORCIO 2024 FNA</vt:lpstr>
      <vt:lpstr>8 OFERTA 2024 CONSORCIO</vt:lpstr>
      <vt:lpstr>9 INGEBYP</vt:lpstr>
      <vt:lpstr>9 OFERTA ECONOMICA</vt:lpstr>
      <vt:lpstr>10 CONS OMNIA</vt:lpstr>
      <vt:lpstr>OFERTA CONS OMNIA</vt:lpstr>
      <vt:lpstr>'1 LIMACOR'!Área_de_impresión</vt:lpstr>
      <vt:lpstr>'10 CONS OMNIA'!Área_de_impresión</vt:lpstr>
      <vt:lpstr>'2 UT AMF-ELATIN'!Área_de_impresión</vt:lpstr>
      <vt:lpstr>'3 DIARQCO'!Área_de_impresión</vt:lpstr>
      <vt:lpstr>'4 INSOL '!Área_de_impresión</vt:lpstr>
      <vt:lpstr>'5 CASTILLA Y LEON'!Área_de_impresión</vt:lpstr>
      <vt:lpstr>'6 UNINGECOL'!Área_de_impresión</vt:lpstr>
      <vt:lpstr>'7 CONSORCIO FONDO NACIONAL'!Área_de_impresión</vt:lpstr>
      <vt:lpstr>'7 OFERTA CONSORCIO F.NACIONAL'!Área_de_impresión</vt:lpstr>
      <vt:lpstr>'8 CONSORCIO 2024 FNA'!Área_de_impresión</vt:lpstr>
      <vt:lpstr>'8 OFERTA 2024 CONSORCIO'!Área_de_impresión</vt:lpstr>
      <vt:lpstr>'9 INGEBYP'!Área_de_impresión</vt:lpstr>
      <vt:lpstr>'9 OFERTA ECONOMICA'!Área_de_impresión</vt:lpstr>
      <vt:lpstr>'CONSOLIDADO FINANCIERO'!Área_de_impresión</vt:lpstr>
      <vt:lpstr>'OFERTA AMF-ELATIN'!Área_de_impresión</vt:lpstr>
      <vt:lpstr>'OFERTA DIARQCO'!Área_de_impresión</vt:lpstr>
      <vt:lpstr>'OFERTA LIMACOR'!Área_de_impresión</vt:lpstr>
      <vt:lpstr>'1 LIMACOR'!Títulos_a_imprimir</vt:lpstr>
      <vt:lpstr>'10 CONS OMNIA'!Títulos_a_imprimir</vt:lpstr>
      <vt:lpstr>'2 UT AMF-ELATIN'!Títulos_a_imprimir</vt:lpstr>
      <vt:lpstr>'3 DIARQCO'!Títulos_a_imprimir</vt:lpstr>
      <vt:lpstr>'4 INSOL '!Títulos_a_imprimir</vt:lpstr>
      <vt:lpstr>'5 CASTILLA Y LEON'!Títulos_a_imprimir</vt:lpstr>
      <vt:lpstr>'6 UNINGECOL'!Títulos_a_imprimir</vt:lpstr>
      <vt:lpstr>'7 CONSORCIO FONDO NACIONAL'!Títulos_a_imprimir</vt:lpstr>
      <vt:lpstr>'8 CONSORCIO 2024 FNA'!Títulos_a_imprimir</vt:lpstr>
      <vt:lpstr>'9 INGEBYP'!Títulos_a_imprimir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Ximena Diaz Ramirez</dc:creator>
  <cp:keywords/>
  <dc:description/>
  <cp:lastModifiedBy>Jersair Tarazona Capacho</cp:lastModifiedBy>
  <cp:revision/>
  <dcterms:created xsi:type="dcterms:W3CDTF">2024-07-08T14:36:32Z</dcterms:created>
  <dcterms:modified xsi:type="dcterms:W3CDTF">2024-12-27T01:49:31Z</dcterms:modified>
  <cp:category/>
  <cp:contentStatus/>
</cp:coreProperties>
</file>