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08"/>
  <workbookPr/>
  <mc:AlternateContent xmlns:mc="http://schemas.openxmlformats.org/markup-compatibility/2006">
    <mc:Choice Requires="x15">
      <x15ac:absPath xmlns:x15ac="http://schemas.microsoft.com/office/spreadsheetml/2010/11/ac" url="https://cargov-my.sharepoint.com/personal/crodriguezp_car_gov_co/Documents/DIRECCIÓN DE RECURSOS NATURALES/CONTRATACIÓN PERSONA JURIDICA/Obra Tejar Choconta/DOCUMENTOS PARA RADICACIÓN FINAL/"/>
    </mc:Choice>
  </mc:AlternateContent>
  <xr:revisionPtr revIDLastSave="6" documentId="13_ncr:1_{E67AE3C8-8C8B-408F-A36B-6FD1D30CE78B}" xr6:coauthVersionLast="47" xr6:coauthVersionMax="47" xr10:uidLastSave="{DD136A46-85A2-41D9-9EFB-771F70BA2AD1}"/>
  <bookViews>
    <workbookView xWindow="-105" yWindow="0" windowWidth="14610" windowHeight="15585" tabRatio="853" firstSheet="2" activeTab="2" xr2:uid="{DF3542B8-2817-4A8A-9A9C-946E8335250C}"/>
  </bookViews>
  <sheets>
    <sheet name="ANEXO ECONOMICO" sheetId="12" r:id="rId1"/>
    <sheet name="2 PERSONAL  OBRA" sheetId="7" state="hidden" r:id="rId2"/>
    <sheet name="PRESUPUETO OFICIAL" sheetId="13" r:id="rId3"/>
  </sheets>
  <externalReferences>
    <externalReference r:id="rId4"/>
    <externalReference r:id="rId5"/>
  </externalReferences>
  <definedNames>
    <definedName name="a">#REF!</definedName>
    <definedName name="A_impresión_IM">#REF!</definedName>
    <definedName name="AIU">'[1]IA-845'!$C$10</definedName>
    <definedName name="BASE_RU">#REF!</definedName>
    <definedName name="BASE_RUI">'[1]IA-845'!$A$14:$I$29</definedName>
    <definedName name="BuiltIn_Print_Area">#REF!</definedName>
    <definedName name="BuiltIn_Print_Titles">#REF!</definedName>
    <definedName name="Frutales">#REF!</definedName>
    <definedName name="INSUMOS">[1]INSUMOS!$A$8:$F$239</definedName>
    <definedName name="Títulos_a_imprimir_IM">#REF!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75" i="13" l="1"/>
  <c r="G379" i="13" s="1"/>
  <c r="F7" i="13" l="1"/>
  <c r="F6" i="13"/>
  <c r="G625" i="13" l="1"/>
  <c r="G626" i="13" s="1"/>
  <c r="G627" i="13" s="1"/>
  <c r="G628" i="13" s="1"/>
  <c r="G629" i="13" s="1"/>
  <c r="E623" i="13"/>
  <c r="F622" i="13"/>
  <c r="F621" i="13"/>
  <c r="F620" i="13"/>
  <c r="F619" i="13"/>
  <c r="E617" i="13"/>
  <c r="F616" i="13"/>
  <c r="F615" i="13"/>
  <c r="G614" i="13"/>
  <c r="F614" i="13"/>
  <c r="F613" i="13"/>
  <c r="E603" i="13"/>
  <c r="F602" i="13"/>
  <c r="F601" i="13"/>
  <c r="F600" i="13"/>
  <c r="F599" i="13"/>
  <c r="F598" i="13"/>
  <c r="F597" i="13"/>
  <c r="F596" i="13"/>
  <c r="F593" i="13"/>
  <c r="F592" i="13"/>
  <c r="G591" i="13"/>
  <c r="G592" i="13" s="1"/>
  <c r="G593" i="13" s="1"/>
  <c r="G594" i="13" s="1"/>
  <c r="G596" i="13" s="1"/>
  <c r="G597" i="13" s="1"/>
  <c r="G598" i="13" s="1"/>
  <c r="G599" i="13" s="1"/>
  <c r="G600" i="13" s="1"/>
  <c r="G601" i="13" s="1"/>
  <c r="G602" i="13" s="1"/>
  <c r="G603" i="13" s="1"/>
  <c r="G605" i="13" s="1"/>
  <c r="G606" i="13" s="1"/>
  <c r="G607" i="13" s="1"/>
  <c r="G608" i="13" s="1"/>
  <c r="G609" i="13" s="1"/>
  <c r="F591" i="13"/>
  <c r="F590" i="13"/>
  <c r="E586" i="13"/>
  <c r="F585" i="13"/>
  <c r="E575" i="13"/>
  <c r="F574" i="13"/>
  <c r="F573" i="13"/>
  <c r="F572" i="13"/>
  <c r="F571" i="13"/>
  <c r="F570" i="13"/>
  <c r="E568" i="13"/>
  <c r="D568" i="13"/>
  <c r="F567" i="13"/>
  <c r="F566" i="13"/>
  <c r="E556" i="13"/>
  <c r="F555" i="13"/>
  <c r="D554" i="13"/>
  <c r="F554" i="13" s="1"/>
  <c r="F553" i="13"/>
  <c r="F552" i="13"/>
  <c r="F551" i="13"/>
  <c r="E549" i="13"/>
  <c r="F548" i="13"/>
  <c r="F547" i="13"/>
  <c r="E536" i="13"/>
  <c r="F535" i="13"/>
  <c r="F534" i="13"/>
  <c r="F533" i="13"/>
  <c r="F532" i="13"/>
  <c r="F531" i="13"/>
  <c r="F530" i="13"/>
  <c r="F529" i="13"/>
  <c r="F528" i="13"/>
  <c r="F527" i="13"/>
  <c r="E525" i="13"/>
  <c r="D525" i="13"/>
  <c r="F524" i="13"/>
  <c r="G523" i="13"/>
  <c r="F523" i="13"/>
  <c r="G519" i="13"/>
  <c r="G518" i="13"/>
  <c r="G517" i="13"/>
  <c r="G516" i="13"/>
  <c r="E514" i="13"/>
  <c r="E518" i="13" s="1"/>
  <c r="G513" i="13"/>
  <c r="F513" i="13"/>
  <c r="F512" i="13"/>
  <c r="E507" i="13"/>
  <c r="E503" i="13"/>
  <c r="D503" i="13"/>
  <c r="G502" i="13"/>
  <c r="F502" i="13"/>
  <c r="H502" i="13" s="1"/>
  <c r="G501" i="13"/>
  <c r="F501" i="13"/>
  <c r="G500" i="13"/>
  <c r="F500" i="13"/>
  <c r="F499" i="13"/>
  <c r="E489" i="13"/>
  <c r="F488" i="13"/>
  <c r="H488" i="13" s="1"/>
  <c r="F487" i="13"/>
  <c r="F486" i="13"/>
  <c r="F485" i="13"/>
  <c r="F484" i="13"/>
  <c r="F483" i="13"/>
  <c r="F482" i="13"/>
  <c r="F481" i="13"/>
  <c r="F480" i="13"/>
  <c r="F479" i="13"/>
  <c r="F478" i="13"/>
  <c r="E476" i="13"/>
  <c r="E494" i="13" s="1"/>
  <c r="D476" i="13"/>
  <c r="F475" i="13"/>
  <c r="F474" i="13"/>
  <c r="F473" i="13"/>
  <c r="F472" i="13"/>
  <c r="F471" i="13"/>
  <c r="F470" i="13"/>
  <c r="E460" i="13"/>
  <c r="D459" i="13"/>
  <c r="F459" i="13" s="1"/>
  <c r="B459" i="13"/>
  <c r="F458" i="13"/>
  <c r="E456" i="13"/>
  <c r="E465" i="13" s="1"/>
  <c r="D455" i="13"/>
  <c r="F455" i="13" s="1"/>
  <c r="D454" i="13"/>
  <c r="F454" i="13" s="1"/>
  <c r="D453" i="13"/>
  <c r="F453" i="13" s="1"/>
  <c r="D452" i="13"/>
  <c r="F452" i="13" s="1"/>
  <c r="E442" i="13"/>
  <c r="F441" i="13"/>
  <c r="F440" i="13"/>
  <c r="B440" i="13"/>
  <c r="B458" i="13" s="1"/>
  <c r="F439" i="13"/>
  <c r="F438" i="13"/>
  <c r="F437" i="13"/>
  <c r="E435" i="13"/>
  <c r="D435" i="13"/>
  <c r="F434" i="13"/>
  <c r="F433" i="13"/>
  <c r="F432" i="13"/>
  <c r="F431" i="13"/>
  <c r="F430" i="13"/>
  <c r="E420" i="13"/>
  <c r="F419" i="13"/>
  <c r="F418" i="13"/>
  <c r="F417" i="13"/>
  <c r="F416" i="13"/>
  <c r="F415" i="13"/>
  <c r="F414" i="13"/>
  <c r="F413" i="13"/>
  <c r="F412" i="13"/>
  <c r="E410" i="13"/>
  <c r="F409" i="13"/>
  <c r="F408" i="13"/>
  <c r="F407" i="13"/>
  <c r="F406" i="13"/>
  <c r="F405" i="13"/>
  <c r="F404" i="13"/>
  <c r="F403" i="13"/>
  <c r="E394" i="13"/>
  <c r="E399" i="13" s="1"/>
  <c r="F393" i="13"/>
  <c r="F392" i="13"/>
  <c r="G389" i="13"/>
  <c r="G392" i="13" s="1"/>
  <c r="F389" i="13"/>
  <c r="G386" i="13"/>
  <c r="G385" i="13"/>
  <c r="G384" i="13"/>
  <c r="G383" i="13"/>
  <c r="E381" i="13"/>
  <c r="G380" i="13"/>
  <c r="F380" i="13"/>
  <c r="F379" i="13"/>
  <c r="G374" i="13"/>
  <c r="G373" i="13"/>
  <c r="E371" i="13"/>
  <c r="G370" i="13"/>
  <c r="G376" i="13" s="1"/>
  <c r="F370" i="13"/>
  <c r="F369" i="13"/>
  <c r="H359" i="13"/>
  <c r="H360" i="13" s="1"/>
  <c r="H361" i="13" s="1"/>
  <c r="F359" i="13"/>
  <c r="F360" i="13" s="1"/>
  <c r="F361" i="13" s="1"/>
  <c r="H358" i="13"/>
  <c r="F353" i="13"/>
  <c r="H353" i="13" s="1"/>
  <c r="H352" i="13"/>
  <c r="G349" i="13"/>
  <c r="F342" i="13"/>
  <c r="E339" i="13"/>
  <c r="F339" i="13" s="1"/>
  <c r="F327" i="13"/>
  <c r="H327" i="13" s="1"/>
  <c r="F326" i="13"/>
  <c r="F323" i="13"/>
  <c r="H323" i="13" s="1"/>
  <c r="E322" i="13"/>
  <c r="H321" i="13"/>
  <c r="E310" i="13"/>
  <c r="F310" i="13" s="1"/>
  <c r="E309" i="13"/>
  <c r="F309" i="13" s="1"/>
  <c r="G308" i="13"/>
  <c r="G309" i="13" s="1"/>
  <c r="G310" i="13" s="1"/>
  <c r="G313" i="13" s="1"/>
  <c r="G314" i="13" s="1"/>
  <c r="G315" i="13" s="1"/>
  <c r="G316" i="13" s="1"/>
  <c r="E308" i="13"/>
  <c r="F308" i="13" s="1"/>
  <c r="F305" i="13"/>
  <c r="H305" i="13" s="1"/>
  <c r="E304" i="13"/>
  <c r="G297" i="13"/>
  <c r="G298" i="13" s="1"/>
  <c r="G299" i="13" s="1"/>
  <c r="H293" i="13"/>
  <c r="F292" i="13"/>
  <c r="H292" i="13" s="1"/>
  <c r="F291" i="13"/>
  <c r="H291" i="13" s="1"/>
  <c r="F290" i="13"/>
  <c r="E288" i="13"/>
  <c r="F287" i="13"/>
  <c r="H287" i="13" s="1"/>
  <c r="F286" i="13"/>
  <c r="H286" i="13" s="1"/>
  <c r="F285" i="13"/>
  <c r="H285" i="13" s="1"/>
  <c r="F284" i="13"/>
  <c r="G276" i="13"/>
  <c r="G277" i="13" s="1"/>
  <c r="G278" i="13" s="1"/>
  <c r="G279" i="13" s="1"/>
  <c r="G280" i="13" s="1"/>
  <c r="E274" i="13"/>
  <c r="H273" i="13"/>
  <c r="D272" i="13"/>
  <c r="F272" i="13" s="1"/>
  <c r="H272" i="13" s="1"/>
  <c r="F271" i="13"/>
  <c r="H271" i="13" s="1"/>
  <c r="D270" i="13"/>
  <c r="F270" i="13" s="1"/>
  <c r="E268" i="13"/>
  <c r="H267" i="13"/>
  <c r="H266" i="13"/>
  <c r="F265" i="13"/>
  <c r="H265" i="13" s="1"/>
  <c r="F264" i="13"/>
  <c r="H264" i="13" s="1"/>
  <c r="F263" i="13"/>
  <c r="H263" i="13" s="1"/>
  <c r="F262" i="13"/>
  <c r="H261" i="13"/>
  <c r="E252" i="13"/>
  <c r="F251" i="13"/>
  <c r="F250" i="13"/>
  <c r="D249" i="13"/>
  <c r="F249" i="13" s="1"/>
  <c r="F248" i="13"/>
  <c r="G247" i="13"/>
  <c r="D247" i="13"/>
  <c r="F247" i="13" s="1"/>
  <c r="E245" i="13"/>
  <c r="F244" i="13"/>
  <c r="H244" i="13" s="1"/>
  <c r="F243" i="13"/>
  <c r="H243" i="13" s="1"/>
  <c r="F242" i="13"/>
  <c r="H242" i="13" s="1"/>
  <c r="F241" i="13"/>
  <c r="H241" i="13" s="1"/>
  <c r="F240" i="13"/>
  <c r="H240" i="13" s="1"/>
  <c r="F239" i="13"/>
  <c r="H238" i="13"/>
  <c r="G232" i="13"/>
  <c r="G233" i="13" s="1"/>
  <c r="G234" i="13" s="1"/>
  <c r="G235" i="13" s="1"/>
  <c r="D228" i="13"/>
  <c r="F228" i="13" s="1"/>
  <c r="F227" i="13"/>
  <c r="D226" i="13"/>
  <c r="F226" i="13" s="1"/>
  <c r="F225" i="13"/>
  <c r="D224" i="13"/>
  <c r="F224" i="13" s="1"/>
  <c r="G223" i="13"/>
  <c r="G224" i="13" s="1"/>
  <c r="G225" i="13" s="1"/>
  <c r="G226" i="13" s="1"/>
  <c r="G227" i="13" s="1"/>
  <c r="G228" i="13" s="1"/>
  <c r="D223" i="13"/>
  <c r="F223" i="13" s="1"/>
  <c r="H223" i="13" s="1"/>
  <c r="D222" i="13"/>
  <c r="F222" i="13" s="1"/>
  <c r="F219" i="13"/>
  <c r="F218" i="13"/>
  <c r="F217" i="13"/>
  <c r="F216" i="13"/>
  <c r="G215" i="13"/>
  <c r="G216" i="13" s="1"/>
  <c r="G217" i="13" s="1"/>
  <c r="G218" i="13" s="1"/>
  <c r="G219" i="13" s="1"/>
  <c r="F215" i="13"/>
  <c r="F214" i="13"/>
  <c r="F202" i="13"/>
  <c r="F201" i="13"/>
  <c r="F200" i="13"/>
  <c r="F199" i="13"/>
  <c r="F198" i="13"/>
  <c r="F197" i="13"/>
  <c r="F196" i="13"/>
  <c r="F195" i="13"/>
  <c r="F192" i="13"/>
  <c r="F191" i="13"/>
  <c r="F190" i="13"/>
  <c r="F189" i="13"/>
  <c r="F188" i="13"/>
  <c r="G187" i="13"/>
  <c r="G188" i="13" s="1"/>
  <c r="G189" i="13" s="1"/>
  <c r="G190" i="13" s="1"/>
  <c r="G191" i="13" s="1"/>
  <c r="G192" i="13" s="1"/>
  <c r="G195" i="13" s="1"/>
  <c r="G196" i="13" s="1"/>
  <c r="G197" i="13" s="1"/>
  <c r="G198" i="13" s="1"/>
  <c r="G199" i="13" s="1"/>
  <c r="G200" i="13" s="1"/>
  <c r="G201" i="13" s="1"/>
  <c r="G202" i="13" s="1"/>
  <c r="G206" i="13" s="1"/>
  <c r="G207" i="13" s="1"/>
  <c r="G208" i="13" s="1"/>
  <c r="G209" i="13" s="1"/>
  <c r="G210" i="13" s="1"/>
  <c r="F187" i="13"/>
  <c r="F186" i="13"/>
  <c r="E181" i="13"/>
  <c r="D174" i="13"/>
  <c r="F174" i="13" s="1"/>
  <c r="F173" i="13"/>
  <c r="D172" i="13"/>
  <c r="F172" i="13" s="1"/>
  <c r="D171" i="13"/>
  <c r="F171" i="13" s="1"/>
  <c r="D170" i="13"/>
  <c r="F170" i="13" s="1"/>
  <c r="G169" i="13"/>
  <c r="G177" i="13" s="1"/>
  <c r="F169" i="13"/>
  <c r="F166" i="13"/>
  <c r="F165" i="13"/>
  <c r="F164" i="13"/>
  <c r="F163" i="13"/>
  <c r="F162" i="13"/>
  <c r="G161" i="13"/>
  <c r="F161" i="13"/>
  <c r="F160" i="13"/>
  <c r="E150" i="13"/>
  <c r="E156" i="13" s="1"/>
  <c r="D149" i="13"/>
  <c r="F149" i="13" s="1"/>
  <c r="H149" i="13" s="1"/>
  <c r="F148" i="13"/>
  <c r="H148" i="13" s="1"/>
  <c r="D147" i="13"/>
  <c r="F147" i="13" s="1"/>
  <c r="H147" i="13" s="1"/>
  <c r="D146" i="13"/>
  <c r="F146" i="13" s="1"/>
  <c r="H146" i="13" s="1"/>
  <c r="F145" i="13"/>
  <c r="H145" i="13" s="1"/>
  <c r="F144" i="13"/>
  <c r="H144" i="13" s="1"/>
  <c r="F143" i="13"/>
  <c r="H143" i="13" s="1"/>
  <c r="F142" i="13"/>
  <c r="F139" i="13"/>
  <c r="H139" i="13" s="1"/>
  <c r="F138" i="13"/>
  <c r="H138" i="13" s="1"/>
  <c r="F137" i="13"/>
  <c r="H137" i="13" s="1"/>
  <c r="F136" i="13"/>
  <c r="H136" i="13" s="1"/>
  <c r="F135" i="13"/>
  <c r="H135" i="13" s="1"/>
  <c r="F134" i="13"/>
  <c r="H134" i="13" s="1"/>
  <c r="F133" i="13"/>
  <c r="H133" i="13" s="1"/>
  <c r="F132" i="13"/>
  <c r="G124" i="13"/>
  <c r="G123" i="13"/>
  <c r="G119" i="13"/>
  <c r="G118" i="13"/>
  <c r="G117" i="13"/>
  <c r="G116" i="13"/>
  <c r="G115" i="13"/>
  <c r="G111" i="13"/>
  <c r="G110" i="13"/>
  <c r="G109" i="13"/>
  <c r="G105" i="13"/>
  <c r="G104" i="13"/>
  <c r="G99" i="13"/>
  <c r="G98" i="13"/>
  <c r="G94" i="13"/>
  <c r="G93" i="13"/>
  <c r="G92" i="13"/>
  <c r="G88" i="13"/>
  <c r="G87" i="13"/>
  <c r="G86" i="13"/>
  <c r="G85" i="13"/>
  <c r="G84" i="13"/>
  <c r="G83" i="13"/>
  <c r="G82" i="13"/>
  <c r="G78" i="13"/>
  <c r="G77" i="13"/>
  <c r="G76" i="13"/>
  <c r="G75" i="13"/>
  <c r="G74" i="13"/>
  <c r="G70" i="13"/>
  <c r="G69" i="13"/>
  <c r="G68" i="13"/>
  <c r="G67" i="13"/>
  <c r="G62" i="13"/>
  <c r="G61" i="13"/>
  <c r="G60" i="13"/>
  <c r="G59" i="13"/>
  <c r="G58" i="13"/>
  <c r="G53" i="13"/>
  <c r="G52" i="13"/>
  <c r="G51" i="13"/>
  <c r="G50" i="13"/>
  <c r="G46" i="13"/>
  <c r="G45" i="13"/>
  <c r="G44" i="13"/>
  <c r="G40" i="13"/>
  <c r="G39" i="13"/>
  <c r="G38" i="13"/>
  <c r="G34" i="13"/>
  <c r="G33" i="13"/>
  <c r="G32" i="13"/>
  <c r="H22" i="13"/>
  <c r="H21" i="13"/>
  <c r="H18" i="13"/>
  <c r="G17" i="13"/>
  <c r="H17" i="13" s="1"/>
  <c r="H16" i="13"/>
  <c r="G11" i="13"/>
  <c r="G10" i="13"/>
  <c r="H10" i="13" s="1"/>
  <c r="H7" i="13"/>
  <c r="H6" i="13"/>
  <c r="G62" i="12"/>
  <c r="G625" i="12"/>
  <c r="G626" i="12" s="1"/>
  <c r="G627" i="12" s="1"/>
  <c r="G628" i="12" s="1"/>
  <c r="G629" i="12" s="1"/>
  <c r="E623" i="12"/>
  <c r="F622" i="12"/>
  <c r="F621" i="12"/>
  <c r="F620" i="12"/>
  <c r="F619" i="12"/>
  <c r="E617" i="12"/>
  <c r="F616" i="12"/>
  <c r="F615" i="12"/>
  <c r="G614" i="12"/>
  <c r="F614" i="12"/>
  <c r="F613" i="12"/>
  <c r="G606" i="12"/>
  <c r="G607" i="12" s="1"/>
  <c r="G608" i="12" s="1"/>
  <c r="G609" i="12" s="1"/>
  <c r="E603" i="12"/>
  <c r="F602" i="12"/>
  <c r="F601" i="12"/>
  <c r="F600" i="12"/>
  <c r="F599" i="12"/>
  <c r="F598" i="12"/>
  <c r="F597" i="12"/>
  <c r="F596" i="12"/>
  <c r="F593" i="12"/>
  <c r="F592" i="12"/>
  <c r="G591" i="12"/>
  <c r="G592" i="12" s="1"/>
  <c r="G593" i="12" s="1"/>
  <c r="G594" i="12" s="1"/>
  <c r="G596" i="12" s="1"/>
  <c r="G597" i="12" s="1"/>
  <c r="G598" i="12" s="1"/>
  <c r="G599" i="12" s="1"/>
  <c r="G600" i="12" s="1"/>
  <c r="G601" i="12" s="1"/>
  <c r="G602" i="12" s="1"/>
  <c r="G603" i="12" s="1"/>
  <c r="G605" i="12" s="1"/>
  <c r="F591" i="12"/>
  <c r="F590" i="12"/>
  <c r="E586" i="12"/>
  <c r="F585" i="12"/>
  <c r="E575" i="12"/>
  <c r="F574" i="12"/>
  <c r="F573" i="12"/>
  <c r="F572" i="12"/>
  <c r="F571" i="12"/>
  <c r="F570" i="12"/>
  <c r="E568" i="12"/>
  <c r="D568" i="12"/>
  <c r="F567" i="12"/>
  <c r="F566" i="12"/>
  <c r="E556" i="12"/>
  <c r="F555" i="12"/>
  <c r="D554" i="12"/>
  <c r="F554" i="12" s="1"/>
  <c r="F553" i="12"/>
  <c r="F552" i="12"/>
  <c r="F551" i="12"/>
  <c r="E549" i="12"/>
  <c r="F548" i="12"/>
  <c r="F547" i="12"/>
  <c r="E536" i="12"/>
  <c r="F535" i="12"/>
  <c r="F534" i="12"/>
  <c r="F533" i="12"/>
  <c r="F532" i="12"/>
  <c r="F531" i="12"/>
  <c r="F530" i="12"/>
  <c r="F529" i="12"/>
  <c r="F528" i="12"/>
  <c r="F527" i="12"/>
  <c r="E525" i="12"/>
  <c r="D525" i="12"/>
  <c r="F524" i="12"/>
  <c r="G523" i="12"/>
  <c r="F523" i="12"/>
  <c r="G519" i="12"/>
  <c r="G518" i="12"/>
  <c r="G517" i="12"/>
  <c r="G516" i="12"/>
  <c r="E514" i="12"/>
  <c r="E518" i="12" s="1"/>
  <c r="G513" i="12"/>
  <c r="F513" i="12"/>
  <c r="F512" i="12"/>
  <c r="E507" i="12"/>
  <c r="E503" i="12"/>
  <c r="D503" i="12"/>
  <c r="G502" i="12"/>
  <c r="F502" i="12"/>
  <c r="G501" i="12"/>
  <c r="F501" i="12"/>
  <c r="G500" i="12"/>
  <c r="F500" i="12"/>
  <c r="F499" i="12"/>
  <c r="E489" i="12"/>
  <c r="F488" i="12"/>
  <c r="H488" i="12" s="1"/>
  <c r="F487" i="12"/>
  <c r="F486" i="12"/>
  <c r="F485" i="12"/>
  <c r="F484" i="12"/>
  <c r="F483" i="12"/>
  <c r="F482" i="12"/>
  <c r="F481" i="12"/>
  <c r="F480" i="12"/>
  <c r="F479" i="12"/>
  <c r="F478" i="12"/>
  <c r="E476" i="12"/>
  <c r="E494" i="12" s="1"/>
  <c r="D476" i="12"/>
  <c r="F475" i="12"/>
  <c r="F474" i="12"/>
  <c r="F473" i="12"/>
  <c r="F472" i="12"/>
  <c r="F471" i="12"/>
  <c r="F470" i="12"/>
  <c r="E460" i="12"/>
  <c r="D459" i="12"/>
  <c r="F459" i="12" s="1"/>
  <c r="B459" i="12"/>
  <c r="F458" i="12"/>
  <c r="E456" i="12"/>
  <c r="E465" i="12" s="1"/>
  <c r="D455" i="12"/>
  <c r="F455" i="12" s="1"/>
  <c r="D454" i="12"/>
  <c r="F454" i="12" s="1"/>
  <c r="D453" i="12"/>
  <c r="F453" i="12" s="1"/>
  <c r="D452" i="12"/>
  <c r="F452" i="12" s="1"/>
  <c r="E442" i="12"/>
  <c r="F441" i="12"/>
  <c r="F440" i="12"/>
  <c r="B440" i="12"/>
  <c r="B458" i="12" s="1"/>
  <c r="F439" i="12"/>
  <c r="F438" i="12"/>
  <c r="F437" i="12"/>
  <c r="E435" i="12"/>
  <c r="D435" i="12"/>
  <c r="F434" i="12"/>
  <c r="F433" i="12"/>
  <c r="F432" i="12"/>
  <c r="F431" i="12"/>
  <c r="F430" i="12"/>
  <c r="E420" i="12"/>
  <c r="F419" i="12"/>
  <c r="F418" i="12"/>
  <c r="F417" i="12"/>
  <c r="F416" i="12"/>
  <c r="F415" i="12"/>
  <c r="F414" i="12"/>
  <c r="F413" i="12"/>
  <c r="F412" i="12"/>
  <c r="E410" i="12"/>
  <c r="F409" i="12"/>
  <c r="F408" i="12"/>
  <c r="F407" i="12"/>
  <c r="F406" i="12"/>
  <c r="F405" i="12"/>
  <c r="F404" i="12"/>
  <c r="F403" i="12"/>
  <c r="E394" i="12"/>
  <c r="E399" i="12" s="1"/>
  <c r="F393" i="12"/>
  <c r="F392" i="12"/>
  <c r="G389" i="12"/>
  <c r="G392" i="12" s="1"/>
  <c r="F389" i="12"/>
  <c r="G384" i="12"/>
  <c r="E381" i="12"/>
  <c r="F380" i="12"/>
  <c r="F379" i="12"/>
  <c r="G375" i="12"/>
  <c r="G379" i="12" s="1"/>
  <c r="G385" i="12" s="1"/>
  <c r="G374" i="12"/>
  <c r="G373" i="12"/>
  <c r="E371" i="12"/>
  <c r="G370" i="12"/>
  <c r="G376" i="12" s="1"/>
  <c r="F370" i="12"/>
  <c r="F369" i="12"/>
  <c r="H359" i="12"/>
  <c r="H360" i="12" s="1"/>
  <c r="H361" i="12" s="1"/>
  <c r="F359" i="12"/>
  <c r="F360" i="12" s="1"/>
  <c r="F361" i="12" s="1"/>
  <c r="H358" i="12"/>
  <c r="F353" i="12"/>
  <c r="H352" i="12"/>
  <c r="G349" i="12"/>
  <c r="F342" i="12"/>
  <c r="F339" i="12"/>
  <c r="F327" i="12"/>
  <c r="H327" i="12" s="1"/>
  <c r="F326" i="12"/>
  <c r="F323" i="12"/>
  <c r="H323" i="12" s="1"/>
  <c r="H321" i="12"/>
  <c r="F310" i="12"/>
  <c r="F309" i="12"/>
  <c r="G308" i="12"/>
  <c r="G309" i="12" s="1"/>
  <c r="G310" i="12" s="1"/>
  <c r="G313" i="12" s="1"/>
  <c r="G314" i="12" s="1"/>
  <c r="G315" i="12" s="1"/>
  <c r="G316" i="12" s="1"/>
  <c r="F308" i="12"/>
  <c r="F305" i="12"/>
  <c r="H305" i="12" s="1"/>
  <c r="G297" i="12"/>
  <c r="G298" i="12" s="1"/>
  <c r="G299" i="12" s="1"/>
  <c r="H293" i="12"/>
  <c r="F292" i="12"/>
  <c r="H292" i="12" s="1"/>
  <c r="F291" i="12"/>
  <c r="H291" i="12" s="1"/>
  <c r="F290" i="12"/>
  <c r="F287" i="12"/>
  <c r="H287" i="12" s="1"/>
  <c r="F286" i="12"/>
  <c r="H286" i="12" s="1"/>
  <c r="F285" i="12"/>
  <c r="H285" i="12" s="1"/>
  <c r="G276" i="12"/>
  <c r="G277" i="12" s="1"/>
  <c r="G278" i="12" s="1"/>
  <c r="G279" i="12" s="1"/>
  <c r="G280" i="12" s="1"/>
  <c r="H273" i="12"/>
  <c r="D272" i="12"/>
  <c r="F271" i="12"/>
  <c r="H271" i="12" s="1"/>
  <c r="D270" i="12"/>
  <c r="H267" i="12"/>
  <c r="H266" i="12"/>
  <c r="F265" i="12"/>
  <c r="H265" i="12" s="1"/>
  <c r="F264" i="12"/>
  <c r="H264" i="12" s="1"/>
  <c r="F263" i="12"/>
  <c r="H263" i="12" s="1"/>
  <c r="H261" i="12"/>
  <c r="F251" i="12"/>
  <c r="F250" i="12"/>
  <c r="D249" i="12"/>
  <c r="F249" i="12" s="1"/>
  <c r="F248" i="12"/>
  <c r="G247" i="12"/>
  <c r="E252" i="12"/>
  <c r="D247" i="12"/>
  <c r="F247" i="12" s="1"/>
  <c r="E245" i="12"/>
  <c r="F244" i="12"/>
  <c r="H244" i="12" s="1"/>
  <c r="F243" i="12"/>
  <c r="H243" i="12" s="1"/>
  <c r="F242" i="12"/>
  <c r="H242" i="12" s="1"/>
  <c r="F241" i="12"/>
  <c r="H241" i="12" s="1"/>
  <c r="F240" i="12"/>
  <c r="H240" i="12" s="1"/>
  <c r="F239" i="12"/>
  <c r="H238" i="12"/>
  <c r="G232" i="12"/>
  <c r="G233" i="12" s="1"/>
  <c r="G234" i="12" s="1"/>
  <c r="G235" i="12" s="1"/>
  <c r="D228" i="12"/>
  <c r="F228" i="12" s="1"/>
  <c r="F227" i="12"/>
  <c r="D226" i="12"/>
  <c r="F226" i="12" s="1"/>
  <c r="F225" i="12"/>
  <c r="D224" i="12"/>
  <c r="F224" i="12" s="1"/>
  <c r="G223" i="12"/>
  <c r="G224" i="12" s="1"/>
  <c r="G225" i="12" s="1"/>
  <c r="G226" i="12" s="1"/>
  <c r="G227" i="12" s="1"/>
  <c r="G228" i="12" s="1"/>
  <c r="D223" i="12"/>
  <c r="F223" i="12" s="1"/>
  <c r="D222" i="12"/>
  <c r="F222" i="12" s="1"/>
  <c r="F219" i="12"/>
  <c r="F218" i="12"/>
  <c r="F217" i="12"/>
  <c r="F216" i="12"/>
  <c r="G215" i="12"/>
  <c r="G216" i="12" s="1"/>
  <c r="G217" i="12" s="1"/>
  <c r="G218" i="12" s="1"/>
  <c r="G219" i="12" s="1"/>
  <c r="F215" i="12"/>
  <c r="F214" i="12"/>
  <c r="F202" i="12"/>
  <c r="F201" i="12"/>
  <c r="F200" i="12"/>
  <c r="F199" i="12"/>
  <c r="F198" i="12"/>
  <c r="F197" i="12"/>
  <c r="F196" i="12"/>
  <c r="F195" i="12"/>
  <c r="F192" i="12"/>
  <c r="F191" i="12"/>
  <c r="F190" i="12"/>
  <c r="F189" i="12"/>
  <c r="F188" i="12"/>
  <c r="G187" i="12"/>
  <c r="G188" i="12" s="1"/>
  <c r="G189" i="12" s="1"/>
  <c r="G190" i="12" s="1"/>
  <c r="G191" i="12" s="1"/>
  <c r="G192" i="12" s="1"/>
  <c r="G195" i="12" s="1"/>
  <c r="G196" i="12" s="1"/>
  <c r="G197" i="12" s="1"/>
  <c r="G198" i="12" s="1"/>
  <c r="G199" i="12" s="1"/>
  <c r="G200" i="12" s="1"/>
  <c r="G201" i="12" s="1"/>
  <c r="G202" i="12" s="1"/>
  <c r="G206" i="12" s="1"/>
  <c r="G207" i="12" s="1"/>
  <c r="G208" i="12" s="1"/>
  <c r="G209" i="12" s="1"/>
  <c r="G210" i="12" s="1"/>
  <c r="F187" i="12"/>
  <c r="F186" i="12"/>
  <c r="E181" i="12"/>
  <c r="D174" i="12"/>
  <c r="F174" i="12" s="1"/>
  <c r="F173" i="12"/>
  <c r="D172" i="12"/>
  <c r="F172" i="12" s="1"/>
  <c r="D171" i="12"/>
  <c r="F171" i="12" s="1"/>
  <c r="D170" i="12"/>
  <c r="F170" i="12" s="1"/>
  <c r="G169" i="12"/>
  <c r="G177" i="12" s="1"/>
  <c r="F169" i="12"/>
  <c r="F166" i="12"/>
  <c r="F165" i="12"/>
  <c r="F164" i="12"/>
  <c r="F163" i="12"/>
  <c r="F162" i="12"/>
  <c r="G161" i="12"/>
  <c r="F161" i="12"/>
  <c r="F160" i="12"/>
  <c r="D149" i="12"/>
  <c r="F149" i="12" s="1"/>
  <c r="H149" i="12" s="1"/>
  <c r="F148" i="12"/>
  <c r="H148" i="12" s="1"/>
  <c r="D147" i="12"/>
  <c r="F147" i="12" s="1"/>
  <c r="H147" i="12" s="1"/>
  <c r="D146" i="12"/>
  <c r="F146" i="12" s="1"/>
  <c r="H146" i="12" s="1"/>
  <c r="F144" i="12"/>
  <c r="H144" i="12" s="1"/>
  <c r="F143" i="12"/>
  <c r="H143" i="12" s="1"/>
  <c r="F142" i="12"/>
  <c r="F139" i="12"/>
  <c r="H139" i="12" s="1"/>
  <c r="F138" i="12"/>
  <c r="H138" i="12" s="1"/>
  <c r="F137" i="12"/>
  <c r="H137" i="12" s="1"/>
  <c r="F136" i="12"/>
  <c r="H136" i="12" s="1"/>
  <c r="F135" i="12"/>
  <c r="H135" i="12" s="1"/>
  <c r="F134" i="12"/>
  <c r="H134" i="12" s="1"/>
  <c r="F133" i="12"/>
  <c r="H133" i="12" s="1"/>
  <c r="F132" i="12"/>
  <c r="G124" i="12"/>
  <c r="G123" i="12"/>
  <c r="G119" i="12"/>
  <c r="G118" i="12"/>
  <c r="G117" i="12"/>
  <c r="G116" i="12"/>
  <c r="G115" i="12"/>
  <c r="G111" i="12"/>
  <c r="G110" i="12"/>
  <c r="G109" i="12"/>
  <c r="G105" i="12"/>
  <c r="G104" i="12"/>
  <c r="G106" i="12" s="1"/>
  <c r="G99" i="12"/>
  <c r="G98" i="12"/>
  <c r="G94" i="12"/>
  <c r="G93" i="12"/>
  <c r="G92" i="12"/>
  <c r="G88" i="12"/>
  <c r="G87" i="12"/>
  <c r="G86" i="12"/>
  <c r="G85" i="12"/>
  <c r="G84" i="12"/>
  <c r="G83" i="12"/>
  <c r="G82" i="12"/>
  <c r="G78" i="12"/>
  <c r="G77" i="12"/>
  <c r="G76" i="12"/>
  <c r="G75" i="12"/>
  <c r="G74" i="12"/>
  <c r="G70" i="12"/>
  <c r="G69" i="12"/>
  <c r="G68" i="12"/>
  <c r="G67" i="12"/>
  <c r="G61" i="12"/>
  <c r="G60" i="12"/>
  <c r="G59" i="12"/>
  <c r="G58" i="12"/>
  <c r="G53" i="12"/>
  <c r="G52" i="12"/>
  <c r="G51" i="12"/>
  <c r="G50" i="12"/>
  <c r="G46" i="12"/>
  <c r="G45" i="12"/>
  <c r="G44" i="12"/>
  <c r="G40" i="12"/>
  <c r="G39" i="12"/>
  <c r="G38" i="12"/>
  <c r="G34" i="12"/>
  <c r="G33" i="12"/>
  <c r="G32" i="12"/>
  <c r="H22" i="12"/>
  <c r="H21" i="12"/>
  <c r="H23" i="12" s="1"/>
  <c r="H18" i="12"/>
  <c r="G17" i="12"/>
  <c r="H17" i="12" s="1"/>
  <c r="H16" i="12"/>
  <c r="G11" i="12"/>
  <c r="G10" i="12"/>
  <c r="H10" i="12" s="1"/>
  <c r="H7" i="12"/>
  <c r="H6" i="12"/>
  <c r="H500" i="13" l="1"/>
  <c r="G386" i="12"/>
  <c r="G380" i="12"/>
  <c r="H500" i="12"/>
  <c r="G106" i="13"/>
  <c r="E448" i="13"/>
  <c r="G47" i="12"/>
  <c r="G35" i="13"/>
  <c r="G383" i="12"/>
  <c r="E448" i="12"/>
  <c r="H502" i="12"/>
  <c r="G41" i="13"/>
  <c r="H614" i="12"/>
  <c r="H187" i="12"/>
  <c r="H380" i="13"/>
  <c r="H370" i="13"/>
  <c r="H19" i="13"/>
  <c r="G89" i="12"/>
  <c r="H161" i="12"/>
  <c r="H215" i="12"/>
  <c r="G89" i="13"/>
  <c r="H614" i="13"/>
  <c r="H187" i="13"/>
  <c r="H215" i="13"/>
  <c r="G100" i="13"/>
  <c r="E561" i="13"/>
  <c r="G120" i="13"/>
  <c r="G54" i="13"/>
  <c r="G63" i="13"/>
  <c r="G112" i="13"/>
  <c r="G125" i="13"/>
  <c r="H161" i="13"/>
  <c r="E541" i="13"/>
  <c r="H23" i="13"/>
  <c r="G47" i="13"/>
  <c r="G71" i="13"/>
  <c r="G79" i="13"/>
  <c r="G95" i="13"/>
  <c r="E426" i="13"/>
  <c r="H501" i="13"/>
  <c r="H513" i="13"/>
  <c r="H591" i="13"/>
  <c r="H19" i="12"/>
  <c r="G41" i="12"/>
  <c r="G120" i="12"/>
  <c r="E541" i="12"/>
  <c r="G35" i="12"/>
  <c r="G100" i="12"/>
  <c r="G112" i="12"/>
  <c r="G125" i="12"/>
  <c r="E426" i="12"/>
  <c r="H501" i="12"/>
  <c r="H513" i="12"/>
  <c r="E561" i="12"/>
  <c r="H591" i="12"/>
  <c r="G54" i="12"/>
  <c r="G63" i="12"/>
  <c r="G71" i="12"/>
  <c r="G79" i="12"/>
  <c r="G95" i="12"/>
  <c r="H223" i="12"/>
  <c r="H370" i="12"/>
  <c r="H380" i="12"/>
  <c r="H8" i="13"/>
  <c r="G12" i="13"/>
  <c r="H11" i="13"/>
  <c r="F140" i="13"/>
  <c r="H132" i="13"/>
  <c r="H140" i="13" s="1"/>
  <c r="F150" i="13"/>
  <c r="F153" i="13" s="1"/>
  <c r="H153" i="13" s="1"/>
  <c r="H142" i="13"/>
  <c r="H150" i="13" s="1"/>
  <c r="F167" i="13"/>
  <c r="H160" i="13"/>
  <c r="G170" i="13"/>
  <c r="G178" i="13" s="1"/>
  <c r="G162" i="13"/>
  <c r="H162" i="13" s="1"/>
  <c r="F175" i="13"/>
  <c r="F178" i="13" s="1"/>
  <c r="H169" i="13"/>
  <c r="F193" i="13"/>
  <c r="H186" i="13"/>
  <c r="H188" i="13"/>
  <c r="H189" i="13"/>
  <c r="H190" i="13"/>
  <c r="H191" i="13"/>
  <c r="H192" i="13"/>
  <c r="F203" i="13"/>
  <c r="F207" i="13" s="1"/>
  <c r="H207" i="13" s="1"/>
  <c r="H195" i="13"/>
  <c r="H196" i="13"/>
  <c r="H197" i="13"/>
  <c r="H198" i="13"/>
  <c r="H199" i="13"/>
  <c r="H200" i="13"/>
  <c r="H201" i="13"/>
  <c r="H202" i="13"/>
  <c r="F220" i="13"/>
  <c r="H214" i="13"/>
  <c r="H216" i="13"/>
  <c r="H217" i="13"/>
  <c r="H218" i="13"/>
  <c r="H219" i="13"/>
  <c r="F229" i="13"/>
  <c r="F232" i="13" s="1"/>
  <c r="H232" i="13" s="1"/>
  <c r="H222" i="13"/>
  <c r="H224" i="13"/>
  <c r="H225" i="13"/>
  <c r="H226" i="13"/>
  <c r="H227" i="13"/>
  <c r="H228" i="13"/>
  <c r="F245" i="13"/>
  <c r="F254" i="13" s="1"/>
  <c r="H239" i="13"/>
  <c r="H245" i="13" s="1"/>
  <c r="F252" i="13"/>
  <c r="H247" i="13"/>
  <c r="G254" i="13"/>
  <c r="G255" i="13" s="1"/>
  <c r="G256" i="13" s="1"/>
  <c r="G257" i="13" s="1"/>
  <c r="G258" i="13" s="1"/>
  <c r="G248" i="13"/>
  <c r="G249" i="13" s="1"/>
  <c r="G250" i="13" s="1"/>
  <c r="G251" i="13" s="1"/>
  <c r="H251" i="13" s="1"/>
  <c r="F268" i="13"/>
  <c r="F276" i="13" s="1"/>
  <c r="H262" i="13"/>
  <c r="H268" i="13" s="1"/>
  <c r="F274" i="13"/>
  <c r="H270" i="13"/>
  <c r="H274" i="13" s="1"/>
  <c r="F288" i="13"/>
  <c r="H284" i="13"/>
  <c r="F294" i="13"/>
  <c r="F297" i="13" s="1"/>
  <c r="H297" i="13" s="1"/>
  <c r="H290" i="13"/>
  <c r="H294" i="13" s="1"/>
  <c r="E306" i="13"/>
  <c r="F304" i="13"/>
  <c r="F311" i="13"/>
  <c r="F314" i="13" s="1"/>
  <c r="H314" i="13" s="1"/>
  <c r="H308" i="13"/>
  <c r="H309" i="13"/>
  <c r="H310" i="13"/>
  <c r="H322" i="13"/>
  <c r="H324" i="13" s="1"/>
  <c r="F322" i="13"/>
  <c r="F324" i="13" s="1"/>
  <c r="F330" i="13" s="1"/>
  <c r="F328" i="13"/>
  <c r="H326" i="13"/>
  <c r="H328" i="13" s="1"/>
  <c r="F340" i="13"/>
  <c r="F345" i="13" s="1"/>
  <c r="H339" i="13"/>
  <c r="H340" i="13" s="1"/>
  <c r="F343" i="13"/>
  <c r="H342" i="13"/>
  <c r="H343" i="13" s="1"/>
  <c r="F354" i="13"/>
  <c r="F371" i="13"/>
  <c r="H369" i="13"/>
  <c r="H371" i="13" s="1"/>
  <c r="F381" i="13"/>
  <c r="H379" i="13"/>
  <c r="F390" i="13"/>
  <c r="H389" i="13"/>
  <c r="H390" i="13" s="1"/>
  <c r="G399" i="13"/>
  <c r="G396" i="13"/>
  <c r="G394" i="13"/>
  <c r="G393" i="13"/>
  <c r="H393" i="13" s="1"/>
  <c r="F394" i="13"/>
  <c r="F397" i="13" s="1"/>
  <c r="H392" i="13"/>
  <c r="F410" i="13"/>
  <c r="F420" i="13"/>
  <c r="F423" i="13" s="1"/>
  <c r="F435" i="13"/>
  <c r="F442" i="13"/>
  <c r="F445" i="13" s="1"/>
  <c r="F456" i="13"/>
  <c r="F460" i="13"/>
  <c r="F463" i="13" s="1"/>
  <c r="F476" i="13"/>
  <c r="F489" i="13"/>
  <c r="F492" i="13" s="1"/>
  <c r="F503" i="13"/>
  <c r="H499" i="13"/>
  <c r="F514" i="13"/>
  <c r="H512" i="13"/>
  <c r="F525" i="13"/>
  <c r="H523" i="13"/>
  <c r="G527" i="13"/>
  <c r="G528" i="13" s="1"/>
  <c r="G529" i="13" s="1"/>
  <c r="G530" i="13" s="1"/>
  <c r="G531" i="13" s="1"/>
  <c r="G532" i="13" s="1"/>
  <c r="G533" i="13" s="1"/>
  <c r="G534" i="13" s="1"/>
  <c r="G535" i="13" s="1"/>
  <c r="H535" i="13" s="1"/>
  <c r="G524" i="13"/>
  <c r="H524" i="13" s="1"/>
  <c r="F536" i="13"/>
  <c r="F539" i="13" s="1"/>
  <c r="F549" i="13"/>
  <c r="F556" i="13"/>
  <c r="F559" i="13" s="1"/>
  <c r="F568" i="13"/>
  <c r="F575" i="13"/>
  <c r="F578" i="13" s="1"/>
  <c r="F586" i="13"/>
  <c r="F594" i="13"/>
  <c r="H590" i="13"/>
  <c r="H592" i="13"/>
  <c r="H593" i="13"/>
  <c r="F603" i="13"/>
  <c r="F606" i="13" s="1"/>
  <c r="H606" i="13" s="1"/>
  <c r="H596" i="13"/>
  <c r="H597" i="13"/>
  <c r="H598" i="13"/>
  <c r="H599" i="13"/>
  <c r="H600" i="13"/>
  <c r="H601" i="13"/>
  <c r="H602" i="13"/>
  <c r="F617" i="13"/>
  <c r="H613" i="13"/>
  <c r="G619" i="13"/>
  <c r="H619" i="13" s="1"/>
  <c r="G615" i="13"/>
  <c r="H615" i="13" s="1"/>
  <c r="F623" i="13"/>
  <c r="F626" i="13" s="1"/>
  <c r="H626" i="13" s="1"/>
  <c r="H8" i="12"/>
  <c r="G12" i="12"/>
  <c r="H11" i="12"/>
  <c r="F140" i="12"/>
  <c r="H132" i="12"/>
  <c r="H140" i="12" s="1"/>
  <c r="H142" i="12"/>
  <c r="E150" i="12"/>
  <c r="E156" i="12" s="1"/>
  <c r="F145" i="12"/>
  <c r="F167" i="12"/>
  <c r="H160" i="12"/>
  <c r="G170" i="12"/>
  <c r="G178" i="12" s="1"/>
  <c r="G162" i="12"/>
  <c r="H162" i="12" s="1"/>
  <c r="F175" i="12"/>
  <c r="F178" i="12" s="1"/>
  <c r="H169" i="12"/>
  <c r="H170" i="12"/>
  <c r="F193" i="12"/>
  <c r="H186" i="12"/>
  <c r="H188" i="12"/>
  <c r="H189" i="12"/>
  <c r="H190" i="12"/>
  <c r="H191" i="12"/>
  <c r="H192" i="12"/>
  <c r="F203" i="12"/>
  <c r="F207" i="12" s="1"/>
  <c r="H207" i="12" s="1"/>
  <c r="H195" i="12"/>
  <c r="H196" i="12"/>
  <c r="H197" i="12"/>
  <c r="H198" i="12"/>
  <c r="H199" i="12"/>
  <c r="H200" i="12"/>
  <c r="H201" i="12"/>
  <c r="H202" i="12"/>
  <c r="F220" i="12"/>
  <c r="H214" i="12"/>
  <c r="H216" i="12"/>
  <c r="H217" i="12"/>
  <c r="H218" i="12"/>
  <c r="H219" i="12"/>
  <c r="F229" i="12"/>
  <c r="F232" i="12" s="1"/>
  <c r="H232" i="12" s="1"/>
  <c r="H222" i="12"/>
  <c r="H224" i="12"/>
  <c r="H225" i="12"/>
  <c r="H226" i="12"/>
  <c r="H227" i="12"/>
  <c r="H228" i="12"/>
  <c r="F245" i="12"/>
  <c r="F254" i="12" s="1"/>
  <c r="H239" i="12"/>
  <c r="H245" i="12" s="1"/>
  <c r="F252" i="12"/>
  <c r="H247" i="12"/>
  <c r="G254" i="12"/>
  <c r="G255" i="12" s="1"/>
  <c r="G256" i="12" s="1"/>
  <c r="G257" i="12" s="1"/>
  <c r="G258" i="12" s="1"/>
  <c r="G248" i="12"/>
  <c r="G249" i="12" s="1"/>
  <c r="G250" i="12" s="1"/>
  <c r="G251" i="12" s="1"/>
  <c r="H251" i="12"/>
  <c r="E268" i="12"/>
  <c r="F262" i="12"/>
  <c r="E274" i="12"/>
  <c r="F270" i="12"/>
  <c r="F272" i="12"/>
  <c r="H272" i="12" s="1"/>
  <c r="E288" i="12"/>
  <c r="F284" i="12"/>
  <c r="F294" i="12"/>
  <c r="F297" i="12" s="1"/>
  <c r="H297" i="12" s="1"/>
  <c r="H290" i="12"/>
  <c r="H294" i="12" s="1"/>
  <c r="E306" i="12"/>
  <c r="F304" i="12"/>
  <c r="F311" i="12"/>
  <c r="F314" i="12" s="1"/>
  <c r="H314" i="12" s="1"/>
  <c r="H308" i="12"/>
  <c r="H309" i="12"/>
  <c r="H310" i="12"/>
  <c r="H322" i="12"/>
  <c r="H324" i="12" s="1"/>
  <c r="F322" i="12"/>
  <c r="F324" i="12" s="1"/>
  <c r="F330" i="12" s="1"/>
  <c r="F328" i="12"/>
  <c r="H326" i="12"/>
  <c r="H328" i="12" s="1"/>
  <c r="F340" i="12"/>
  <c r="F345" i="12" s="1"/>
  <c r="H339" i="12"/>
  <c r="H340" i="12" s="1"/>
  <c r="F343" i="12"/>
  <c r="H342" i="12"/>
  <c r="H343" i="12" s="1"/>
  <c r="F354" i="12"/>
  <c r="H353" i="12"/>
  <c r="F371" i="12"/>
  <c r="H369" i="12"/>
  <c r="H371" i="12" s="1"/>
  <c r="F381" i="12"/>
  <c r="H379" i="12"/>
  <c r="F390" i="12"/>
  <c r="H389" i="12"/>
  <c r="H390" i="12" s="1"/>
  <c r="G399" i="12"/>
  <c r="G396" i="12"/>
  <c r="G394" i="12"/>
  <c r="G393" i="12"/>
  <c r="H393" i="12" s="1"/>
  <c r="F394" i="12"/>
  <c r="F397" i="12" s="1"/>
  <c r="H392" i="12"/>
  <c r="F410" i="12"/>
  <c r="F420" i="12"/>
  <c r="F423" i="12" s="1"/>
  <c r="F435" i="12"/>
  <c r="F442" i="12"/>
  <c r="F445" i="12" s="1"/>
  <c r="F456" i="12"/>
  <c r="F460" i="12"/>
  <c r="F463" i="12" s="1"/>
  <c r="F476" i="12"/>
  <c r="F489" i="12"/>
  <c r="F492" i="12" s="1"/>
  <c r="F503" i="12"/>
  <c r="H499" i="12"/>
  <c r="F514" i="12"/>
  <c r="H512" i="12"/>
  <c r="F525" i="12"/>
  <c r="H523" i="12"/>
  <c r="G527" i="12"/>
  <c r="G528" i="12" s="1"/>
  <c r="G529" i="12" s="1"/>
  <c r="G530" i="12" s="1"/>
  <c r="G531" i="12" s="1"/>
  <c r="G532" i="12" s="1"/>
  <c r="G533" i="12" s="1"/>
  <c r="G534" i="12" s="1"/>
  <c r="G535" i="12" s="1"/>
  <c r="H535" i="12" s="1"/>
  <c r="G524" i="12"/>
  <c r="H524" i="12" s="1"/>
  <c r="F536" i="12"/>
  <c r="F539" i="12" s="1"/>
  <c r="F549" i="12"/>
  <c r="F556" i="12"/>
  <c r="F559" i="12" s="1"/>
  <c r="F568" i="12"/>
  <c r="F575" i="12"/>
  <c r="F578" i="12" s="1"/>
  <c r="F586" i="12"/>
  <c r="F594" i="12"/>
  <c r="H590" i="12"/>
  <c r="H592" i="12"/>
  <c r="H593" i="12"/>
  <c r="F603" i="12"/>
  <c r="F606" i="12" s="1"/>
  <c r="H606" i="12" s="1"/>
  <c r="H596" i="12"/>
  <c r="H597" i="12"/>
  <c r="H598" i="12"/>
  <c r="H599" i="12"/>
  <c r="H600" i="12"/>
  <c r="H601" i="12"/>
  <c r="H602" i="12"/>
  <c r="F617" i="12"/>
  <c r="H613" i="12"/>
  <c r="G619" i="12"/>
  <c r="H619" i="12" s="1"/>
  <c r="G615" i="12"/>
  <c r="H615" i="12" s="1"/>
  <c r="F623" i="12"/>
  <c r="F626" i="12" s="1"/>
  <c r="H626" i="12" s="1"/>
  <c r="H514" i="12" l="1"/>
  <c r="H528" i="12"/>
  <c r="H250" i="12"/>
  <c r="H381" i="12"/>
  <c r="H381" i="13"/>
  <c r="F494" i="13"/>
  <c r="F491" i="13"/>
  <c r="H527" i="13"/>
  <c r="H248" i="12"/>
  <c r="H503" i="13"/>
  <c r="G126" i="13"/>
  <c r="C638" i="13" s="1"/>
  <c r="H527" i="12"/>
  <c r="H503" i="12"/>
  <c r="H532" i="12"/>
  <c r="H531" i="12"/>
  <c r="H249" i="12"/>
  <c r="H252" i="12" s="1"/>
  <c r="H250" i="13"/>
  <c r="H178" i="13"/>
  <c r="H531" i="13"/>
  <c r="H534" i="13"/>
  <c r="H533" i="13"/>
  <c r="H529" i="13"/>
  <c r="H249" i="13"/>
  <c r="H530" i="13"/>
  <c r="H532" i="13"/>
  <c r="H528" i="13"/>
  <c r="H514" i="13"/>
  <c r="H248" i="13"/>
  <c r="H170" i="13"/>
  <c r="H534" i="12"/>
  <c r="H530" i="12"/>
  <c r="H533" i="12"/>
  <c r="H529" i="12"/>
  <c r="H178" i="12"/>
  <c r="G126" i="12"/>
  <c r="C638" i="12" s="1"/>
  <c r="G620" i="13"/>
  <c r="H620" i="13" s="1"/>
  <c r="G616" i="13"/>
  <c r="F628" i="13"/>
  <c r="H628" i="13" s="1"/>
  <c r="F625" i="13"/>
  <c r="H603" i="13"/>
  <c r="H594" i="13"/>
  <c r="F608" i="13"/>
  <c r="H608" i="13" s="1"/>
  <c r="F605" i="13"/>
  <c r="F580" i="13"/>
  <c r="F577" i="13"/>
  <c r="F561" i="13"/>
  <c r="F558" i="13"/>
  <c r="G547" i="13"/>
  <c r="G538" i="13"/>
  <c r="G539" i="13" s="1"/>
  <c r="H525" i="13"/>
  <c r="F541" i="13"/>
  <c r="F538" i="13"/>
  <c r="F518" i="13"/>
  <c r="H518" i="13" s="1"/>
  <c r="F516" i="13"/>
  <c r="F507" i="13"/>
  <c r="H507" i="13" s="1"/>
  <c r="F505" i="13"/>
  <c r="F465" i="13"/>
  <c r="F462" i="13"/>
  <c r="F447" i="13"/>
  <c r="F444" i="13"/>
  <c r="F425" i="13"/>
  <c r="F422" i="13"/>
  <c r="H394" i="13"/>
  <c r="G403" i="13"/>
  <c r="G400" i="13"/>
  <c r="G398" i="13"/>
  <c r="G397" i="13"/>
  <c r="H397" i="13" s="1"/>
  <c r="F399" i="13"/>
  <c r="H399" i="13" s="1"/>
  <c r="F396" i="13"/>
  <c r="F385" i="13"/>
  <c r="F383" i="13"/>
  <c r="F375" i="13"/>
  <c r="F373" i="13"/>
  <c r="F355" i="13"/>
  <c r="H354" i="13"/>
  <c r="H355" i="13" s="1"/>
  <c r="F348" i="13"/>
  <c r="F346" i="13"/>
  <c r="H346" i="13" s="1"/>
  <c r="H345" i="13"/>
  <c r="F333" i="13"/>
  <c r="F331" i="13"/>
  <c r="H331" i="13" s="1"/>
  <c r="H330" i="13"/>
  <c r="H311" i="13"/>
  <c r="F306" i="13"/>
  <c r="H304" i="13"/>
  <c r="H306" i="13" s="1"/>
  <c r="F299" i="13"/>
  <c r="F296" i="13"/>
  <c r="F279" i="13"/>
  <c r="F277" i="13"/>
  <c r="H277" i="13" s="1"/>
  <c r="H276" i="13"/>
  <c r="F257" i="13"/>
  <c r="F255" i="13"/>
  <c r="H255" i="13" s="1"/>
  <c r="H254" i="13"/>
  <c r="H229" i="13"/>
  <c r="H220" i="13"/>
  <c r="F234" i="13"/>
  <c r="F231" i="13"/>
  <c r="H203" i="13"/>
  <c r="H193" i="13"/>
  <c r="F209" i="13"/>
  <c r="F206" i="13"/>
  <c r="G171" i="13"/>
  <c r="G163" i="13"/>
  <c r="F180" i="13"/>
  <c r="F177" i="13"/>
  <c r="F155" i="13"/>
  <c r="F152" i="13"/>
  <c r="G13" i="13"/>
  <c r="H13" i="13" s="1"/>
  <c r="H12" i="13"/>
  <c r="G620" i="12"/>
  <c r="H620" i="12" s="1"/>
  <c r="G616" i="12"/>
  <c r="F628" i="12"/>
  <c r="H628" i="12" s="1"/>
  <c r="F625" i="12"/>
  <c r="H603" i="12"/>
  <c r="H594" i="12"/>
  <c r="F608" i="12"/>
  <c r="H608" i="12" s="1"/>
  <c r="F605" i="12"/>
  <c r="F580" i="12"/>
  <c r="F577" i="12"/>
  <c r="F561" i="12"/>
  <c r="F558" i="12"/>
  <c r="G547" i="12"/>
  <c r="G538" i="12"/>
  <c r="G539" i="12" s="1"/>
  <c r="H525" i="12"/>
  <c r="F541" i="12"/>
  <c r="F538" i="12"/>
  <c r="F518" i="12"/>
  <c r="H518" i="12" s="1"/>
  <c r="F516" i="12"/>
  <c r="F507" i="12"/>
  <c r="H507" i="12" s="1"/>
  <c r="F505" i="12"/>
  <c r="F494" i="12"/>
  <c r="F491" i="12"/>
  <c r="F465" i="12"/>
  <c r="F462" i="12"/>
  <c r="F447" i="12"/>
  <c r="F444" i="12"/>
  <c r="F425" i="12"/>
  <c r="F422" i="12"/>
  <c r="H394" i="12"/>
  <c r="G403" i="12"/>
  <c r="G400" i="12"/>
  <c r="G398" i="12"/>
  <c r="G397" i="12"/>
  <c r="H397" i="12" s="1"/>
  <c r="F399" i="12"/>
  <c r="H399" i="12" s="1"/>
  <c r="F396" i="12"/>
  <c r="F385" i="12"/>
  <c r="F383" i="12"/>
  <c r="F375" i="12"/>
  <c r="F373" i="12"/>
  <c r="F355" i="12"/>
  <c r="H354" i="12"/>
  <c r="H355" i="12" s="1"/>
  <c r="F348" i="12"/>
  <c r="F346" i="12"/>
  <c r="H346" i="12" s="1"/>
  <c r="H345" i="12"/>
  <c r="F333" i="12"/>
  <c r="F331" i="12"/>
  <c r="H331" i="12" s="1"/>
  <c r="H330" i="12"/>
  <c r="H311" i="12"/>
  <c r="F306" i="12"/>
  <c r="H304" i="12"/>
  <c r="H306" i="12" s="1"/>
  <c r="F288" i="12"/>
  <c r="H284" i="12"/>
  <c r="F274" i="12"/>
  <c r="H270" i="12"/>
  <c r="H274" i="12" s="1"/>
  <c r="F268" i="12"/>
  <c r="F276" i="12" s="1"/>
  <c r="H262" i="12"/>
  <c r="H268" i="12" s="1"/>
  <c r="F257" i="12"/>
  <c r="F255" i="12"/>
  <c r="H255" i="12" s="1"/>
  <c r="H254" i="12"/>
  <c r="H229" i="12"/>
  <c r="H220" i="12"/>
  <c r="F234" i="12"/>
  <c r="F231" i="12"/>
  <c r="H203" i="12"/>
  <c r="H193" i="12"/>
  <c r="F209" i="12"/>
  <c r="F206" i="12"/>
  <c r="G171" i="12"/>
  <c r="G163" i="12"/>
  <c r="F180" i="12"/>
  <c r="F177" i="12"/>
  <c r="H145" i="12"/>
  <c r="F150" i="12"/>
  <c r="F153" i="12" s="1"/>
  <c r="H153" i="12" s="1"/>
  <c r="H150" i="12"/>
  <c r="F152" i="12"/>
  <c r="G13" i="12"/>
  <c r="H13" i="12" s="1"/>
  <c r="H12" i="12"/>
  <c r="H14" i="12" s="1"/>
  <c r="H24" i="12" s="1"/>
  <c r="H26" i="12" s="1"/>
  <c r="C637" i="12" s="1"/>
  <c r="C639" i="12" s="1"/>
  <c r="C640" i="12" s="1"/>
  <c r="F493" i="13" l="1"/>
  <c r="F495" i="13" s="1"/>
  <c r="F256" i="12"/>
  <c r="H256" i="12" s="1"/>
  <c r="F332" i="13"/>
  <c r="H332" i="13" s="1"/>
  <c r="F256" i="13"/>
  <c r="H256" i="13" s="1"/>
  <c r="F347" i="13"/>
  <c r="H347" i="13" s="1"/>
  <c r="H252" i="13"/>
  <c r="H536" i="13"/>
  <c r="H536" i="12"/>
  <c r="F278" i="13"/>
  <c r="H278" i="13" s="1"/>
  <c r="H14" i="13"/>
  <c r="H24" i="13" s="1"/>
  <c r="H26" i="13" s="1"/>
  <c r="F332" i="12"/>
  <c r="H332" i="12" s="1"/>
  <c r="F347" i="12"/>
  <c r="H347" i="12" s="1"/>
  <c r="F155" i="12"/>
  <c r="F154" i="13"/>
  <c r="F156" i="13" s="1"/>
  <c r="H156" i="13" s="1"/>
  <c r="H152" i="13"/>
  <c r="H154" i="13" s="1"/>
  <c r="H155" i="13"/>
  <c r="F179" i="13"/>
  <c r="F181" i="13" s="1"/>
  <c r="H177" i="13"/>
  <c r="H179" i="13" s="1"/>
  <c r="G164" i="13"/>
  <c r="H163" i="13"/>
  <c r="G179" i="13"/>
  <c r="H171" i="13"/>
  <c r="F208" i="13"/>
  <c r="H208" i="13" s="1"/>
  <c r="H206" i="13"/>
  <c r="H209" i="13"/>
  <c r="F233" i="13"/>
  <c r="F235" i="13" s="1"/>
  <c r="H235" i="13" s="1"/>
  <c r="H231" i="13"/>
  <c r="H233" i="13" s="1"/>
  <c r="H234" i="13"/>
  <c r="F258" i="13"/>
  <c r="H257" i="13"/>
  <c r="H258" i="13" s="1"/>
  <c r="H279" i="13"/>
  <c r="H280" i="13" s="1"/>
  <c r="F298" i="13"/>
  <c r="F300" i="13" s="1"/>
  <c r="H296" i="13"/>
  <c r="H298" i="13" s="1"/>
  <c r="H299" i="13"/>
  <c r="F316" i="13"/>
  <c r="F313" i="13"/>
  <c r="H333" i="13"/>
  <c r="H334" i="13" s="1"/>
  <c r="F349" i="13"/>
  <c r="H349" i="13" s="1"/>
  <c r="H348" i="13"/>
  <c r="F374" i="13"/>
  <c r="F376" i="13" s="1"/>
  <c r="H376" i="13" s="1"/>
  <c r="H373" i="13"/>
  <c r="H374" i="13" s="1"/>
  <c r="H375" i="13"/>
  <c r="F384" i="13"/>
  <c r="F386" i="13" s="1"/>
  <c r="H386" i="13" s="1"/>
  <c r="H383" i="13"/>
  <c r="H384" i="13" s="1"/>
  <c r="H385" i="13"/>
  <c r="F398" i="13"/>
  <c r="H396" i="13"/>
  <c r="G430" i="13"/>
  <c r="G412" i="13"/>
  <c r="G404" i="13"/>
  <c r="H403" i="13"/>
  <c r="F424" i="13"/>
  <c r="F426" i="13" s="1"/>
  <c r="H425" i="13"/>
  <c r="F446" i="13"/>
  <c r="F448" i="13" s="1"/>
  <c r="F464" i="13"/>
  <c r="F466" i="13" s="1"/>
  <c r="F506" i="13"/>
  <c r="H505" i="13"/>
  <c r="F517" i="13"/>
  <c r="H516" i="13"/>
  <c r="F540" i="13"/>
  <c r="H538" i="13"/>
  <c r="G540" i="13"/>
  <c r="G541" i="13" s="1"/>
  <c r="H539" i="13"/>
  <c r="G551" i="13"/>
  <c r="G548" i="13"/>
  <c r="H548" i="13" s="1"/>
  <c r="H547" i="13"/>
  <c r="F560" i="13"/>
  <c r="F579" i="13"/>
  <c r="F607" i="13"/>
  <c r="H605" i="13"/>
  <c r="F627" i="13"/>
  <c r="H625" i="13"/>
  <c r="G621" i="13"/>
  <c r="H616" i="13"/>
  <c r="H617" i="13" s="1"/>
  <c r="F154" i="12"/>
  <c r="F156" i="12" s="1"/>
  <c r="H156" i="12" s="1"/>
  <c r="H152" i="12"/>
  <c r="H154" i="12" s="1"/>
  <c r="H155" i="12"/>
  <c r="F179" i="12"/>
  <c r="F181" i="12" s="1"/>
  <c r="H177" i="12"/>
  <c r="H179" i="12" s="1"/>
  <c r="G164" i="12"/>
  <c r="H163" i="12"/>
  <c r="G179" i="12"/>
  <c r="H171" i="12"/>
  <c r="F208" i="12"/>
  <c r="H208" i="12" s="1"/>
  <c r="H206" i="12"/>
  <c r="F210" i="12"/>
  <c r="H210" i="12" s="1"/>
  <c r="H209" i="12"/>
  <c r="F233" i="12"/>
  <c r="F235" i="12" s="1"/>
  <c r="H235" i="12" s="1"/>
  <c r="H231" i="12"/>
  <c r="H233" i="12" s="1"/>
  <c r="H234" i="12"/>
  <c r="F258" i="12"/>
  <c r="H257" i="12"/>
  <c r="H258" i="12" s="1"/>
  <c r="H276" i="12"/>
  <c r="F279" i="12"/>
  <c r="F277" i="12"/>
  <c r="F299" i="12"/>
  <c r="F296" i="12"/>
  <c r="F316" i="12"/>
  <c r="F313" i="12"/>
  <c r="H333" i="12"/>
  <c r="F349" i="12"/>
  <c r="H349" i="12" s="1"/>
  <c r="H348" i="12"/>
  <c r="F374" i="12"/>
  <c r="F376" i="12" s="1"/>
  <c r="H376" i="12" s="1"/>
  <c r="H373" i="12"/>
  <c r="H374" i="12" s="1"/>
  <c r="H375" i="12"/>
  <c r="F384" i="12"/>
  <c r="F386" i="12" s="1"/>
  <c r="H386" i="12" s="1"/>
  <c r="H383" i="12"/>
  <c r="H384" i="12" s="1"/>
  <c r="H385" i="12"/>
  <c r="F398" i="12"/>
  <c r="H396" i="12"/>
  <c r="G430" i="12"/>
  <c r="G412" i="12"/>
  <c r="G404" i="12"/>
  <c r="H403" i="12"/>
  <c r="F424" i="12"/>
  <c r="F426" i="12" s="1"/>
  <c r="H425" i="12"/>
  <c r="F446" i="12"/>
  <c r="F448" i="12" s="1"/>
  <c r="F464" i="12"/>
  <c r="F466" i="12" s="1"/>
  <c r="F493" i="12"/>
  <c r="F495" i="12" s="1"/>
  <c r="F506" i="12"/>
  <c r="H505" i="12"/>
  <c r="F517" i="12"/>
  <c r="H516" i="12"/>
  <c r="F540" i="12"/>
  <c r="H538" i="12"/>
  <c r="G540" i="12"/>
  <c r="G541" i="12" s="1"/>
  <c r="H539" i="12"/>
  <c r="G551" i="12"/>
  <c r="G548" i="12"/>
  <c r="H548" i="12" s="1"/>
  <c r="H547" i="12"/>
  <c r="F560" i="12"/>
  <c r="F579" i="12"/>
  <c r="F607" i="12"/>
  <c r="H605" i="12"/>
  <c r="F627" i="12"/>
  <c r="H625" i="12"/>
  <c r="G621" i="12"/>
  <c r="H616" i="12"/>
  <c r="H617" i="12" s="1"/>
  <c r="F334" i="13" l="1"/>
  <c r="C637" i="13"/>
  <c r="C639" i="13" s="1"/>
  <c r="C640" i="13" s="1"/>
  <c r="F280" i="13"/>
  <c r="H334" i="12"/>
  <c r="H549" i="12"/>
  <c r="F210" i="13"/>
  <c r="H210" i="13" s="1"/>
  <c r="F334" i="12"/>
  <c r="H549" i="13"/>
  <c r="G622" i="13"/>
  <c r="H621" i="13"/>
  <c r="F629" i="13"/>
  <c r="H629" i="13" s="1"/>
  <c r="H627" i="13"/>
  <c r="F609" i="13"/>
  <c r="H609" i="13" s="1"/>
  <c r="H607" i="13"/>
  <c r="F581" i="13"/>
  <c r="F562" i="13"/>
  <c r="G566" i="13"/>
  <c r="G552" i="13"/>
  <c r="H551" i="13"/>
  <c r="G542" i="13"/>
  <c r="H541" i="13"/>
  <c r="F542" i="13"/>
  <c r="H540" i="13"/>
  <c r="F519" i="13"/>
  <c r="H519" i="13" s="1"/>
  <c r="H517" i="13"/>
  <c r="F508" i="13"/>
  <c r="H508" i="13" s="1"/>
  <c r="H506" i="13"/>
  <c r="G405" i="13"/>
  <c r="H404" i="13"/>
  <c r="G413" i="13"/>
  <c r="H412" i="13"/>
  <c r="G437" i="13"/>
  <c r="G431" i="13"/>
  <c r="H430" i="13"/>
  <c r="F400" i="13"/>
  <c r="H400" i="13" s="1"/>
  <c r="H398" i="13"/>
  <c r="F315" i="13"/>
  <c r="F317" i="13" s="1"/>
  <c r="H313" i="13"/>
  <c r="H315" i="13" s="1"/>
  <c r="H316" i="13"/>
  <c r="H300" i="13"/>
  <c r="H288" i="13"/>
  <c r="G172" i="13"/>
  <c r="G165" i="13"/>
  <c r="H164" i="13"/>
  <c r="G622" i="12"/>
  <c r="H621" i="12"/>
  <c r="F629" i="12"/>
  <c r="H629" i="12" s="1"/>
  <c r="H627" i="12"/>
  <c r="F609" i="12"/>
  <c r="H609" i="12" s="1"/>
  <c r="H607" i="12"/>
  <c r="F581" i="12"/>
  <c r="F562" i="12"/>
  <c r="G566" i="12"/>
  <c r="G552" i="12"/>
  <c r="H551" i="12"/>
  <c r="G542" i="12"/>
  <c r="H541" i="12"/>
  <c r="F542" i="12"/>
  <c r="H540" i="12"/>
  <c r="F519" i="12"/>
  <c r="H519" i="12" s="1"/>
  <c r="H517" i="12"/>
  <c r="F508" i="12"/>
  <c r="H508" i="12" s="1"/>
  <c r="H506" i="12"/>
  <c r="G405" i="12"/>
  <c r="H404" i="12"/>
  <c r="G413" i="12"/>
  <c r="H412" i="12"/>
  <c r="G437" i="12"/>
  <c r="G431" i="12"/>
  <c r="H430" i="12"/>
  <c r="F400" i="12"/>
  <c r="H400" i="12" s="1"/>
  <c r="H398" i="12"/>
  <c r="F315" i="12"/>
  <c r="F317" i="12" s="1"/>
  <c r="H313" i="12"/>
  <c r="H315" i="12" s="1"/>
  <c r="H316" i="12"/>
  <c r="F298" i="12"/>
  <c r="H296" i="12"/>
  <c r="H298" i="12" s="1"/>
  <c r="F300" i="12"/>
  <c r="H299" i="12"/>
  <c r="H277" i="12"/>
  <c r="F278" i="12"/>
  <c r="H278" i="12" s="1"/>
  <c r="F280" i="12"/>
  <c r="H279" i="12"/>
  <c r="G172" i="12"/>
  <c r="G165" i="12"/>
  <c r="H164" i="12"/>
  <c r="F631" i="12" l="1"/>
  <c r="H542" i="13"/>
  <c r="F631" i="13"/>
  <c r="H542" i="12"/>
  <c r="G173" i="13"/>
  <c r="G166" i="13"/>
  <c r="H165" i="13"/>
  <c r="G180" i="13"/>
  <c r="H180" i="13" s="1"/>
  <c r="H172" i="13"/>
  <c r="H317" i="13"/>
  <c r="G452" i="13"/>
  <c r="G432" i="13"/>
  <c r="H431" i="13"/>
  <c r="G440" i="13"/>
  <c r="G439" i="13"/>
  <c r="H439" i="13" s="1"/>
  <c r="G438" i="13"/>
  <c r="H438" i="13" s="1"/>
  <c r="H437" i="13"/>
  <c r="G415" i="13"/>
  <c r="G414" i="13"/>
  <c r="H413" i="13"/>
  <c r="G406" i="13"/>
  <c r="H405" i="13"/>
  <c r="G553" i="13"/>
  <c r="H552" i="13"/>
  <c r="G570" i="13"/>
  <c r="G567" i="13"/>
  <c r="H567" i="13" s="1"/>
  <c r="H566" i="13"/>
  <c r="G623" i="13"/>
  <c r="H622" i="13"/>
  <c r="H623" i="13" s="1"/>
  <c r="G173" i="12"/>
  <c r="G166" i="12"/>
  <c r="H165" i="12"/>
  <c r="G180" i="12"/>
  <c r="H180" i="12" s="1"/>
  <c r="H172" i="12"/>
  <c r="H280" i="12"/>
  <c r="H300" i="12"/>
  <c r="H317" i="12"/>
  <c r="G452" i="12"/>
  <c r="G432" i="12"/>
  <c r="H431" i="12"/>
  <c r="G440" i="12"/>
  <c r="G439" i="12"/>
  <c r="H439" i="12" s="1"/>
  <c r="G438" i="12"/>
  <c r="H438" i="12" s="1"/>
  <c r="H437" i="12"/>
  <c r="G415" i="12"/>
  <c r="G414" i="12"/>
  <c r="H413" i="12"/>
  <c r="G406" i="12"/>
  <c r="H405" i="12"/>
  <c r="G553" i="12"/>
  <c r="H552" i="12"/>
  <c r="G570" i="12"/>
  <c r="G567" i="12"/>
  <c r="H567" i="12" s="1"/>
  <c r="H566" i="12"/>
  <c r="H568" i="12" s="1"/>
  <c r="G623" i="12"/>
  <c r="H622" i="12"/>
  <c r="H623" i="12" s="1"/>
  <c r="H568" i="13" l="1"/>
  <c r="G571" i="13"/>
  <c r="H570" i="13"/>
  <c r="G554" i="13"/>
  <c r="H553" i="13"/>
  <c r="G407" i="13"/>
  <c r="H406" i="13"/>
  <c r="G470" i="13"/>
  <c r="H414" i="13"/>
  <c r="G416" i="13"/>
  <c r="H415" i="13"/>
  <c r="G441" i="13"/>
  <c r="H440" i="13"/>
  <c r="G433" i="13"/>
  <c r="H432" i="13"/>
  <c r="G458" i="13"/>
  <c r="H458" i="13" s="1"/>
  <c r="G453" i="13"/>
  <c r="H452" i="13"/>
  <c r="G174" i="13"/>
  <c r="H174" i="13" s="1"/>
  <c r="G167" i="13"/>
  <c r="G175" i="13" s="1"/>
  <c r="H166" i="13"/>
  <c r="H167" i="13" s="1"/>
  <c r="G181" i="13"/>
  <c r="H181" i="13" s="1"/>
  <c r="H363" i="13" s="1"/>
  <c r="C642" i="13" s="1"/>
  <c r="H173" i="13"/>
  <c r="H175" i="13" s="1"/>
  <c r="G571" i="12"/>
  <c r="H570" i="12"/>
  <c r="G554" i="12"/>
  <c r="H553" i="12"/>
  <c r="G407" i="12"/>
  <c r="H406" i="12"/>
  <c r="G470" i="12"/>
  <c r="H414" i="12"/>
  <c r="G416" i="12"/>
  <c r="H415" i="12"/>
  <c r="G441" i="12"/>
  <c r="H440" i="12"/>
  <c r="G433" i="12"/>
  <c r="H432" i="12"/>
  <c r="G458" i="12"/>
  <c r="H458" i="12" s="1"/>
  <c r="G453" i="12"/>
  <c r="H452" i="12"/>
  <c r="H288" i="12"/>
  <c r="G174" i="12"/>
  <c r="H174" i="12" s="1"/>
  <c r="G167" i="12"/>
  <c r="G175" i="12" s="1"/>
  <c r="H166" i="12"/>
  <c r="H167" i="12" s="1"/>
  <c r="G181" i="12"/>
  <c r="H181" i="12" s="1"/>
  <c r="H363" i="12" s="1"/>
  <c r="C642" i="12" s="1"/>
  <c r="H173" i="12"/>
  <c r="H175" i="12" s="1"/>
  <c r="G459" i="13" l="1"/>
  <c r="G454" i="13"/>
  <c r="H453" i="13"/>
  <c r="G434" i="13"/>
  <c r="H434" i="13" s="1"/>
  <c r="H433" i="13"/>
  <c r="G444" i="13"/>
  <c r="H441" i="13"/>
  <c r="H442" i="13" s="1"/>
  <c r="G417" i="13"/>
  <c r="H416" i="13"/>
  <c r="G478" i="13"/>
  <c r="G471" i="13"/>
  <c r="H470" i="13"/>
  <c r="G408" i="13"/>
  <c r="H407" i="13"/>
  <c r="G555" i="13"/>
  <c r="H554" i="13"/>
  <c r="G572" i="13"/>
  <c r="H571" i="13"/>
  <c r="G459" i="12"/>
  <c r="G454" i="12"/>
  <c r="H453" i="12"/>
  <c r="G434" i="12"/>
  <c r="H434" i="12" s="1"/>
  <c r="H433" i="12"/>
  <c r="H435" i="12" s="1"/>
  <c r="G444" i="12"/>
  <c r="H441" i="12"/>
  <c r="H442" i="12" s="1"/>
  <c r="G417" i="12"/>
  <c r="H416" i="12"/>
  <c r="G478" i="12"/>
  <c r="G471" i="12"/>
  <c r="H470" i="12"/>
  <c r="G408" i="12"/>
  <c r="H407" i="12"/>
  <c r="G555" i="12"/>
  <c r="H554" i="12"/>
  <c r="G572" i="12"/>
  <c r="H571" i="12"/>
  <c r="H435" i="13" l="1"/>
  <c r="H447" i="13" s="1"/>
  <c r="G573" i="13"/>
  <c r="H572" i="13"/>
  <c r="G558" i="13"/>
  <c r="H555" i="13"/>
  <c r="H556" i="13" s="1"/>
  <c r="G409" i="13"/>
  <c r="H409" i="13" s="1"/>
  <c r="H408" i="13"/>
  <c r="H410" i="13" s="1"/>
  <c r="G472" i="13"/>
  <c r="H471" i="13"/>
  <c r="G479" i="13"/>
  <c r="H478" i="13"/>
  <c r="G418" i="13"/>
  <c r="H417" i="13"/>
  <c r="G446" i="13"/>
  <c r="G448" i="13" s="1"/>
  <c r="G445" i="13"/>
  <c r="H444" i="13"/>
  <c r="G460" i="13"/>
  <c r="G455" i="13"/>
  <c r="H455" i="13" s="1"/>
  <c r="H454" i="13"/>
  <c r="G462" i="13"/>
  <c r="H459" i="13"/>
  <c r="H460" i="13" s="1"/>
  <c r="G573" i="12"/>
  <c r="H572" i="12"/>
  <c r="G558" i="12"/>
  <c r="H555" i="12"/>
  <c r="H556" i="12" s="1"/>
  <c r="G409" i="12"/>
  <c r="H409" i="12" s="1"/>
  <c r="H408" i="12"/>
  <c r="G472" i="12"/>
  <c r="H471" i="12"/>
  <c r="G479" i="12"/>
  <c r="H478" i="12"/>
  <c r="G418" i="12"/>
  <c r="H417" i="12"/>
  <c r="G446" i="12"/>
  <c r="G448" i="12" s="1"/>
  <c r="G445" i="12"/>
  <c r="H444" i="12"/>
  <c r="H447" i="12"/>
  <c r="G460" i="12"/>
  <c r="G455" i="12"/>
  <c r="H455" i="12" s="1"/>
  <c r="H454" i="12"/>
  <c r="G462" i="12"/>
  <c r="H459" i="12"/>
  <c r="H460" i="12" s="1"/>
  <c r="H410" i="12" l="1"/>
  <c r="H456" i="13"/>
  <c r="H465" i="13" s="1"/>
  <c r="H456" i="12"/>
  <c r="G463" i="13"/>
  <c r="H462" i="13"/>
  <c r="G447" i="13"/>
  <c r="H445" i="13"/>
  <c r="H446" i="13" s="1"/>
  <c r="H448" i="13" s="1"/>
  <c r="G419" i="13"/>
  <c r="H418" i="13"/>
  <c r="G481" i="13"/>
  <c r="G480" i="13"/>
  <c r="H480" i="13" s="1"/>
  <c r="H479" i="13"/>
  <c r="G473" i="13"/>
  <c r="H472" i="13"/>
  <c r="G559" i="13"/>
  <c r="H558" i="13"/>
  <c r="G574" i="13"/>
  <c r="H573" i="13"/>
  <c r="G463" i="12"/>
  <c r="H462" i="12"/>
  <c r="H465" i="12"/>
  <c r="G447" i="12"/>
  <c r="H445" i="12"/>
  <c r="H446" i="12" s="1"/>
  <c r="H448" i="12" s="1"/>
  <c r="G419" i="12"/>
  <c r="H418" i="12"/>
  <c r="G481" i="12"/>
  <c r="G480" i="12"/>
  <c r="H480" i="12" s="1"/>
  <c r="H479" i="12"/>
  <c r="G473" i="12"/>
  <c r="H472" i="12"/>
  <c r="G559" i="12"/>
  <c r="H558" i="12"/>
  <c r="G574" i="12"/>
  <c r="H573" i="12"/>
  <c r="G585" i="13" l="1"/>
  <c r="G577" i="13"/>
  <c r="H574" i="13"/>
  <c r="H575" i="13" s="1"/>
  <c r="G560" i="13"/>
  <c r="H559" i="13"/>
  <c r="G474" i="13"/>
  <c r="H473" i="13"/>
  <c r="G482" i="13"/>
  <c r="H481" i="13"/>
  <c r="G426" i="13"/>
  <c r="H426" i="13" s="1"/>
  <c r="G422" i="13"/>
  <c r="H419" i="13"/>
  <c r="H420" i="13" s="1"/>
  <c r="G464" i="13"/>
  <c r="G465" i="13" s="1"/>
  <c r="H463" i="13"/>
  <c r="H464" i="13" s="1"/>
  <c r="H466" i="13" s="1"/>
  <c r="G585" i="12"/>
  <c r="G577" i="12"/>
  <c r="H574" i="12"/>
  <c r="H575" i="12" s="1"/>
  <c r="G560" i="12"/>
  <c r="H559" i="12"/>
  <c r="G474" i="12"/>
  <c r="H473" i="12"/>
  <c r="G482" i="12"/>
  <c r="H481" i="12"/>
  <c r="G426" i="12"/>
  <c r="H426" i="12" s="1"/>
  <c r="G422" i="12"/>
  <c r="H419" i="12"/>
  <c r="H420" i="12" s="1"/>
  <c r="G464" i="12"/>
  <c r="G465" i="12" s="1"/>
  <c r="H463" i="12"/>
  <c r="H464" i="12" s="1"/>
  <c r="H466" i="12" s="1"/>
  <c r="F24" i="7"/>
  <c r="F19" i="7"/>
  <c r="F15" i="7"/>
  <c r="F31" i="7"/>
  <c r="G423" i="13" l="1"/>
  <c r="H423" i="13" s="1"/>
  <c r="H422" i="13"/>
  <c r="G483" i="13"/>
  <c r="H482" i="13"/>
  <c r="G475" i="13"/>
  <c r="H475" i="13" s="1"/>
  <c r="H474" i="13"/>
  <c r="G561" i="13"/>
  <c r="H560" i="13"/>
  <c r="G578" i="13"/>
  <c r="H577" i="13"/>
  <c r="G586" i="13"/>
  <c r="H585" i="13"/>
  <c r="H586" i="13" s="1"/>
  <c r="G423" i="12"/>
  <c r="H423" i="12" s="1"/>
  <c r="H422" i="12"/>
  <c r="G483" i="12"/>
  <c r="H482" i="12"/>
  <c r="G475" i="12"/>
  <c r="H475" i="12" s="1"/>
  <c r="H474" i="12"/>
  <c r="G561" i="12"/>
  <c r="H560" i="12"/>
  <c r="G578" i="12"/>
  <c r="H577" i="12"/>
  <c r="G586" i="12"/>
  <c r="H585" i="12"/>
  <c r="H586" i="12" s="1"/>
  <c r="F32" i="7"/>
  <c r="H476" i="12" l="1"/>
  <c r="H424" i="13"/>
  <c r="H476" i="13"/>
  <c r="H424" i="12"/>
  <c r="G579" i="13"/>
  <c r="H578" i="13"/>
  <c r="G562" i="13"/>
  <c r="H562" i="13" s="1"/>
  <c r="H561" i="13"/>
  <c r="G484" i="13"/>
  <c r="H483" i="13"/>
  <c r="G579" i="12"/>
  <c r="H578" i="12"/>
  <c r="G562" i="12"/>
  <c r="H562" i="12" s="1"/>
  <c r="H561" i="12"/>
  <c r="G484" i="12"/>
  <c r="H483" i="12"/>
  <c r="G485" i="13" l="1"/>
  <c r="H484" i="13"/>
  <c r="G580" i="13"/>
  <c r="H579" i="13"/>
  <c r="G485" i="12"/>
  <c r="H484" i="12"/>
  <c r="G580" i="12"/>
  <c r="H579" i="12"/>
  <c r="G22" i="7"/>
  <c r="I22" i="7" s="1"/>
  <c r="I21" i="7"/>
  <c r="H21" i="7"/>
  <c r="G18" i="7"/>
  <c r="I18" i="7" s="1"/>
  <c r="G17" i="7"/>
  <c r="I17" i="7" s="1"/>
  <c r="G14" i="7"/>
  <c r="I14" i="7" s="1"/>
  <c r="I13" i="7"/>
  <c r="H13" i="7"/>
  <c r="G581" i="13" l="1"/>
  <c r="H581" i="13" s="1"/>
  <c r="H580" i="13"/>
  <c r="G486" i="13"/>
  <c r="H485" i="13"/>
  <c r="G581" i="12"/>
  <c r="H581" i="12" s="1"/>
  <c r="H580" i="12"/>
  <c r="G486" i="12"/>
  <c r="H485" i="12"/>
  <c r="H17" i="7"/>
  <c r="J17" i="7" s="1"/>
  <c r="H22" i="7"/>
  <c r="J22" i="7" s="1"/>
  <c r="J13" i="7"/>
  <c r="H14" i="7"/>
  <c r="H15" i="7" s="1"/>
  <c r="I19" i="7"/>
  <c r="G23" i="7"/>
  <c r="I23" i="7" s="1"/>
  <c r="I24" i="7" s="1"/>
  <c r="I15" i="7"/>
  <c r="H18" i="7"/>
  <c r="J18" i="7" s="1"/>
  <c r="J21" i="7"/>
  <c r="G487" i="13" l="1"/>
  <c r="H486" i="13"/>
  <c r="G487" i="12"/>
  <c r="H486" i="12"/>
  <c r="J14" i="7"/>
  <c r="H19" i="7"/>
  <c r="G26" i="7"/>
  <c r="H23" i="7"/>
  <c r="H24" i="7" s="1"/>
  <c r="J15" i="7"/>
  <c r="J19" i="7"/>
  <c r="G494" i="13" l="1"/>
  <c r="G493" i="13"/>
  <c r="G491" i="13"/>
  <c r="H491" i="13" s="1"/>
  <c r="H487" i="13"/>
  <c r="H489" i="13" s="1"/>
  <c r="H494" i="13" s="1"/>
  <c r="G494" i="12"/>
  <c r="G493" i="12"/>
  <c r="G491" i="12"/>
  <c r="H487" i="12"/>
  <c r="H489" i="12" s="1"/>
  <c r="H494" i="12" s="1"/>
  <c r="J23" i="7"/>
  <c r="J24" i="7" s="1"/>
  <c r="J26" i="7"/>
  <c r="I26" i="7"/>
  <c r="H26" i="7"/>
  <c r="G27" i="7"/>
  <c r="H493" i="13" l="1"/>
  <c r="H495" i="13" s="1"/>
  <c r="G492" i="13"/>
  <c r="H492" i="13" s="1"/>
  <c r="G492" i="12"/>
  <c r="H492" i="12" s="1"/>
  <c r="H491" i="12"/>
  <c r="H27" i="7"/>
  <c r="J27" i="7"/>
  <c r="G28" i="7"/>
  <c r="I27" i="7"/>
  <c r="H493" i="12" l="1"/>
  <c r="H495" i="12" s="1"/>
  <c r="H631" i="12" s="1"/>
  <c r="C643" i="12" s="1"/>
  <c r="C644" i="12" s="1"/>
  <c r="H631" i="13"/>
  <c r="G29" i="7"/>
  <c r="J28" i="7"/>
  <c r="I28" i="7"/>
  <c r="C647" i="12" l="1"/>
  <c r="C645" i="12"/>
  <c r="C646" i="12"/>
  <c r="C643" i="13"/>
  <c r="C644" i="13" s="1"/>
  <c r="C649" i="12"/>
  <c r="J29" i="7"/>
  <c r="H29" i="7"/>
  <c r="G30" i="7"/>
  <c r="C646" i="13" l="1"/>
  <c r="C647" i="13"/>
  <c r="C645" i="13"/>
  <c r="C648" i="12"/>
  <c r="C650" i="12" s="1"/>
  <c r="H30" i="7"/>
  <c r="H31" i="7" s="1"/>
  <c r="H32" i="7" s="1"/>
  <c r="J30" i="7"/>
  <c r="J31" i="7" s="1"/>
  <c r="J32" i="7" s="1"/>
  <c r="I30" i="7"/>
  <c r="I31" i="7" s="1"/>
  <c r="I32" i="7" s="1"/>
  <c r="C649" i="13" l="1"/>
  <c r="C648" i="13"/>
  <c r="C650" i="13" s="1"/>
</calcChain>
</file>

<file path=xl/sharedStrings.xml><?xml version="1.0" encoding="utf-8"?>
<sst xmlns="http://schemas.openxmlformats.org/spreadsheetml/2006/main" count="3897" uniqueCount="997">
  <si>
    <t>ANEXO ECONOMICO</t>
  </si>
  <si>
    <t>IMPLEMENTAR ACCIONES INTEGRALES CON ENFOQUE PARTICIPATIVO PARA LA RESTAURACIÓN EN ÁREAS DE IMPORTANCIA AMBIENTAL EN MICROCUENCAS PRIORIZADAS (QUEBRADA EL TEJAR - CHOCONTÁ).</t>
  </si>
  <si>
    <t xml:space="preserve">CAPÍTULO 1: GESTIÓN INTEGRAL </t>
  </si>
  <si>
    <t>ITEM</t>
  </si>
  <si>
    <t xml:space="preserve">DESCRIPCIÓN </t>
  </si>
  <si>
    <t>CANTIDAD
(A)</t>
  </si>
  <si>
    <t>DEDICACIÓN
(B)</t>
  </si>
  <si>
    <t>MESES
(C)</t>
  </si>
  <si>
    <t>VALOR UNITARIO
( D )</t>
  </si>
  <si>
    <t>FM
(E)</t>
  </si>
  <si>
    <t>COSTO TOTAL 
  (A/2xBxCxDxE)</t>
  </si>
  <si>
    <t>PROYECTO</t>
  </si>
  <si>
    <t>1.1.1</t>
  </si>
  <si>
    <t>COORDINADOR DEL PROYECTO</t>
  </si>
  <si>
    <t>1.1.2</t>
  </si>
  <si>
    <t>PROFESIONAL DE APOYO SIG</t>
  </si>
  <si>
    <t xml:space="preserve">Subtotal 1. Profesionales proyecto </t>
  </si>
  <si>
    <t>1.2</t>
  </si>
  <si>
    <t xml:space="preserve"> RESTAURACIÓN ECOLÓGICA</t>
  </si>
  <si>
    <t>COSTO TOTAL 
(A/2xBxCxDxE)</t>
  </si>
  <si>
    <t>1.2.1</t>
  </si>
  <si>
    <t>PROFESIONAL BIÓLOGO ÉNFASIS EN RESTAURACIÓN ECOLÓGICA</t>
  </si>
  <si>
    <t>1.2.2</t>
  </si>
  <si>
    <t>PROFESIONAL BIOLOGO DE FAUNA</t>
  </si>
  <si>
    <t>1.2.3</t>
  </si>
  <si>
    <t>PROFESIONAL BIOLOGO DE FLORA</t>
  </si>
  <si>
    <t>1.2.4</t>
  </si>
  <si>
    <t>TÉCNICO EN CIENCIAS AMBIENTALES</t>
  </si>
  <si>
    <t>SubTotal 2, Restauración</t>
  </si>
  <si>
    <t>1.3</t>
  </si>
  <si>
    <t xml:space="preserve">USO SOSTENIBLE </t>
  </si>
  <si>
    <t>1.3.1</t>
  </si>
  <si>
    <t>PROFESIONAL AGROECOSISTEMAS</t>
  </si>
  <si>
    <t>1.3.2</t>
  </si>
  <si>
    <t>PROFESIONAL EN RECUPERACIÓN DE SUELOS</t>
  </si>
  <si>
    <t>1.3.3</t>
  </si>
  <si>
    <t>ESPECIALISTA EN GESTIÓN DE RIESGOS NATURALES</t>
  </si>
  <si>
    <t>SubTotal 3 PRÁCTICAS SOSTENIBLES</t>
  </si>
  <si>
    <t>1.4</t>
  </si>
  <si>
    <t>GESTIÓN PARA EL FORTALECIMIENTO TERRITORIAL</t>
  </si>
  <si>
    <t>1.4.1</t>
  </si>
  <si>
    <t>PROFESIONAL SOCIAL I</t>
  </si>
  <si>
    <t>1.4.2</t>
  </si>
  <si>
    <t>PROFESIONAL SOCIAL II</t>
  </si>
  <si>
    <t xml:space="preserve">SubTotal 4 GESTIÓN PARA EL FORTALECIMIENTO DEL TERRITORIO </t>
  </si>
  <si>
    <t>Sub total (1+2+3+4)</t>
  </si>
  <si>
    <t xml:space="preserve">TOTAL CAPITULO 1: GESTIÓN INTEGRAL </t>
  </si>
  <si>
    <t>CAPÍTULO 2: GESTIÓN PARA EL FORTALECIMIENTO TERRITORIAL</t>
  </si>
  <si>
    <t>2.1</t>
  </si>
  <si>
    <t>RECONOCIMIENTO DEL TERRITORIO</t>
  </si>
  <si>
    <t>DESCRIPCIÓN</t>
  </si>
  <si>
    <t>UNIDAD</t>
  </si>
  <si>
    <t xml:space="preserve">CANTIDAD </t>
  </si>
  <si>
    <t>VALOR UNITARIO</t>
  </si>
  <si>
    <t xml:space="preserve">TOTAL VALOR </t>
  </si>
  <si>
    <t>2.1.1</t>
  </si>
  <si>
    <t>Presentación y validación del proyecto con las instituciones y las comunidades (JP tipo 1)</t>
  </si>
  <si>
    <t>2.1.1.1</t>
  </si>
  <si>
    <t>Refrigerio</t>
  </si>
  <si>
    <t>Unidad</t>
  </si>
  <si>
    <t>2.1.1.2</t>
  </si>
  <si>
    <t xml:space="preserve">Kit Material Pedagógico </t>
  </si>
  <si>
    <t>Kit</t>
  </si>
  <si>
    <t>2.1.1.3</t>
  </si>
  <si>
    <t>Alquiler de Salón</t>
  </si>
  <si>
    <t>Subtotal 2.1.1 Presentación y validación del proyecto con las instituciones y las comunidades (JP tipo 1)</t>
  </si>
  <si>
    <t>2.1.2</t>
  </si>
  <si>
    <t>Diagnóstico territorial comunitario de la microcuenca (JP Tipo 1; JP Tipo 2)</t>
  </si>
  <si>
    <t>2.1.2.1</t>
  </si>
  <si>
    <t>2.1.2.2</t>
  </si>
  <si>
    <t xml:space="preserve">Refrigerios </t>
  </si>
  <si>
    <t xml:space="preserve">Unidad </t>
  </si>
  <si>
    <t>2.1.2.3</t>
  </si>
  <si>
    <t>Subtotal 2.1.2 Diagnóstico territorial comunitario de la microcuencas (JP Tipo 1; JP Tipo 2)</t>
  </si>
  <si>
    <t>2.1.3</t>
  </si>
  <si>
    <t>Identificación de actores y caracterización de los conflictos socioambientales en la microcuenca. (JP Tipo 1)</t>
  </si>
  <si>
    <t>2.1.3.1</t>
  </si>
  <si>
    <t xml:space="preserve">Kit </t>
  </si>
  <si>
    <t>2.1.3.2</t>
  </si>
  <si>
    <t>Refrigerios</t>
  </si>
  <si>
    <t>2.1.3.3</t>
  </si>
  <si>
    <t>Subtotal 2.1.3 Identificación de actores y caracterización de los conflictos socioambientales en la microcuenca. (JP Tipo 1)</t>
  </si>
  <si>
    <t>2.1.4</t>
  </si>
  <si>
    <t>Jornada intergeneracional, puesta en común de la visión del territorio (JP Tipo 6)</t>
  </si>
  <si>
    <t>2.1.4.1</t>
  </si>
  <si>
    <t>2.1.4.2</t>
  </si>
  <si>
    <t>Alquiler de Sonido</t>
  </si>
  <si>
    <t>2.1.4.3</t>
  </si>
  <si>
    <t>2.1.4.4</t>
  </si>
  <si>
    <t>Estación de Café</t>
  </si>
  <si>
    <t>Subtotal 2.1.4  Jornada intergeneracional, puesta en común de la visión del territorio (JP Tipo 6)</t>
  </si>
  <si>
    <t>2.2</t>
  </si>
  <si>
    <t>EMPODERAMIENTO DE ACTORES LOCALES EN LA GESTIÓN TERRITORIAL</t>
  </si>
  <si>
    <t>2.2.1</t>
  </si>
  <si>
    <t>Fortalecimiento y acompañamiento a la apropiación territorial de actores sociales (JP Tipo 1; JP Tipo 3; JP Tipo 4; JP Tipo 8)</t>
  </si>
  <si>
    <t>2.2.1.1</t>
  </si>
  <si>
    <t>Kit Material Pedagógico</t>
  </si>
  <si>
    <t>2.2.1.2</t>
  </si>
  <si>
    <t>2.2.1.3</t>
  </si>
  <si>
    <t xml:space="preserve">Almuerzo </t>
  </si>
  <si>
    <t>2.2.1.4</t>
  </si>
  <si>
    <t>2.2.1.5</t>
  </si>
  <si>
    <t>Transporte Municipal Ida y Vuelta</t>
  </si>
  <si>
    <t>Sub total 2.2.1 Fortalecimiento y acompañamiento a la apropiación territorial de actores sociales (JP Tipo 1; JP Tipo 3; JP Tipo 4; JP Tipo 8)</t>
  </si>
  <si>
    <t>2.3</t>
  </si>
  <si>
    <t>ESPACIOS DE INTERCAMBIO DE SABERES Y GENERACIÓN DE CONOCIMIENTO</t>
  </si>
  <si>
    <t>2.3.1</t>
  </si>
  <si>
    <t>Intercambio de saberes, aprendizaje y generación de conocimiento asociado a las actividades de restauración y uso sostenible (JP Tipo 1; JP Tipo 2; JP Tipo 4; JP Tipo 8)</t>
  </si>
  <si>
    <t>2.3.1.1</t>
  </si>
  <si>
    <t>2.3.1.2</t>
  </si>
  <si>
    <t>2.3.1.3</t>
  </si>
  <si>
    <t>2.3.1.4</t>
  </si>
  <si>
    <t xml:space="preserve">Almuerzos </t>
  </si>
  <si>
    <t>Subtotal 2.3.1 Intercambio de saberes, aprendizaje y generación de conocimiento asociado a las actividades de restauración y uso sostenible (JP Tipo 1; JP Tipo 2; JP Tipo 4; JP Tipo 8)</t>
  </si>
  <si>
    <t>2.3.2</t>
  </si>
  <si>
    <t>Jornadas de intercambio, visitas experiencias exitosas, intercambios de conocimiento.  (visitas a proyectos exitosos: acueductos veredales, productores, pry de restauración, suelos) (JP Tipo 5)</t>
  </si>
  <si>
    <t>2.3.2.1</t>
  </si>
  <si>
    <t>2.3.2.2</t>
  </si>
  <si>
    <t>2.3.2.3</t>
  </si>
  <si>
    <t>Almuerzo</t>
  </si>
  <si>
    <t>2.3.2.4</t>
  </si>
  <si>
    <t>Cena</t>
  </si>
  <si>
    <t>2.3.2.5</t>
  </si>
  <si>
    <t>Transporte Intermunicipal Ida y Vuelta (40 personas)</t>
  </si>
  <si>
    <t>Subtotal 2.3.2 Jornadas de intercambio, visitas experiencias exitosas, intercambios de conocimiento.  (visitas a proyectos exitosos: acueductos veredales, productores, pry de restauración, suelos) (JP Tipo 5)</t>
  </si>
  <si>
    <t>2.3.3</t>
  </si>
  <si>
    <t>Actividades lúdicas a partir del foco comunitario y reapropiación de la microcuenca (exposiciones fotográficas, audiovisuales, capacitación, registro audiovisual)</t>
  </si>
  <si>
    <t>2.3.3.1</t>
  </si>
  <si>
    <t>2.3.3.2</t>
  </si>
  <si>
    <t>2.3.3.3</t>
  </si>
  <si>
    <t>Videobeam</t>
  </si>
  <si>
    <t>2.3.3.4</t>
  </si>
  <si>
    <t xml:space="preserve">Estación de café </t>
  </si>
  <si>
    <t>2.3.3.5</t>
  </si>
  <si>
    <t>Capacitación Audiovisual</t>
  </si>
  <si>
    <t>2.3.3.6</t>
  </si>
  <si>
    <t>Impresión Fotografías</t>
  </si>
  <si>
    <t>2.3.3.7</t>
  </si>
  <si>
    <t>Subtotal 2.3.3 Actividades lúdicas a partir del foco comunitario y reapropiación de la microcuenca (exposiciones fotográficas, audiovisuales, capacitación, registro audiovisual)</t>
  </si>
  <si>
    <t>2.3.4</t>
  </si>
  <si>
    <t>Jornadas pedagógicas de aprendizaje experencial con la comunidad educativa (JP Tipo 2; JP Tipo 8, Mural)</t>
  </si>
  <si>
    <t>2.3.4.1</t>
  </si>
  <si>
    <t>2.3.4.2</t>
  </si>
  <si>
    <t>2.3.4.3</t>
  </si>
  <si>
    <t>Vinilos de exterior</t>
  </si>
  <si>
    <t>Subtotal 2.3.4 Jornadas pedagógicas de aprendizaje experencial con la comunidad educativa (JP Tipo 2; JP Tipo 8, Mural)</t>
  </si>
  <si>
    <t>2.3.5</t>
  </si>
  <si>
    <t xml:space="preserve">Instrumentos de comunicaciòn </t>
  </si>
  <si>
    <t>2.3.5.1</t>
  </si>
  <si>
    <t>Cartilla Digital</t>
  </si>
  <si>
    <t>2.3.5.2</t>
  </si>
  <si>
    <t>Filmación de Video (20 Horas sin edición) y Fotografía</t>
  </si>
  <si>
    <t>Subtotal 2.3.5 Instrumentos de comunicación</t>
  </si>
  <si>
    <t>2.4</t>
  </si>
  <si>
    <t xml:space="preserve"> SOSTENIBILIDAD DEL PROYECTO</t>
  </si>
  <si>
    <t>2.4.1</t>
  </si>
  <si>
    <t>Acuerdos socioambientales con propietarios en zonas a intervenir: restauración, rehabilitación y uso sostenible (JP Tipo 2)</t>
  </si>
  <si>
    <t>2.4.1.1</t>
  </si>
  <si>
    <t>2.4.1.2</t>
  </si>
  <si>
    <t xml:space="preserve">Refrigerio </t>
  </si>
  <si>
    <t>Subtotal 2.4.1 Acuerdos socioambientales con propietarios en zonas a intervenir: restauración, rehabilitación y uso sostenible (JP Tipo 2)</t>
  </si>
  <si>
    <t>2.4.2</t>
  </si>
  <si>
    <t>Seguimiento, evaluación comunitaria al proyecto y sostenibilidad de la microcuenca (JP Tipo 1; JP Tipo 2)</t>
  </si>
  <si>
    <t>2.4.2.1</t>
  </si>
  <si>
    <t>2.4.2.2</t>
  </si>
  <si>
    <t>2.4.2.3</t>
  </si>
  <si>
    <t>Alquiler de Salon</t>
  </si>
  <si>
    <t>Subtotal 2.4.2 Seguimiento, evaluación comunitaria al proyecto y sostenibilidad de la microcuenca (JP Tipo 1; JP Tipo 2)</t>
  </si>
  <si>
    <t>2.4.3</t>
  </si>
  <si>
    <t>Formulación Plan de vida de la microcuenca formulado por los actores sociales, instituccionales, formulación de indicadores de sostenibilidad por microcuencas. (JP Tipo 1; JP Tipo 6)</t>
  </si>
  <si>
    <t>2.4.3.1</t>
  </si>
  <si>
    <t>2.4.3.2</t>
  </si>
  <si>
    <t>2.4.3.3</t>
  </si>
  <si>
    <t>2.4.3.4</t>
  </si>
  <si>
    <t>2.4.3.5</t>
  </si>
  <si>
    <t>Subtotal 2.4.3 Formulación Plan de vida de la microcuenca formulado por los actores sociales, instituccionales, formulación de indicadores de sostenibilidad por microcuencas. (JP Tipo 1; JP Tipo 6)</t>
  </si>
  <si>
    <t>2.4.4</t>
  </si>
  <si>
    <t>Acuerdos y compromisos de corresponsabilidad entre actores sociales y las instituciones a lo largo del proyecto. (JP Tipo 8)</t>
  </si>
  <si>
    <t>2.4.4.1</t>
  </si>
  <si>
    <t>2.4.4.2</t>
  </si>
  <si>
    <t>Subtotal 2.4.4  Acuerdos y compromisos de corresponsabilidad entre actores sociales y las instituciones a lo largo del proyecto. (JP Tipo 8)</t>
  </si>
  <si>
    <t>TOTAL  CAPÍTULO 2:  GESTIÓN PARA EL FORTALECIMIENTO TERRITORIAL</t>
  </si>
  <si>
    <t>CAPÍTULO 3: RESTAURACIÓN ECOLÓGICA</t>
  </si>
  <si>
    <t>3.1</t>
  </si>
  <si>
    <t xml:space="preserve">SIEMBRA DE ÁREAS DE REHABILITACIÓN </t>
  </si>
  <si>
    <t xml:space="preserve">No. </t>
  </si>
  <si>
    <t xml:space="preserve">CANTIDAD HA  x EJECUTAR 
</t>
  </si>
  <si>
    <t>VALOR TOTAL</t>
  </si>
  <si>
    <t>3.1.1</t>
  </si>
  <si>
    <t>MANO DE OBRA</t>
  </si>
  <si>
    <t>3.1.1.1</t>
  </si>
  <si>
    <t xml:space="preserve">Trazado </t>
  </si>
  <si>
    <t xml:space="preserve"> jornal  </t>
  </si>
  <si>
    <t>3.1.1.2</t>
  </si>
  <si>
    <t xml:space="preserve">Ahoyado </t>
  </si>
  <si>
    <t>3.1.1.3</t>
  </si>
  <si>
    <t>Aplicación de abonos e hidrorretenedor</t>
  </si>
  <si>
    <t>3.1.1.4</t>
  </si>
  <si>
    <t xml:space="preserve">Transporte interno de insumos. </t>
  </si>
  <si>
    <t>3.1.1.5</t>
  </si>
  <si>
    <t xml:space="preserve">Siembra  </t>
  </si>
  <si>
    <t>3.1.1.6</t>
  </si>
  <si>
    <t xml:space="preserve">Tutorado </t>
  </si>
  <si>
    <t>3.1.1.7</t>
  </si>
  <si>
    <t>Riego e hidratación hidrorretenedor</t>
  </si>
  <si>
    <t>3.1.1.8</t>
  </si>
  <si>
    <t>Plateo, aporque y control de malezas</t>
  </si>
  <si>
    <t xml:space="preserve">Subtotal 3.1.1 Mano de obra siembra áreas de rehabilitación </t>
  </si>
  <si>
    <t>3.1.2</t>
  </si>
  <si>
    <t>INSUMOS</t>
  </si>
  <si>
    <t>UNDIDAD</t>
  </si>
  <si>
    <t xml:space="preserve">VALOR UNITARIO </t>
  </si>
  <si>
    <t>VALOR TOTAL PROYECTO</t>
  </si>
  <si>
    <t>3.1.2.1</t>
  </si>
  <si>
    <t>Suministro especies vegetales pioneras altura entre 70 - 90 cm (incluye transporte en sitio)</t>
  </si>
  <si>
    <t>unidad</t>
  </si>
  <si>
    <t>3.1.2.2</t>
  </si>
  <si>
    <t>Suministro especies vegetales secundarias iniciales altura entre 70 - 90 cm (incluye transporte en sitio)</t>
  </si>
  <si>
    <t>3.1.2.3</t>
  </si>
  <si>
    <t>Suministro especies vegetales secundarias tardías altura entre 70 - 90 cm (incluye transporte en sitio)</t>
  </si>
  <si>
    <t>3.1.2.4</t>
  </si>
  <si>
    <t xml:space="preserve">Ramas de madera (3 cm x 3 cm x 2 m) </t>
  </si>
  <si>
    <t>3.1.2.5</t>
  </si>
  <si>
    <t>Abono orgánico (compostado madurado y estabilizado)</t>
  </si>
  <si>
    <t>bulto</t>
  </si>
  <si>
    <t>3.1.2.6</t>
  </si>
  <si>
    <t>Hidrorretenedor</t>
  </si>
  <si>
    <t>kg</t>
  </si>
  <si>
    <t>3.1.2.7</t>
  </si>
  <si>
    <t>Alquiler motobomba a gasolina 2 pulgadas</t>
  </si>
  <si>
    <t>día</t>
  </si>
  <si>
    <t>3.1.2.8</t>
  </si>
  <si>
    <t>Gasolina (Operación motobomba)</t>
  </si>
  <si>
    <t>litro</t>
  </si>
  <si>
    <t xml:space="preserve">Subtotal 3.1.2 insumos costos directos áreas de rehabilitación </t>
  </si>
  <si>
    <t>3.1.3</t>
  </si>
  <si>
    <t>COSTOS INDIRECTOS SIEMBRA  DE ÁREAS DE REHABILITACIÓN</t>
  </si>
  <si>
    <t>3.1.3.1</t>
  </si>
  <si>
    <t xml:space="preserve">Herramientas = (5% MANO DE OBRA. establecimiento de rehabilitación </t>
  </si>
  <si>
    <t>3.1.3.2</t>
  </si>
  <si>
    <t>Transporte  (8% INSUMOS. establecimiento de rehabilitación</t>
  </si>
  <si>
    <t xml:space="preserve"> </t>
  </si>
  <si>
    <t>Costos Indirectos establecimiento de rehabilitación</t>
  </si>
  <si>
    <t> </t>
  </si>
  <si>
    <t xml:space="preserve">Costos directos establecimiento de rehabilitación </t>
  </si>
  <si>
    <t xml:space="preserve">Subtotal 3.1 siembra de área de rehabilitación costos directos e indirectos </t>
  </si>
  <si>
    <t>3.2</t>
  </si>
  <si>
    <t>SIEMBRA DE ÁREAS DE ENRIQUECIMIENTO</t>
  </si>
  <si>
    <t xml:space="preserve">VALOR TOTAL </t>
  </si>
  <si>
    <t>3.2.1</t>
  </si>
  <si>
    <t>3.2.1.1</t>
  </si>
  <si>
    <t>Ahoyado</t>
  </si>
  <si>
    <t xml:space="preserve">jornal </t>
  </si>
  <si>
    <t>3.2.1.2</t>
  </si>
  <si>
    <t>3.2.1.3</t>
  </si>
  <si>
    <t>Transporte interno de insumos.</t>
  </si>
  <si>
    <t>3.2.1.4</t>
  </si>
  <si>
    <t>Siembra</t>
  </si>
  <si>
    <t>3.2.1.5</t>
  </si>
  <si>
    <t>3.2.1.6</t>
  </si>
  <si>
    <t>3.2.1.7</t>
  </si>
  <si>
    <t>Subtotal 3.2.1 mano de obra siembra de áreas de enriquecimiento</t>
  </si>
  <si>
    <t>3.2.2</t>
  </si>
  <si>
    <t>3.2.2.1</t>
  </si>
  <si>
    <t>3.2.2.2</t>
  </si>
  <si>
    <t>3.2.2.3</t>
  </si>
  <si>
    <t>3.2.2.4</t>
  </si>
  <si>
    <t>Hidroretenedor</t>
  </si>
  <si>
    <t>3.2.2.5</t>
  </si>
  <si>
    <t>3.2.2.6</t>
  </si>
  <si>
    <t>Subtotal 3.2.2 insumos siembra de áreas de enriquecimiento</t>
  </si>
  <si>
    <t>3.2.3</t>
  </si>
  <si>
    <t>COSTOS INDIRECTOS SIEMBRA DE ÁREAS DE ENRIQUECIMIENTO</t>
  </si>
  <si>
    <t>3.2.3.1</t>
  </si>
  <si>
    <t xml:space="preserve">Herramientas = (5% MANO DE OBRA. establecimiento en planicie lacustre). </t>
  </si>
  <si>
    <t>3.2.3.2</t>
  </si>
  <si>
    <t xml:space="preserve">Transporte  (8% INSUMOS. establecimiento en planicie lacustre). </t>
  </si>
  <si>
    <t>Costos Indirectos siembra de áreas de enriquecimiento</t>
  </si>
  <si>
    <t>Costos directos siembra de áreas de enriquecimiento</t>
  </si>
  <si>
    <t>Subtotal 3.2 siembra de áreas de enriquecimiento costos directos e indirectos</t>
  </si>
  <si>
    <t>3.3</t>
  </si>
  <si>
    <t>AISLAMIENTO CERCA DE ALAMBRE DE PÚAS</t>
  </si>
  <si>
    <t>Valor / km  (1000ml)</t>
  </si>
  <si>
    <t>Valor total por metro  ($)</t>
  </si>
  <si>
    <t xml:space="preserve">METROS LINEALES  x EJECUTAR </t>
  </si>
  <si>
    <t>Cantidad</t>
  </si>
  <si>
    <t>Valor unitario por jornal</t>
  </si>
  <si>
    <t>3.3.1</t>
  </si>
  <si>
    <t>3.3.1.1</t>
  </si>
  <si>
    <t>Trazado</t>
  </si>
  <si>
    <t>Jornal</t>
  </si>
  <si>
    <t>3.3.1.2</t>
  </si>
  <si>
    <t>3.3.1.3</t>
  </si>
  <si>
    <t>Transporte menor</t>
  </si>
  <si>
    <t>3.3.1.4</t>
  </si>
  <si>
    <t>Inmunización de postes</t>
  </si>
  <si>
    <t>3.3.1.5</t>
  </si>
  <si>
    <t>Hincado o apizonado de postes</t>
  </si>
  <si>
    <t>3.3.1.6</t>
  </si>
  <si>
    <t>Pintado de Alambre</t>
  </si>
  <si>
    <t>3.3.1.7</t>
  </si>
  <si>
    <t>Templado y grapado</t>
  </si>
  <si>
    <t>Subtotal 3.3.1 mano de obra aislamiento cerca de alambre de púas</t>
  </si>
  <si>
    <t>3.3.2</t>
  </si>
  <si>
    <t xml:space="preserve">INSUMOS </t>
  </si>
  <si>
    <t xml:space="preserve">METROS LINEALES  x EJECUTAR 
</t>
  </si>
  <si>
    <t>3.3.2.1</t>
  </si>
  <si>
    <t>Alambre de pua (Rollo de 350) 12,5"</t>
  </si>
  <si>
    <t>rollo</t>
  </si>
  <si>
    <t>3.3.2.2</t>
  </si>
  <si>
    <t>Postes cuatro filos (0,1X0,1X2m)</t>
  </si>
  <si>
    <t>3.3.2.3</t>
  </si>
  <si>
    <t>Pie Amigos (0,1X0,1X2m)</t>
  </si>
  <si>
    <t>3.3.2.4</t>
  </si>
  <si>
    <t>Inmunizante madera (galones)</t>
  </si>
  <si>
    <t>galón</t>
  </si>
  <si>
    <t>3.3.2.5</t>
  </si>
  <si>
    <t>Pintura acrilica (Galones)</t>
  </si>
  <si>
    <t>3.3.2.6</t>
  </si>
  <si>
    <t>Disolvente (Galón)</t>
  </si>
  <si>
    <t>3.3.2.7</t>
  </si>
  <si>
    <t>Grapa de 1 1/4X9 pulgadas (Kilo)</t>
  </si>
  <si>
    <t>3.3.2.8</t>
  </si>
  <si>
    <t>Puntillas (libras)</t>
  </si>
  <si>
    <t>libra</t>
  </si>
  <si>
    <t>Subtotal 3.3.2 insumos aislamiento cerca de alambre de púas</t>
  </si>
  <si>
    <t>3.3.3</t>
  </si>
  <si>
    <t>COSTOS INDIRECTOS AISLAMIENTO CERCA DE ALAMBRE DE PÚAS</t>
  </si>
  <si>
    <t>Valor metro lineal  ($)</t>
  </si>
  <si>
    <t xml:space="preserve">VALOR TOTAL PROYECTO </t>
  </si>
  <si>
    <t>3.3.3.1</t>
  </si>
  <si>
    <t xml:space="preserve">Herramientas = (5% MANO DE OBRA. asilamiento cerca de alambre de púas). </t>
  </si>
  <si>
    <t>3.3.3.2</t>
  </si>
  <si>
    <t xml:space="preserve">Transporte  (8% INSUMOS. asilamiento cerca de alambre de púas). </t>
  </si>
  <si>
    <t>Costos Indirectos asilamiento cerca de alambre de púas</t>
  </si>
  <si>
    <t>Costos directos asilamiento cerca de alambre de púas</t>
  </si>
  <si>
    <t xml:space="preserve">Subtotal 3.3  Asilamiento cerca de alambre de púas costos directos e indirectos </t>
  </si>
  <si>
    <t>3.4</t>
  </si>
  <si>
    <t>PRIMER MANTENIMIENTO ÁREA DE REHABILITACIÓN</t>
  </si>
  <si>
    <t>3.4.1</t>
  </si>
  <si>
    <t>3.4.1.1</t>
  </si>
  <si>
    <t>jornal</t>
  </si>
  <si>
    <t>3.4.1.2</t>
  </si>
  <si>
    <t xml:space="preserve">Aplicación de abonos </t>
  </si>
  <si>
    <t xml:space="preserve">jornal  </t>
  </si>
  <si>
    <t>3.4.1.3</t>
  </si>
  <si>
    <t>Resiembra</t>
  </si>
  <si>
    <t>3.4.1.4</t>
  </si>
  <si>
    <t>Retutorado</t>
  </si>
  <si>
    <t>3.4.1.5</t>
  </si>
  <si>
    <t xml:space="preserve">Riego </t>
  </si>
  <si>
    <t>3.4.1.6</t>
  </si>
  <si>
    <t>Transporte interno de insumos</t>
  </si>
  <si>
    <t>Subtotal 3.4.1 mano de obra primer mantenimiento áreas de rehabilitación</t>
  </si>
  <si>
    <t>3.4.2</t>
  </si>
  <si>
    <t>3.4.2.1</t>
  </si>
  <si>
    <t>3.4.2.2</t>
  </si>
  <si>
    <t>3.4.2.3</t>
  </si>
  <si>
    <t>3.4.2.4</t>
  </si>
  <si>
    <t>3.4.2.5</t>
  </si>
  <si>
    <t>3.4.2.6</t>
  </si>
  <si>
    <t>3.4.2.7</t>
  </si>
  <si>
    <t>Subtotal 3.4.2 insumos primer mantenimiento áreas de rehabilitación</t>
  </si>
  <si>
    <t>3.4.3</t>
  </si>
  <si>
    <t>COSTOS INDIRECTOS ESTABLECIMIENTO DE REHABILITACIÓN EN FAJINAS</t>
  </si>
  <si>
    <t>3.4.3.1</t>
  </si>
  <si>
    <t xml:space="preserve">Herramientas = (5% MANO DE OBRA  primer mantenimiento áreas de rehabilitación ). </t>
  </si>
  <si>
    <t>3.4.3.2</t>
  </si>
  <si>
    <t xml:space="preserve">Transporte  (8% INSUMOS.  primer mantenimiento áreas de rehabilitación)). </t>
  </si>
  <si>
    <t>Costos Indirectos  primer mantenimiento áreas de rehabilitación</t>
  </si>
  <si>
    <t>Costos directos  primer mantenimiento áreas de rehabilitación</t>
  </si>
  <si>
    <t>Subtotal 3.4.primer mantenimiento áreas de rehabilitación costos directos e indirectos</t>
  </si>
  <si>
    <t>3.5</t>
  </si>
  <si>
    <t xml:space="preserve">PRIMER MANTENIMIENTO ÁREA DE ENRIQUECIMIENTO </t>
  </si>
  <si>
    <t>3.5.1</t>
  </si>
  <si>
    <t>3.5.1.1</t>
  </si>
  <si>
    <t>3.5.1.2</t>
  </si>
  <si>
    <t>3.5.1.3</t>
  </si>
  <si>
    <t>3.5.1.4</t>
  </si>
  <si>
    <t>3.5.1.5</t>
  </si>
  <si>
    <t>3.5.1.6</t>
  </si>
  <si>
    <t>Subtotal 3.5.1 Mano de obra primer mantenimiento área de enriquecimiento</t>
  </si>
  <si>
    <t>3.5.2</t>
  </si>
  <si>
    <t>3.5.2.1</t>
  </si>
  <si>
    <t>3.5.2.2</t>
  </si>
  <si>
    <t>3.5.2.3</t>
  </si>
  <si>
    <t>3.5.2.4</t>
  </si>
  <si>
    <t>3.5.2.5</t>
  </si>
  <si>
    <t>Subtotal 3.5.2 Insumos primer mantenimiento área de enriquecimiento</t>
  </si>
  <si>
    <t>3.5.3</t>
  </si>
  <si>
    <t>COSTOS INDIRECTOS PRIMER MANTENIMIENTO REHABILITACIÓN ÁREA DE ENRIQUECIMIENTO</t>
  </si>
  <si>
    <t>3.5.3.1</t>
  </si>
  <si>
    <t>Herramientas = (5% MANO DE OBRA primer mantenimiento área de enriquecimiento</t>
  </si>
  <si>
    <t>3.5.3.2</t>
  </si>
  <si>
    <t>Transporte  (8% INSUMOS primer mantenimiento área de enriquecimiento</t>
  </si>
  <si>
    <t>Costos Indirectos  primer mantenimiento área de enriquecimiento</t>
  </si>
  <si>
    <t>Costos directos primer mantenimiento área de enriquecimiento</t>
  </si>
  <si>
    <t>Subtotal 3.5  primer mantenimiento área de enriquecimientocostos directos e indirectos</t>
  </si>
  <si>
    <t>3.6</t>
  </si>
  <si>
    <t xml:space="preserve">SEGUNDO MANTENIMIENTO ÁREA DE REHABILITACIÓN </t>
  </si>
  <si>
    <t>3..6.1</t>
  </si>
  <si>
    <t>3.6.1.1</t>
  </si>
  <si>
    <t>3.6.1.2</t>
  </si>
  <si>
    <t>3.6.1.3</t>
  </si>
  <si>
    <t>3.6.1.4</t>
  </si>
  <si>
    <t xml:space="preserve">Subtotal 3.6.1 Mano de obra segundo mantenimiento área de Rehabilitación </t>
  </si>
  <si>
    <t>3.6.2</t>
  </si>
  <si>
    <t>3.6.2.1</t>
  </si>
  <si>
    <t>3.6.2.2</t>
  </si>
  <si>
    <t>3.6.2.3</t>
  </si>
  <si>
    <t>3.6.2.4</t>
  </si>
  <si>
    <t xml:space="preserve">Subtotal 3.6.2 Insumos segundo mantenimiento área de rehabilitación </t>
  </si>
  <si>
    <t>3.6.3</t>
  </si>
  <si>
    <t xml:space="preserve">COSTOS INDIRECTOS SEGUNDO MANTENIMIENTO ÁREA  REHABILITACIÓN </t>
  </si>
  <si>
    <t>3.6.3.1</t>
  </si>
  <si>
    <t xml:space="preserve">Herramientas = (5% MANO DE OBRA segundo mantenimiento área de rehabilitación </t>
  </si>
  <si>
    <t>3.6.3.2</t>
  </si>
  <si>
    <t xml:space="preserve">Transporte  (8% INSUMOS segundo mantenimiento área de rehabilitación </t>
  </si>
  <si>
    <t xml:space="preserve">Costos Indirectos segundo mantenimiento área de rehabilitación </t>
  </si>
  <si>
    <t xml:space="preserve">Costos directos segundo mantenimiento área de rehabilitación </t>
  </si>
  <si>
    <t xml:space="preserve">Subtotal 3.6 segundo mantenimiento área rehabilitación </t>
  </si>
  <si>
    <t>3.7</t>
  </si>
  <si>
    <t xml:space="preserve">SEGUNDO MANTENIMIENTO ÁREA DE ENRIQUECIMIENTO </t>
  </si>
  <si>
    <t>3.7.1</t>
  </si>
  <si>
    <t>3.7.1.1</t>
  </si>
  <si>
    <t>3.7.1.2</t>
  </si>
  <si>
    <t>3.7.1.3</t>
  </si>
  <si>
    <t>3.7.1.4</t>
  </si>
  <si>
    <t xml:space="preserve">Subtotal 3.7.1 mano de obra segundo mantenimiento área de enriquecimiento </t>
  </si>
  <si>
    <t>3.7.2</t>
  </si>
  <si>
    <t>3.7.2.1</t>
  </si>
  <si>
    <t>3.7.2.2</t>
  </si>
  <si>
    <t>3.7.2.3</t>
  </si>
  <si>
    <t>3.7.3</t>
  </si>
  <si>
    <t>COSTOS INDIRECTOS SEGUNDO MANTENIMIENTO DE ÁREA DE ENRIQUECIMIENTO)</t>
  </si>
  <si>
    <t>3.7.3.1</t>
  </si>
  <si>
    <t>Herramientas = (5% MANO DE OBRA segundo mantenimiento área de enriquecimiento</t>
  </si>
  <si>
    <t>3.7.3.2</t>
  </si>
  <si>
    <t xml:space="preserve">Transporte  (8% INSUMOS. segundo mantenimiento área de enriquecimiento). </t>
  </si>
  <si>
    <t>Costos Indirectos segundo mantenimiento enriquecimiento</t>
  </si>
  <si>
    <t>Costos directos segundo mantenimiento enriquecimiento</t>
  </si>
  <si>
    <t>Subtotal 3.7  segundo mantenimiento enriquecimiento costos directos e indirectos</t>
  </si>
  <si>
    <t>3.8</t>
  </si>
  <si>
    <t xml:space="preserve">PERCHAS ARTIFICIALES </t>
  </si>
  <si>
    <t>3.8.1</t>
  </si>
  <si>
    <t>3.8.1.1</t>
  </si>
  <si>
    <t xml:space="preserve">Instalación Perchas artificiales </t>
  </si>
  <si>
    <t xml:space="preserve">Subtotal 3.8.1 mano de obra  Instalación Perchas artificiales </t>
  </si>
  <si>
    <t>3.8.2</t>
  </si>
  <si>
    <t>3.8.2.1</t>
  </si>
  <si>
    <t>Vara de guadua con un diámetro de 12 cm a 14 cm, de 8 metros de larga</t>
  </si>
  <si>
    <t>m</t>
  </si>
  <si>
    <t>3.8.2.2</t>
  </si>
  <si>
    <t>Ramas de madera de diferentes longitudes (7m, 5m y 3m).  </t>
  </si>
  <si>
    <t>3.8.2.3</t>
  </si>
  <si>
    <t>Alambre cal 12,5/50m para perchas</t>
  </si>
  <si>
    <t>Subtotal  3.8.2 insumos Perchas artificiales</t>
  </si>
  <si>
    <t>3.8.3</t>
  </si>
  <si>
    <t>COSTOS INDIRECTOS</t>
  </si>
  <si>
    <t>3.8.3.1</t>
  </si>
  <si>
    <t xml:space="preserve">Herramientas = (5% MANO DE OBRA segundo mantenimiento conectores ecosistémicos (cercas vivas cerca de púa). </t>
  </si>
  <si>
    <t>3.8.3.2</t>
  </si>
  <si>
    <t xml:space="preserve">Transporte  (8% INSUMOS. segundo mantenimiento conectores ecosistémicos (cercas vivas cerca de púa). </t>
  </si>
  <si>
    <t>3.8.3.3</t>
  </si>
  <si>
    <t xml:space="preserve">Costos Indirectos </t>
  </si>
  <si>
    <t>3.8.3.4</t>
  </si>
  <si>
    <t xml:space="preserve">Costos directos </t>
  </si>
  <si>
    <t>Subtotal 3.8. 3 Perchas artificiales  costos directos e indirectos</t>
  </si>
  <si>
    <t>3.9</t>
  </si>
  <si>
    <t xml:space="preserve">REFUGIO DE ANFIBIOS Y REPTILES  </t>
  </si>
  <si>
    <t xml:space="preserve">ITEM </t>
  </si>
  <si>
    <t>3.9.1</t>
  </si>
  <si>
    <t xml:space="preserve">MANO DE OBRA </t>
  </si>
  <si>
    <t xml:space="preserve">Instalación Refugios propuestos (Reptiles y Anfibios) </t>
  </si>
  <si>
    <t>Subtotal Mano de obra 3.9.1</t>
  </si>
  <si>
    <t>3.9.2</t>
  </si>
  <si>
    <t>Subtotal insumos 3.9.2</t>
  </si>
  <si>
    <t>3.9.3.</t>
  </si>
  <si>
    <t xml:space="preserve">COSTOS INDIRECTOS REFUGIO DE ANFIBIOS Y REPTILES  </t>
  </si>
  <si>
    <t>3.9.3.1</t>
  </si>
  <si>
    <t>Herramientas = (5% MANO DE OBRA refugio de anfibios y reptiles ).</t>
  </si>
  <si>
    <t>3.9.3.2</t>
  </si>
  <si>
    <t xml:space="preserve">Transporte  (8% INSUMOS cerramiento alambre de púas ). </t>
  </si>
  <si>
    <t>Costos Indirectos</t>
  </si>
  <si>
    <t xml:space="preserve">Costos directos Instalación Refugios propuestos (Reptiles y Anfibios) </t>
  </si>
  <si>
    <t xml:space="preserve">Subtotal 3.9.3 Instalación Refugios propuestos (Reptiles y Anfibios) </t>
  </si>
  <si>
    <t>3.10</t>
  </si>
  <si>
    <t>REFUGIO PARA MAMIFEROS PEQUEÑOS (no voladores)</t>
  </si>
  <si>
    <t>3.10.1</t>
  </si>
  <si>
    <t>Mano de obra</t>
  </si>
  <si>
    <t xml:space="preserve">Instalación Madrigueras (mamíferos terrestres) </t>
  </si>
  <si>
    <t xml:space="preserve">Subtotal 3.10.1 Mano de obra Instalación Madrigueras (mamíferos terrestres) </t>
  </si>
  <si>
    <t>3.10.2</t>
  </si>
  <si>
    <t>Subtotal insumos 3.10.2</t>
  </si>
  <si>
    <t>3.10.3</t>
  </si>
  <si>
    <t>COSTOS INDIRECTOS REFUGIO PARA MAMIFEROS PEQUEÑOS (no voladores)</t>
  </si>
  <si>
    <t>3.10.3.1</t>
  </si>
  <si>
    <t xml:space="preserve">Herramientas = (5% MANO DE OBRA  insumos cerramiento eléctrico ). </t>
  </si>
  <si>
    <t>3.10.3.2</t>
  </si>
  <si>
    <t xml:space="preserve">Transporte  (8% INSUMOS  insumos cerramiento eléctrico ). </t>
  </si>
  <si>
    <t xml:space="preserve">Costos Indirectos  mano de obra Instalación Madrigueras (mamíferos terrestres) </t>
  </si>
  <si>
    <t xml:space="preserve">Costos directos  mano de obra  Madrigueras (mamíferos terrestres) </t>
  </si>
  <si>
    <t>Subtotal 3.10 REFUGIO PARA MAMIFEROS PEQUEÑOS (no voladores) costos directos e indirectos</t>
  </si>
  <si>
    <t>3.11</t>
  </si>
  <si>
    <t xml:space="preserve">VALLA   </t>
  </si>
  <si>
    <t>3.11.1</t>
  </si>
  <si>
    <t>3.11.1.1</t>
  </si>
  <si>
    <t>Valla informativa, con cuerpo en lámina galvanizada calibre 22, con dimensiones de 2 metros de largo, por 1 metro de ancho; base en concreto con un diametro de 0,40 metros y profundidad de 0,80 metros; torres rectangulares en hierro de 6 metros de alto, fabricadas y soldadas con ángulo de hierro de 2X3/16, tejida ángulo de hierro de 1X1/8; pintura anticorrosiva y decorativa de acuerdo a instrucciones de la Oficina de las Tecnologías de la Información y las Comunicaciones de la CAR; logo actual de la CAR; objeto y valor del contrato. Este valor incluye transporte e instalación.</t>
  </si>
  <si>
    <t>Costos directos Valla</t>
  </si>
  <si>
    <t>Subtotal 3.11 Mano de Obra Valla</t>
  </si>
  <si>
    <t>3.12</t>
  </si>
  <si>
    <t>.REGISTRO FÍLMICO (DRON DJI AIR 2s) CON PILOTO CERTIFICADO</t>
  </si>
  <si>
    <t>3. 12.1</t>
  </si>
  <si>
    <t>3.12.1.1</t>
  </si>
  <si>
    <t>Registro fílmico (dron Dji Air 2s)  con piloto certificado.
fotogrametría mediante Aeronave No Tripulada (UAS) dotada de cámara RGB</t>
  </si>
  <si>
    <t xml:space="preserve">Alquiler </t>
  </si>
  <si>
    <t xml:space="preserve">Costos directos dron </t>
  </si>
  <si>
    <t>Subtotal 3.12 INSUMO, Registro fílmico (dron Dji Air 2s)  con piloto certificado.</t>
  </si>
  <si>
    <t>TOTAL CAPÍTULO 3: RESTAURACIÓN ECOLÓGICA</t>
  </si>
  <si>
    <t xml:space="preserve">CAPÍTULO 4: USO SOSTENIBLE </t>
  </si>
  <si>
    <t>Impulsar acciones participativas en usos sostenible del suelo de acuerdo con su capacidad potencial</t>
  </si>
  <si>
    <t>4.1.1</t>
  </si>
  <si>
    <t>PLANES DE VIDA FAMILIAR EVALUACIÓN. Jornada pedagógica tipo 8</t>
  </si>
  <si>
    <t>4.1.1.1</t>
  </si>
  <si>
    <t>4.1.1.1.1</t>
  </si>
  <si>
    <t xml:space="preserve">Materiales pedagógicos </t>
  </si>
  <si>
    <t>4.1.1.1.2</t>
  </si>
  <si>
    <t>Subtotal 4.1.1.1. Insumos Planes de vida evaluación</t>
  </si>
  <si>
    <t>4.1.1.2</t>
  </si>
  <si>
    <t xml:space="preserve">COSTOS INDIRECTOS </t>
  </si>
  <si>
    <t>4.1.1.2.2</t>
  </si>
  <si>
    <t>Transporte  (8% INSUMOS.  Insumos Planes de vida evaluación)</t>
  </si>
  <si>
    <t>Costos Indirectos Planes de vida familiar evaluación</t>
  </si>
  <si>
    <t>Costos directos  Planes de vida familiar evaluación</t>
  </si>
  <si>
    <t>Subtotal 2.3  Planes de vida familiar evaluacióncostos directos e indirectos</t>
  </si>
  <si>
    <t>4.1.2</t>
  </si>
  <si>
    <t>PLANES DE VIDA FAMILIAR PLANIFICACIÓN. Jornada pedagógica tipo 8</t>
  </si>
  <si>
    <t>4.1.2.1</t>
  </si>
  <si>
    <t>4.1.2.1.1</t>
  </si>
  <si>
    <t>4.1.2.1.2</t>
  </si>
  <si>
    <t>4.1.2.2</t>
  </si>
  <si>
    <t>4.1.2.2.2</t>
  </si>
  <si>
    <t>4.2</t>
  </si>
  <si>
    <t>BEBEDEROS COMPLEMENTARIOS</t>
  </si>
  <si>
    <t>4.2.1</t>
  </si>
  <si>
    <t>4.2.1.1</t>
  </si>
  <si>
    <t>Instalacion del kit</t>
  </si>
  <si>
    <t xml:space="preserve">Subtotal 4.2. </t>
  </si>
  <si>
    <t>4.2.2</t>
  </si>
  <si>
    <t>4.2.2.1</t>
  </si>
  <si>
    <t>Bebedero de 250 litros de capacidad y kit regulador y acoples de instalación</t>
  </si>
  <si>
    <t>Bebedero</t>
  </si>
  <si>
    <t>4.2.2.2</t>
  </si>
  <si>
    <t>Manguera de 1/2 pulgada</t>
  </si>
  <si>
    <t>Rollo</t>
  </si>
  <si>
    <t>Subtotal 4.2.2</t>
  </si>
  <si>
    <t>COSTOS INDIRECTOS BEBEDEROS COMPLEMENTARIOS</t>
  </si>
  <si>
    <t xml:space="preserve">Herramientas = (5% MANO DE OBRA. Bebederos complementarios). </t>
  </si>
  <si>
    <t>Transporte  (8% INSUMOS. Bebederos complementarios).</t>
  </si>
  <si>
    <t>Costos Indirectos Bebederos complementarios</t>
  </si>
  <si>
    <t>Costos directos Bebederos complementarios</t>
  </si>
  <si>
    <t>Costos directos e indirectos Bebederos complementarios</t>
  </si>
  <si>
    <t>4.3</t>
  </si>
  <si>
    <t>SISTEMA SILVOPASTORIL. En franjas con árboles nativos altoandinos y frutales en los 2 costados laterales de los callejones (sembrados a 1 m en 200 m lineales c/u) y 400 árboles dispuestos en 4 franjas (100 c/u), para un total de 467 árboles x ha</t>
  </si>
  <si>
    <t>4.3.1</t>
  </si>
  <si>
    <t>4.3.1.1</t>
  </si>
  <si>
    <t xml:space="preserve"> Limpieza del terreno </t>
  </si>
  <si>
    <t>4.3.1.2</t>
  </si>
  <si>
    <t xml:space="preserve"> Transporte interno de insumos. </t>
  </si>
  <si>
    <t>4.3.1.3</t>
  </si>
  <si>
    <t xml:space="preserve"> Trazado </t>
  </si>
  <si>
    <t>4.3.1.4</t>
  </si>
  <si>
    <t xml:space="preserve"> Ahoyado </t>
  </si>
  <si>
    <t>4.3.1.5</t>
  </si>
  <si>
    <t xml:space="preserve"> Aplicación  de abonos, micorrizas, hidrorretenedor, control biológico y correctivos </t>
  </si>
  <si>
    <t>4.3.1.6</t>
  </si>
  <si>
    <t xml:space="preserve"> Plantación de material forestal </t>
  </si>
  <si>
    <t>4.3.1.7</t>
  </si>
  <si>
    <t>Plateo y control de malezas y cobertura mulch</t>
  </si>
  <si>
    <t>Subtotal 4.3.1</t>
  </si>
  <si>
    <t>4.3.2</t>
  </si>
  <si>
    <t>4.3.2.1</t>
  </si>
  <si>
    <t>Árboles para sistemas silvopastoriles (4 franjas de sauco (Sambucus peruviana y/o sambucus nigra) 100 árboles por franja =400) entre 50 y 80 cm de alto, bolsa de 15 x 25 cm. Distancia de siembra 1m</t>
  </si>
  <si>
    <t>Árbol</t>
  </si>
  <si>
    <t>4.3.2.2</t>
  </si>
  <si>
    <t xml:space="preserve"> Árboles para el contorno de la hectárea en diversificado con las siguientes especies Gaque  (Clusia multiflora), cerezo (prunus serotina) Cajeto  (Citharexylum subflavescens), Alcaparro enano  (Senna multigalndulosa), Arboloco  (Smallanthus pyramidalis) Duraznillo  (Abatia parviflora), Chicala Rosado  (Tecoma stans) Mano de oso  (Oreopanax bogotensis), Cucharo  (Myrsine guianensis), Salvio  (Cordia lanata), Pino colombiano  (Podocarpus oleifolius), sauce (Salix humboldtiana)</t>
  </si>
  <si>
    <t>4.3.2.3</t>
  </si>
  <si>
    <t xml:space="preserve"> Árboles frutales para el contorno de la hectárea en diversificado con las siguientes especies, ciruela, durazno, feijoa, papayuela, manzana, pera, tomate de árbol (Solanum betaceum) locales</t>
  </si>
  <si>
    <t>4.3.2.4</t>
  </si>
  <si>
    <t>Abono orgánico (compostado madurado y estabilizado) bulto de 50 Kilos, con registro ICA .</t>
  </si>
  <si>
    <t>4.3.2.5</t>
  </si>
  <si>
    <t>Micorriza de los géneros Glomus sp., Acaulospora sp., entrophospora sp., y Gigaspora. Sustrato de suelo desinfectado, libre de organismos fitopatógenos. Porcentaje de raicillas colonizadas 80%. por 50 kg</t>
  </si>
  <si>
    <t>4.3.2.6</t>
  </si>
  <si>
    <t>Cal dolomita, bultos de 50 kg con registro ICA.</t>
  </si>
  <si>
    <t>4.3.2.7</t>
  </si>
  <si>
    <t xml:space="preserve">Hidroretenedor granulado (Copolímero de acrilamida y acrilato de potasio) </t>
  </si>
  <si>
    <t>4.3.2.8</t>
  </si>
  <si>
    <t xml:space="preserve">Trichoderma harzianum, Trichoderma asperellum, 
Trichoderma atroviride 5 x 108 conidias/g 
Paecilomyces lilacinus 5x108 conidias/g 
Contenido Total 1x109 conidias/g </t>
  </si>
  <si>
    <t>Subtotal insumos SSP 1 ha</t>
  </si>
  <si>
    <t>2.3.2.9</t>
  </si>
  <si>
    <t>COSTOS INDIRECTOS SISTEMA SILVOPASTORIL</t>
  </si>
  <si>
    <t>2.3.2.9.1</t>
  </si>
  <si>
    <t xml:space="preserve">Herramientas = (5% MANO DE OBRA. Sistema Silvopastoril SSP.). </t>
  </si>
  <si>
    <t>2.3.2.9.2</t>
  </si>
  <si>
    <t>Transporte  (8% INSUMOS. Establecimiento Sistema Silvopastoril SSP). Se excluye material vegetal</t>
  </si>
  <si>
    <t>2.3.2.9.3</t>
  </si>
  <si>
    <t>Costos Indirectos Plantación Sistema silvopastoril</t>
  </si>
  <si>
    <t>Costos directos Plantación Sistema silvopastoril</t>
  </si>
  <si>
    <t>Subtotal 4.3 Sistema Silvopastoril costos directos e indirectos</t>
  </si>
  <si>
    <t>4.4</t>
  </si>
  <si>
    <t xml:space="preserve"> PRIMER MANTENIMIENTO DE LA PLANTACIÓN SSP</t>
  </si>
  <si>
    <t>4.4.1</t>
  </si>
  <si>
    <t>4.4.1.1</t>
  </si>
  <si>
    <t>4.4.1.2</t>
  </si>
  <si>
    <t>Plateo, control de malezas y reubicación cobertura mulch</t>
  </si>
  <si>
    <t>4.4.1.3</t>
  </si>
  <si>
    <t>Abonada</t>
  </si>
  <si>
    <t>4.4.1.4</t>
  </si>
  <si>
    <t>Replante</t>
  </si>
  <si>
    <t>4.4.1.5</t>
  </si>
  <si>
    <t xml:space="preserve">Control fitosanitario  </t>
  </si>
  <si>
    <t>4.4.1.6</t>
  </si>
  <si>
    <t xml:space="preserve">Subtotal 2.5.1.1 mano de obra primer mantenimiento </t>
  </si>
  <si>
    <t>4.4.1.2.1</t>
  </si>
  <si>
    <t>planta</t>
  </si>
  <si>
    <t>4.4.1.2.2</t>
  </si>
  <si>
    <t xml:space="preserve"> Árboles para el contorno de la hectárea (cerca densa a 1 m entre árboles) en diversificado con las siguientes especies nativas 300 en total por arreglo de 1 ha: cerezo (Prunus serotina) Gaque  (Clusia multiflora),  ) Cajeto  (Citharexylum subflavescens), Alcaparro enano  (Senna multigalndulosa), Arboloco  (Smallanthus pyramidalis) Duraznillo  (Abatia parviflora), Chicala Rosado  (Tecoma stans) Mano de oso  (Oreopanax bogotensis), Cucharo  (Myrsine guianensis), Salvio  (Cordia lanata), Pino colombiano  (Podocarpus oleifolius), sauce (Salix humboldtiana)</t>
  </si>
  <si>
    <t>4.4.1.2.3</t>
  </si>
  <si>
    <t xml:space="preserve"> Árboles para el contorno de la hectárea en diversificado con las siguientes especies (100 en total) ciruela (Prunus domestica), durazno (Prunus persica), manzana (Malus domestica), pera (Pyrus comunis), papayuela, feijoa, locales</t>
  </si>
  <si>
    <t>4.4.1.2.4</t>
  </si>
  <si>
    <t>4.4.1.2.5</t>
  </si>
  <si>
    <t>Insecticida botánico extracto de Neem (Azadirachta indica)</t>
  </si>
  <si>
    <t>Subtotal Insumos 2.5.1.2 insumos primer mantenimiento</t>
  </si>
  <si>
    <t>4.4.3</t>
  </si>
  <si>
    <t>COSTOS INDIRECTOS PRIMER MANTENIMIENTO</t>
  </si>
  <si>
    <t>4.4.3.1</t>
  </si>
  <si>
    <t xml:space="preserve">Herramientas = (5% MANO DE OBRA. Primer mantenimiento). </t>
  </si>
  <si>
    <t>4.4.3.2</t>
  </si>
  <si>
    <t>Transporte  (8% INSUMOS. Primer mantenimiento).</t>
  </si>
  <si>
    <t>Costos Indirectos Primer mantenimiento</t>
  </si>
  <si>
    <t>Costos directos primer mantenimiento</t>
  </si>
  <si>
    <t>Subtotal  4.4  primer mantenimiento sistema silvopastoril costos directos e indirectos</t>
  </si>
  <si>
    <t>4.5</t>
  </si>
  <si>
    <t xml:space="preserve"> SEGUNDO MANTENIMIENTO DE LA PLANTACIÓN SSP</t>
  </si>
  <si>
    <t>4.5.1</t>
  </si>
  <si>
    <t>4.5.1.1</t>
  </si>
  <si>
    <t>4.5.1.1.1</t>
  </si>
  <si>
    <t>4.5.1.1.2</t>
  </si>
  <si>
    <t>4.5.1.1.3</t>
  </si>
  <si>
    <t xml:space="preserve">Control fitosanitario </t>
  </si>
  <si>
    <t>4.5.1.1.4</t>
  </si>
  <si>
    <t>Subtotal 2.6.1.1 mano de obra segundo mantenimiento</t>
  </si>
  <si>
    <t>4.5.1.2</t>
  </si>
  <si>
    <t>4.5.1.2.1</t>
  </si>
  <si>
    <t>4.5.1.2.2</t>
  </si>
  <si>
    <t>Litro</t>
  </si>
  <si>
    <t>Subtotal 2.6.1.1.2 insumos segundo mantenimiento</t>
  </si>
  <si>
    <t>4.5.2</t>
  </si>
  <si>
    <t>COSTOS INDIRECTOS SEGUNDO MANTENIMIENTO</t>
  </si>
  <si>
    <t>4.5.2.1</t>
  </si>
  <si>
    <t xml:space="preserve">Herramientas = (5% MANO DE OBRA. Segundo mantenimiento). </t>
  </si>
  <si>
    <t>4.5.2.2</t>
  </si>
  <si>
    <t>Transporte  (8% INSUMOS. Segundo mantenimiento).</t>
  </si>
  <si>
    <t>Costos indirectos segundo mantenimiento</t>
  </si>
  <si>
    <t>Costos directos 2.6.1 segundo mantenimiento</t>
  </si>
  <si>
    <t>Subtotal  4.5  segundo mantenimiento de la plantación silvopastoril costos directos e indirectos</t>
  </si>
  <si>
    <t>4.6</t>
  </si>
  <si>
    <t>CERCADO ELÉCTRICO</t>
  </si>
  <si>
    <t>4.6.1</t>
  </si>
  <si>
    <t>4.6.1.1</t>
  </si>
  <si>
    <t>4.6.1.1.1</t>
  </si>
  <si>
    <t>4.6.1.1.2</t>
  </si>
  <si>
    <t>4.6.1.1.3</t>
  </si>
  <si>
    <t>4.6.1.1.4</t>
  </si>
  <si>
    <t>4.6.1.1.5</t>
  </si>
  <si>
    <t>Hincado o apisonado de postes y clavado de varillas</t>
  </si>
  <si>
    <t>4.6.1.1.6</t>
  </si>
  <si>
    <t>Instalación de aisladores, templado y fijado de alambre</t>
  </si>
  <si>
    <t>Subtotal 4.6.1.1 Mano de obra cercado eléctrico</t>
  </si>
  <si>
    <t>4.6.1.2</t>
  </si>
  <si>
    <t>4.6.1.2.1</t>
  </si>
  <si>
    <t xml:space="preserve">Postes cuatro filos (0,1X0,1X2m).  Distancia 33,33m entre postes. Incluye transporte.  </t>
  </si>
  <si>
    <t>Poste</t>
  </si>
  <si>
    <t>4.6.1.2.2</t>
  </si>
  <si>
    <t xml:space="preserve">Postes cuatro filos (0,1X0,1X2m). (dos por cada poste ) </t>
  </si>
  <si>
    <t>4.6.1.2.3</t>
  </si>
  <si>
    <t xml:space="preserve"> Varilla de 5/8 pulgada de 6 m de largo (para partir en 4, c/u 1,5 m) Dentro de cada espacio de 33,33 m habrán 4 varillas de 1,5 m  cada una</t>
  </si>
  <si>
    <t>Varilla</t>
  </si>
  <si>
    <t>4.6.1.2.4</t>
  </si>
  <si>
    <t>Inmunizante madera (galón)</t>
  </si>
  <si>
    <t>4.6.1.2.5</t>
  </si>
  <si>
    <t xml:space="preserve"> Aisladores para instalar en varillas </t>
  </si>
  <si>
    <t>Aislador</t>
  </si>
  <si>
    <t>4.6.1.2.6</t>
  </si>
  <si>
    <t>Alambre calibre 12 para cerca ganadera rollo de 25 kg y 1020 m lineales por rollo. En 2,4 rollos hay 2.448 metros lineales</t>
  </si>
  <si>
    <t>4.6.1.2.7</t>
  </si>
  <si>
    <t>Puntillas (de 2 pulgadas 87 unidades por caja) (libra)</t>
  </si>
  <si>
    <t>4.6.1.2.8</t>
  </si>
  <si>
    <t>Puntillas (de 5 pulgadas 35 unidades por caja) (libra)</t>
  </si>
  <si>
    <t>4.6.1.2.9</t>
  </si>
  <si>
    <t xml:space="preserve"> Aisladores de puntilla para poste de madera </t>
  </si>
  <si>
    <t>4.6.1.2.10</t>
  </si>
  <si>
    <t xml:space="preserve"> Aisladores tipo pera para terminar cerca eléctrica (x 25 unidades)</t>
  </si>
  <si>
    <t>4.6.1.2.11</t>
  </si>
  <si>
    <t>Kit Solar todo en uno con un alcance de 30 kilómetros, el cual incluye caja metálica, impulsor 12v, panel solar, batería recargable, regulador de energía, desviador de sobrecargas y rayos.</t>
  </si>
  <si>
    <t>Subtotal 4.6.1.2 insumos cercado eléctrico</t>
  </si>
  <si>
    <t>COSTOS INDIRECTOS CERCADO ELÉCTRICO</t>
  </si>
  <si>
    <t xml:space="preserve">Herramientas = (5% MANO DE OBRA. Cercado eléctrico). </t>
  </si>
  <si>
    <t>Transporte  (8% INSUMOS. Cercado eléctrico).</t>
  </si>
  <si>
    <t>Costos directos Cercado eléctrico</t>
  </si>
  <si>
    <t xml:space="preserve">Sutotal 4.6 Costos directos e indirectos Cercado eléctrico </t>
  </si>
  <si>
    <t>4.7.1</t>
  </si>
  <si>
    <t>DOTACIÓN ENSILAJE COMUNITARIO</t>
  </si>
  <si>
    <t>4.7.1.1</t>
  </si>
  <si>
    <t>4.7.1.1.1</t>
  </si>
  <si>
    <t>4.7.1.1.2</t>
  </si>
  <si>
    <t>Bolsas para silo de 50 kg, paquete de 50 bolsas</t>
  </si>
  <si>
    <t>Paquete de 50 bolsas</t>
  </si>
  <si>
    <t>4.7.1.1.3</t>
  </si>
  <si>
    <t>Melaza bulto de 30 kg</t>
  </si>
  <si>
    <t>Bulto</t>
  </si>
  <si>
    <t>4.7.1.1.4</t>
  </si>
  <si>
    <t>Ensiladora manual Capacidad por jornada de 8 horas entre 3 y 4 toneladas, entre 6 a 8 bolsas por hora, cada una con capacidad entre 40 y 50 kg, palanca de presión de 180 cm de largo.</t>
  </si>
  <si>
    <t>Ensiladora manual</t>
  </si>
  <si>
    <t>4.7.1.1.5</t>
  </si>
  <si>
    <t xml:space="preserve">Pica pasto de dos cuchillas, revoluciones de rotor 3.200-3.500, motor gasolina de 6,5 HP, Dimensiones (L x A x H) mm 700 x 700 x 920, peso 32 kg. </t>
  </si>
  <si>
    <t>Picapasto</t>
  </si>
  <si>
    <t>Subtotal 2.7 Insumos Jornada pedagógica tipo 6 ensilaje comunitario</t>
  </si>
  <si>
    <t xml:space="preserve">COSTOS INDIRECTOS dotación ensilaje comunitario </t>
  </si>
  <si>
    <t>Transporte  (8% INSUMOS. Dotación ensilaje comunitario).</t>
  </si>
  <si>
    <t>Costos indirectos Dotación ensilaje comunitario</t>
  </si>
  <si>
    <t>Costos directos  Dotación ensilaje comunitario</t>
  </si>
  <si>
    <t>Costos directos e indirectos  4.7  Dotación ensilaje comunitario</t>
  </si>
  <si>
    <t>4.7.2</t>
  </si>
  <si>
    <t>REPLICA ENSILAJE COMUNITARIO</t>
  </si>
  <si>
    <t>4.7.2.1</t>
  </si>
  <si>
    <t>4.7.2.1.1</t>
  </si>
  <si>
    <t>4.7.2.1.1.1</t>
  </si>
  <si>
    <t>4.7.2.1.1.2</t>
  </si>
  <si>
    <t>Subtotal 2.7 Insumos prácticas de ensilaje comunitario</t>
  </si>
  <si>
    <t>4.7.2.1.2</t>
  </si>
  <si>
    <t xml:space="preserve">COSTOS INDIRECTOS Prácticas de ensilaje comunitario </t>
  </si>
  <si>
    <t>4.7.2.1.2.1</t>
  </si>
  <si>
    <t>Transporte  (8% INSUMOS. Prácticas de ensilaje comunitario).</t>
  </si>
  <si>
    <t>Costos indirectos Prácticas de ensilaje comunitario</t>
  </si>
  <si>
    <t>Costos directos 2.9.1 Prácticas de ensilaje comunitario</t>
  </si>
  <si>
    <t>Costos directos e indirectos  2.9.2 Prácticas de ensilaje comunitario</t>
  </si>
  <si>
    <t>4.8.1</t>
  </si>
  <si>
    <t>CUBIERTA ABONOS</t>
  </si>
  <si>
    <t>4.8.1.1</t>
  </si>
  <si>
    <t>4.8.1.1.1</t>
  </si>
  <si>
    <t>4.8.1.1.1.1</t>
  </si>
  <si>
    <t>Armado de estructura</t>
  </si>
  <si>
    <t xml:space="preserve">Jornal </t>
  </si>
  <si>
    <t>4.8.1.1.1.2</t>
  </si>
  <si>
    <t>Transporte menor de insumos</t>
  </si>
  <si>
    <t>Subtotal 4.8.1.1.1 mano de obra cubierta abonos</t>
  </si>
  <si>
    <t>4.8.1.1.2</t>
  </si>
  <si>
    <t>4.8.1.1.2.1</t>
  </si>
  <si>
    <t xml:space="preserve"> Teja de zinc 300 cm de longitud X 80 ancho </t>
  </si>
  <si>
    <t>Teja</t>
  </si>
  <si>
    <t>4.8.1.1.2.2</t>
  </si>
  <si>
    <t xml:space="preserve"> Amarre para teja de zinc </t>
  </si>
  <si>
    <t>Amarre</t>
  </si>
  <si>
    <t>4.8.1.1.2.3</t>
  </si>
  <si>
    <t xml:space="preserve"> Puntilla 4" </t>
  </si>
  <si>
    <t>Caja</t>
  </si>
  <si>
    <t>4.8.1.1.2.4</t>
  </si>
  <si>
    <t xml:space="preserve"> Puntilla 3" </t>
  </si>
  <si>
    <t>4.8.1.1.2.5</t>
  </si>
  <si>
    <t xml:space="preserve"> Puntilla 2" </t>
  </si>
  <si>
    <t>4.8.1.1.2.6</t>
  </si>
  <si>
    <t xml:space="preserve"> Vara de eucalipto (limatón) de 350 cm de 25 cm de diámetro </t>
  </si>
  <si>
    <t>Vara</t>
  </si>
  <si>
    <t>4.8.1.1.2.7</t>
  </si>
  <si>
    <t xml:space="preserve"> Vara de eucalipto de 300 cm de 7 cm de diámetro </t>
  </si>
  <si>
    <t>4.8.1.1.2.8</t>
  </si>
  <si>
    <t>Lona de cerramiento  verde o blanca de 2 metro de ancha</t>
  </si>
  <si>
    <t>Metro</t>
  </si>
  <si>
    <t>4.8.1.1.2.9</t>
  </si>
  <si>
    <t>Listones para amarrar tejas 3 m de largo</t>
  </si>
  <si>
    <t>Listones</t>
  </si>
  <si>
    <t>SUBTOTAL 4.8.1.1.2 insumos cubierta abonos</t>
  </si>
  <si>
    <t>4.8.1.1.3</t>
  </si>
  <si>
    <t>COSTOS INDIRECTOS CUBIERTA ABONOS</t>
  </si>
  <si>
    <t>4.8.1.1.3.1</t>
  </si>
  <si>
    <t xml:space="preserve">Herramientas = (5% MANO DE OBRA. Cubierta abonos). </t>
  </si>
  <si>
    <t>4.8.1.1.3.2</t>
  </si>
  <si>
    <t>Transporte  (8% INSUMOS. Cubierta abonos).</t>
  </si>
  <si>
    <t>Costos indirectos 2.10.2 Cubierta abonos</t>
  </si>
  <si>
    <t>Costos directos 2.10.1 Cubierta abonos</t>
  </si>
  <si>
    <t>Costos directos e indirectos 4.8.1 Cubierta abonos</t>
  </si>
  <si>
    <t>4.8.2</t>
  </si>
  <si>
    <t>UREA ORGÁNICA</t>
  </si>
  <si>
    <t>4.8.2.1</t>
  </si>
  <si>
    <t>4.8.2.1.1</t>
  </si>
  <si>
    <t>4.8.2.1.1.1</t>
  </si>
  <si>
    <t>4.8.2.1.1.2</t>
  </si>
  <si>
    <t>Subtotal 4.8.2.1.1 Mano de obra urea orgánica</t>
  </si>
  <si>
    <t>4.8.2.1.2</t>
  </si>
  <si>
    <t>4.8.2.1.2.1</t>
  </si>
  <si>
    <t>Caneca azul de 200 L con tapa y zuncho</t>
  </si>
  <si>
    <t>Caneca</t>
  </si>
  <si>
    <t>4.8.2.1.2.2</t>
  </si>
  <si>
    <t>Manguera transparente de 1/2 pulgada 1 m</t>
  </si>
  <si>
    <t>metro</t>
  </si>
  <si>
    <t>4.8.2.1.2.3</t>
  </si>
  <si>
    <t>Unión Dreseer Acople Unión De 1/2 Pulgada</t>
  </si>
  <si>
    <t>Acople</t>
  </si>
  <si>
    <t>4.8.2.1.2.4</t>
  </si>
  <si>
    <t>Melaza x 30 kg</t>
  </si>
  <si>
    <t>4.8.2.1.2.5</t>
  </si>
  <si>
    <t>Abono foliar elementos menores</t>
  </si>
  <si>
    <t>Subtotal 4.8.2.1.2 Insumos urea orgánica</t>
  </si>
  <si>
    <t>2.10.2.2.1</t>
  </si>
  <si>
    <t>COSTOS INDIRECTOS urea orgánica</t>
  </si>
  <si>
    <t>2.10.2.2.1.1</t>
  </si>
  <si>
    <t xml:space="preserve">Herramientas = (5% MANO DE OBRA. Elaboración urea orgánica). </t>
  </si>
  <si>
    <t>2.10.2.2.1.2</t>
  </si>
  <si>
    <t>Transporte  (8% INSUMOS. Elaboración urea orgánica).</t>
  </si>
  <si>
    <t>Costos indirectos 2.10.2.2.1 Elaboración urea orgánica</t>
  </si>
  <si>
    <t>Costos directos 2.10.2.1 y 2.10.2.2 Elaboración urea orgánica</t>
  </si>
  <si>
    <t>Costos directos e indirectos 2.10.2 Elaboración urea orgánica</t>
  </si>
  <si>
    <t>4.8.3</t>
  </si>
  <si>
    <t>ABONO BOCASHI</t>
  </si>
  <si>
    <t>4.8.3.1</t>
  </si>
  <si>
    <t>4.8.3.1.1</t>
  </si>
  <si>
    <t>4.8.3.1.1.1</t>
  </si>
  <si>
    <t>Elaboración bocashi</t>
  </si>
  <si>
    <t>4.8.3.1.1.2</t>
  </si>
  <si>
    <t>Subtotal 2.10.3.1 mano de obra abono bocashi</t>
  </si>
  <si>
    <t>4.8.3.1.2</t>
  </si>
  <si>
    <t>4.8.3.1.2.1</t>
  </si>
  <si>
    <t xml:space="preserve"> Melaza x 30 kg </t>
  </si>
  <si>
    <t>4.8.3.1.2.2</t>
  </si>
  <si>
    <t xml:space="preserve"> Levadura granulada o en barra </t>
  </si>
  <si>
    <t>Libra</t>
  </si>
  <si>
    <t>4.8.3.1.2.3</t>
  </si>
  <si>
    <t xml:space="preserve"> Carbón vegetal bulto de 30 kg</t>
  </si>
  <si>
    <t>4.8.3.1.2.4</t>
  </si>
  <si>
    <t xml:space="preserve"> Pala de punta 32 x 27 x 71  </t>
  </si>
  <si>
    <t>Pala</t>
  </si>
  <si>
    <t>4.8.3.1.2.5</t>
  </si>
  <si>
    <t>Cascarilla de arroz</t>
  </si>
  <si>
    <t>Paca</t>
  </si>
  <si>
    <t>SUBTOTAL 4.8.3.1.2 insumos abono bocashi</t>
  </si>
  <si>
    <t>4.8.3.1.3</t>
  </si>
  <si>
    <t>COSTOS INDIRECTOS elaboración de abono bocashi</t>
  </si>
  <si>
    <t>4.8.3.1.3.1</t>
  </si>
  <si>
    <t xml:space="preserve">Herramientas = (5% MANO DE OBRA. Abono bocashi). </t>
  </si>
  <si>
    <t>4.8.3.1.3.2</t>
  </si>
  <si>
    <t>Transporte  (8% INSUMOS. Abono bocashi).</t>
  </si>
  <si>
    <t>Costos indirectos 4.8.3 Abono bocashi</t>
  </si>
  <si>
    <t>Costos directos 4.8.3 Abono bocashi</t>
  </si>
  <si>
    <t>Costos directos e indirectos 4.8.3 Elaboración de abono bocashi</t>
  </si>
  <si>
    <t>4.9</t>
  </si>
  <si>
    <t>COSECHA DE AGUA LLUVIA</t>
  </si>
  <si>
    <t>4.9.1</t>
  </si>
  <si>
    <t>4.9.1.1</t>
  </si>
  <si>
    <t>Tanque Zamorano 8.500 litros incluye transporte e instalación, con estructura metálica en malla electrosoldada, parales cada 1.5 metros, guayas, geomembrana calibre 30 o 40 con su respectiva tubería de salida, llave, rebose y sifón</t>
  </si>
  <si>
    <t>Tanque</t>
  </si>
  <si>
    <t>SUBTOTAL 4.9 Cosecha de agua lluvia</t>
  </si>
  <si>
    <t>4.10</t>
  </si>
  <si>
    <t>ABONOS VERDES</t>
  </si>
  <si>
    <t>4.10.1</t>
  </si>
  <si>
    <t>4.10.1.1</t>
  </si>
  <si>
    <t>4.10.1.1.1</t>
  </si>
  <si>
    <t>Aplicación de cal en lotes a intervenir</t>
  </si>
  <si>
    <t>4.10.1.1.2</t>
  </si>
  <si>
    <t>4.10.1.1.3</t>
  </si>
  <si>
    <t>Aplicación de semillas al voleo</t>
  </si>
  <si>
    <t>4.10.1.1.4</t>
  </si>
  <si>
    <t>Aplicación de fertilizantes al voleo</t>
  </si>
  <si>
    <t>SUBTOTAL 4.10.1 Mano de obra Prácticas de mejoramoento de suelos abonos verdes</t>
  </si>
  <si>
    <t>4.10.1.2</t>
  </si>
  <si>
    <t>4.10.1.2.1</t>
  </si>
  <si>
    <t>Cal dolomita, bulto por 50Kg</t>
  </si>
  <si>
    <t>4.10.1.2.2</t>
  </si>
  <si>
    <t>Semillas de avena caldas o Cajicá Bulto de 50Kg</t>
  </si>
  <si>
    <t xml:space="preserve">Bulto </t>
  </si>
  <si>
    <t>4.10.1.2.3</t>
  </si>
  <si>
    <t>Semillas de vicia</t>
  </si>
  <si>
    <t>Kilo</t>
  </si>
  <si>
    <t>4.10.1.2.4</t>
  </si>
  <si>
    <t>Semillas de pastos mejorados, bulto de 22,7Kg</t>
  </si>
  <si>
    <t>4.10.1.2.5</t>
  </si>
  <si>
    <t>Abono orgánico bulto de 50Kg</t>
  </si>
  <si>
    <t>4.10.1.2.6</t>
  </si>
  <si>
    <t>Alquiler tractor con arado de cincel y rotovator de cuchilla recta para adecuación de suelos y tapado de semillas</t>
  </si>
  <si>
    <t>Hora</t>
  </si>
  <si>
    <t>4.10.1.2.7</t>
  </si>
  <si>
    <t>Alquiler tractor con desbrozadora para deponer abonos verdes</t>
  </si>
  <si>
    <t>SUBTOTAL 4.10.1.2 Insumos Abonos verdes</t>
  </si>
  <si>
    <t>4.10.2</t>
  </si>
  <si>
    <t>COSTOS INDIRECTOS Abonos verdes</t>
  </si>
  <si>
    <t>4.10.2.1</t>
  </si>
  <si>
    <t xml:space="preserve">Herramientas = (5% MANO DE OBRA. Abonos verdes). </t>
  </si>
  <si>
    <t>4.10.2.2</t>
  </si>
  <si>
    <t>Transporte  (8% INSUMOS. Abonos verdes).</t>
  </si>
  <si>
    <t>Costos indirectos 4.10 Abonos verdes</t>
  </si>
  <si>
    <t>Costos directos 4.10 Abonos verdes</t>
  </si>
  <si>
    <t>Costos directos e indirectos 4.10  Abonos verdes</t>
  </si>
  <si>
    <t>4.11</t>
  </si>
  <si>
    <t>ESTABLECIMIENTO MAYOR COBERTURA</t>
  </si>
  <si>
    <t>4.11.1</t>
  </si>
  <si>
    <t>4.11.1.1</t>
  </si>
  <si>
    <t>4.11.1.2</t>
  </si>
  <si>
    <t>4.11.1.3</t>
  </si>
  <si>
    <t>4.11.1.4</t>
  </si>
  <si>
    <t>Subtotal 4.11.1.1 Establecimiento de mayor cobertura</t>
  </si>
  <si>
    <t>4.11.1.2.1</t>
  </si>
  <si>
    <t>Cal dolomita carbonato doble de calcio y magnesio bultos de 50 kg</t>
  </si>
  <si>
    <t xml:space="preserve"> Bulto </t>
  </si>
  <si>
    <t>4.11.1.2.2</t>
  </si>
  <si>
    <t>4.11.1.2.3</t>
  </si>
  <si>
    <t>4.11.1.2.4</t>
  </si>
  <si>
    <t>Alquiler tractor con renovador de praderas y rotovator de cuchilla recta para adecuación de suelos y tapado de semillas</t>
  </si>
  <si>
    <t>Subtotal insumos 4.11.1.2 Establecimiento de mayor cobertura</t>
  </si>
  <si>
    <t>COSTOS INDIRECTOS ESTABLECIMIENTO DE MAYOR COBERTURA</t>
  </si>
  <si>
    <t>4.11.1.3.1</t>
  </si>
  <si>
    <t xml:space="preserve">Herramientas = (5% MANO DE OBRA. Establecimiento de mayor cobertura). </t>
  </si>
  <si>
    <t>4.11.1.3.2</t>
  </si>
  <si>
    <t>Transporte  (8% INSUMOS. Establecimiento de mayor cobertura).</t>
  </si>
  <si>
    <t>Costos indirectos  Establecimiento de mayor cobertura</t>
  </si>
  <si>
    <t>Costos directos  Establecimiento de mayor cobertura</t>
  </si>
  <si>
    <t>Costos directos e indirectos 4.11 Establecimiento de mayor cobertura</t>
  </si>
  <si>
    <t xml:space="preserve">TOTAL CAPÍTULO 4: USO SOSTENIBLE </t>
  </si>
  <si>
    <t>RESUMEN ANEXO ECONOMICO</t>
  </si>
  <si>
    <t>CATEGORIA DE INVERSIÓN</t>
  </si>
  <si>
    <t>VALOR</t>
  </si>
  <si>
    <t>CAPITULO 1</t>
  </si>
  <si>
    <t>GESTION INTEGRAL</t>
  </si>
  <si>
    <t>CAPITULO 2</t>
  </si>
  <si>
    <t>GESTION PARA EL FORTALECIMIENTO TERRITORIAL</t>
  </si>
  <si>
    <t>IVA 19%</t>
  </si>
  <si>
    <t>SUBTOTAL CAPITULOS 1+2+IVA</t>
  </si>
  <si>
    <t>CAPITULO  3</t>
  </si>
  <si>
    <t>RESTAURACIÓN ECOLÓGICA</t>
  </si>
  <si>
    <t>CAPITULO 4</t>
  </si>
  <si>
    <t>1. SUBTOTAL PROYECTO</t>
  </si>
  <si>
    <t>Administracion (22,90%)</t>
  </si>
  <si>
    <t>Imprevistos (3%)</t>
  </si>
  <si>
    <t>Utilidades (3%)</t>
  </si>
  <si>
    <t>SUBTOTAL PROYECTO CAPÍTULOS 3+4+AIU</t>
  </si>
  <si>
    <t>IVA SOBRE LA UTILIDAD  (19%)</t>
  </si>
  <si>
    <t>TOTAL PROYECTO CAPÍTULOS 1+2+3+4+AIU+IVA</t>
  </si>
  <si>
    <t>Nota 1: Los valores del A.I.U. están definidos por la Corporación ( A = 20,06%; I = 3% y U = 3%) como valores máximos, si el proponente considera otro valor, lo podrá ajustar siempre y cuando estos nuevos valores no superen a los ya pre establecidos.</t>
  </si>
  <si>
    <t>Nota 2: El formato no podrá ser modificado, por tanto, el interesado solo podrá diligenciar el presente formato en los diferentes componentes presentados en las pestañas, únicamente en las casillas sombreadas con color gris.</t>
  </si>
  <si>
    <t>Nota 3: El formato no debe ser modificado en su contenido, únicamente deberá diligenciar dentro de las CASILLAS GRISES con los valores que tenga a su consideración.</t>
  </si>
  <si>
    <t>Nota 4: A los capítulos 1 y 2, de gestión, se les debe calcularse el IVA 19%.</t>
  </si>
  <si>
    <t>Nota 5: El valor del Factor Multiplicador (F.M.), están definidos por la Corporación en 2,0 como valor máximo, si el proponente considera otro valor, lo podrá ajustar siempre y cuando estos nuevos valores no superen a los ya pre establecidos.</t>
  </si>
  <si>
    <t xml:space="preserve"> ANEXO 2: CAR-SIP-XXX-2024 -PARTE 2: PERSONAL OBRA</t>
  </si>
  <si>
    <t>NOMBRE O RAZON SOCIAL</t>
  </si>
  <si>
    <t>NIT</t>
  </si>
  <si>
    <t>RESPONSABLE O ENCARGADO</t>
  </si>
  <si>
    <t>NUMERO DE COTIZACIÓN</t>
  </si>
  <si>
    <t>CORREO ELECTRÓNICO</t>
  </si>
  <si>
    <t>TELEFONO DE CONTACTO</t>
  </si>
  <si>
    <t>OBJETO: ACCIONES INTEGRALES DE RESTAURACIÓN EN ÁREAS DE IMPORTANCIA AMBIENTAL EN LAS MICROCUENCAS JUQUINÍ Y LAGUNEROS EN EL MUNICIPIO DE GUATAVITA (CUENCA RÍO GUAVIO) Y MICROCUENCA LAGUNA EN EL MUNICIPIO DE SAN MIGUAL DE SEMA (CUENCA DE LOS RÍOS UBATÉ - SUAREZ).</t>
  </si>
  <si>
    <t>PRESUPUESTO PERSONAL DE CONSULTORÍA</t>
  </si>
  <si>
    <t>COSTO TOTAL El TUNJO -LAGUNEROS (A/2xBxCxDxE)</t>
  </si>
  <si>
    <t>COSTO TOTAL 
LAGUNAS   (A/2xBxCxDxE)</t>
  </si>
  <si>
    <t>COSTO TOTAL PROYECTO MICROCUENCAS
(AxBxCxDxE)</t>
  </si>
  <si>
    <t>1.1</t>
  </si>
  <si>
    <t>Coordinador del proyecto: Titulo profesional como agrónomo, ingeniero ambiental, ingeniero forestal, biólogo, geográfo, con maestria. Y mínimo  8 años de experiencia general y 4 específica.</t>
  </si>
  <si>
    <t>Profesional de apoyo SIG (sistemas de información geográfica) Titulo profesional como Ingeniero catastral, ingeniero geógrago, ingeniero civil, ingenierio forestal, ingeniero ambiental, sanitaria y afines, agrólogo, agrónomo, biólogo, geólogoo o afines, con experiencia profesional general de 2 años y 1 años de experiencia específica en SIG e interpretación de coberturas. Matrícula o Tarjeta según la titulación.</t>
  </si>
  <si>
    <t xml:space="preserve"> RESTAURACIÓN</t>
  </si>
  <si>
    <t>Profesional de apoyo I Biologo de restauración, con mínimo 4 años experiencia general, y especifica mínimo 2 años.</t>
  </si>
  <si>
    <t>Técnico residente experiencia general mínimo 5 años experiencia general,  especifica mínimo 2 años.</t>
  </si>
  <si>
    <t>PRACTICAS SOSTENIBLES</t>
  </si>
  <si>
    <t xml:space="preserve">Título profesional ingeniero forestal o ingeniero agrónomo matrícula o tarjeta profesional en los casos que aplique / Título de especialización en áreas ambientales / 4 años de experiencia general. Experiencia específica de 2 años de trabajo de campo con comunidades campesinas, siembra de árboles, agroecología. </t>
  </si>
  <si>
    <t>Experto en recuperación de suelos; Agrólogo, Agrónomo, Biólogo, Geólogo, Ingenierio Agrónomo, Ingeniero Agrícola, Ingeniero Forestal o Ingeniero Ambiental, Sanitaria y afines con maestria en suelos. Matrícula o Tarjeta según la titulación. Experiencia profesional mínimo 4 años experiencia general, especifica mínimo 2.</t>
  </si>
  <si>
    <t xml:space="preserve">Especialista en gestión de riesgos naturales: Título profesional en Ingenierías y Afines,  Título de postgrado en la modalidad de especialización y/o  maestría en áreas Gestión del riesgo de desastres. Matrícula o Tarjeta según la titulación. Experiencia profesional mínimo 4 años experiencia general, especifica mínimo 2. </t>
  </si>
  <si>
    <t xml:space="preserve">GESTIÓN INTEGRAL DEL TERRITORIO </t>
  </si>
  <si>
    <t>4.1</t>
  </si>
  <si>
    <t xml:space="preserve">Profesional social, ciencias políticas o sociologo (4 años de experiencia general. Experiencia específica de 2 años en trabajo comunitario y gestión ambiental). </t>
  </si>
  <si>
    <t xml:space="preserve">Profesional pedagógo,( licenciado en biologia, ciencias sociales o afines, con 4 años de experiencia general. Experiencia específica de 2 años en gestión ambiental y participación ) </t>
  </si>
  <si>
    <t>Comunicador social con 2 años de experiencia en trabajo con medios de comunicación (audiovisual, radio, fotografia), y mínimo 1 año en temas ambientales y con comunidades.</t>
  </si>
  <si>
    <t>Personal no calificado.  Experiencia general dos años. Facilitadores comunitarios locales</t>
  </si>
  <si>
    <t xml:space="preserve">SubTotal 4 GESTIÓN SOCIOTERRITORIAL </t>
  </si>
  <si>
    <t>Total (1+2+3+4)</t>
  </si>
  <si>
    <t>FIRMA O NOMBRE DE RESPONSABLE</t>
  </si>
  <si>
    <t>CARGO</t>
  </si>
  <si>
    <t>FECHA</t>
  </si>
  <si>
    <t>PRESUPUESTO OFICIAL</t>
  </si>
  <si>
    <t>CAPÍTULO 2:  GESTIÓN PARA EL FORTALECIMIENTO TERRITORIAL</t>
  </si>
  <si>
    <t xml:space="preserve">TOTAL  CAPÍTULO 2:  GESTIÓN PARA EL FORTALECIMIENTO TERRITORIAL </t>
  </si>
  <si>
    <t xml:space="preserve"> CAPÍTULO 4: USO SOSTENIBLE </t>
  </si>
  <si>
    <t>TOTAL CAPÍTULO 4: USO SOSTENIBLE:</t>
  </si>
  <si>
    <t>RESUMEN PRESUPUESTO OFICIAL</t>
  </si>
  <si>
    <t>Administracion</t>
  </si>
  <si>
    <t>Imprevistos</t>
  </si>
  <si>
    <t>Utilidades</t>
  </si>
  <si>
    <t>IVA UTILIDAD  19%</t>
  </si>
  <si>
    <t>Nota 1: Los valores del A.I.U. están definidos por la Corporación (A = 30,06%; I = 3% y U = 3%).</t>
  </si>
  <si>
    <t>Nota 2: A los capítulos 1 y 2, de gestión, se les debe calcularse el IVA 19%.</t>
  </si>
  <si>
    <t>Nota 3: El valor del Factor Multiplicador (F.M.), están definidos por la Corporación en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</si>
</sst>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2" formatCode="_-* #,##0\ &quot;€&quot;_-;\-* #,##0\ &quot;€&quot;_-;_-* &quot;-&quot;\ &quot;€&quot;_-;_-@_-"/>
    <numFmt numFmtId="41" formatCode="_-* #,##0_-;\-* #,##0_-;_-* &quot;-&quot;_-;_-@_-"/>
    <numFmt numFmtId="44" formatCode="_-* #,##0.00\ &quot;€&quot;_-;\-* #,##0.00\ &quot;€&quot;_-;_-* &quot;-&quot;??\ &quot;€&quot;_-;_-@_-"/>
    <numFmt numFmtId="43" formatCode="_-* #,##0.00_-;\-* #,##0.00_-;_-* &quot;-&quot;??_-;_-@_-"/>
    <numFmt numFmtId="164" formatCode="_-&quot;$&quot;\ * #,##0_-;\-&quot;$&quot;\ * #,##0_-;_-&quot;$&quot;\ * &quot;-&quot;_-;_-@_-"/>
    <numFmt numFmtId="165" formatCode="_-&quot;$&quot;\ * #,##0.00_-;\-&quot;$&quot;\ * #,##0.00_-;_-&quot;$&quot;\ * &quot;-&quot;??_-;_-@_-"/>
    <numFmt numFmtId="166" formatCode="_-&quot;$&quot;* #,##0_-;\-&quot;$&quot;* #,##0_-;_-&quot;$&quot;* &quot;-&quot;_-;_-@_-"/>
    <numFmt numFmtId="167" formatCode="_(* #,##0.00_);_(* \(#,##0.00\);_(* &quot;-&quot;??_);_(@_)"/>
    <numFmt numFmtId="168" formatCode="[$$-240A]\ #,##0"/>
    <numFmt numFmtId="169" formatCode="_-* #,##0_-;\-* #,##0_-;_-* &quot;-&quot;??_-;_-@_-"/>
    <numFmt numFmtId="170" formatCode="0.0"/>
    <numFmt numFmtId="171" formatCode="_-[$$-409]* #,##0.00_ ;_-[$$-409]* \-#,##0.00\ ;_-[$$-409]* &quot;-&quot;??_ ;_-@_ "/>
    <numFmt numFmtId="172" formatCode="_-[$$-409]* #,##0_ ;_-[$$-409]* \-#,##0\ ;_-[$$-409]* &quot;-&quot;??_ ;_-@_ "/>
    <numFmt numFmtId="173" formatCode="&quot;$&quot;\ #,##0;[Red]&quot;$&quot;\ \-#,##0"/>
    <numFmt numFmtId="174" formatCode="_ * #,##0_ ;_ * \-#,##0_ ;_ * &quot;-&quot;??_ ;_ @_ "/>
    <numFmt numFmtId="175" formatCode="_-* #,##0.0_-;\-* #,##0.0_-;_-* &quot;-&quot;_-;_-@_-"/>
    <numFmt numFmtId="176" formatCode="0.000"/>
    <numFmt numFmtId="177" formatCode="_-&quot;$&quot;\ * #,##0_-;\-&quot;$&quot;\ * #,##0_-;_-&quot;$&quot;\ * &quot;-&quot;??_-;_-@_-"/>
    <numFmt numFmtId="178" formatCode="0.0_ ;\-0.0\ "/>
    <numFmt numFmtId="179" formatCode="_(&quot;$&quot;\ * #,##0.00_);_(&quot;$&quot;\ * \(#,##0.00\);_(&quot;$&quot;\ * &quot;-&quot;??_);_(@_)"/>
    <numFmt numFmtId="180" formatCode="_-* #,##0.00_-;\-* #,##0.00_-;_-* &quot;-&quot;_-;_-@_-"/>
    <numFmt numFmtId="181" formatCode="_-* #,##0.000_-;\-* #,##0.000_-;_-* &quot;-&quot;_-;_-@_-"/>
    <numFmt numFmtId="182" formatCode="[$$-240A]\ #,##0.00"/>
    <numFmt numFmtId="183" formatCode="_(&quot;$&quot;\ * #,##0_);_(&quot;$&quot;\ * \(#,##0\);_(&quot;$&quot;\ * &quot;-&quot;??_);_(@_)"/>
    <numFmt numFmtId="184" formatCode="_(* #,##0_);_(* \(#,##0\);_(* &quot;-&quot;??_);_(@_)"/>
    <numFmt numFmtId="185" formatCode="_(* #,##0_);_(* \(#,##0\);_(* &quot;-&quot;_);_(@_)"/>
    <numFmt numFmtId="186" formatCode="#,##0.0"/>
    <numFmt numFmtId="187" formatCode="[$$-240A]\ #,##0.000"/>
    <numFmt numFmtId="188" formatCode="_-* #,##0.0_-;\-* #,##0.0_-;_-* &quot;-&quot;??_-;_-@_-"/>
    <numFmt numFmtId="189" formatCode="_-&quot;$&quot;\ * #,##0.00_-;\-&quot;$&quot;\ * #,##0.00_-;_-&quot;$&quot;\ * &quot;-&quot;??_-;_-@"/>
  </numFmts>
  <fonts count="97">
    <font>
      <sz val="11"/>
      <color theme="1"/>
      <name val="Aptos Narrow"/>
      <family val="2"/>
      <scheme val="minor"/>
    </font>
    <font>
      <sz val="11"/>
      <color theme="1"/>
      <name val="Aptos Narrow"/>
      <family val="2"/>
      <scheme val="minor"/>
    </font>
    <font>
      <sz val="11"/>
      <color rgb="FFFF0000"/>
      <name val="Aptos Narrow"/>
      <family val="2"/>
      <scheme val="minor"/>
    </font>
    <font>
      <sz val="10"/>
      <name val="Arial"/>
      <family val="2"/>
    </font>
    <font>
      <b/>
      <sz val="11"/>
      <color rgb="FF000000"/>
      <name val="Century"/>
      <family val="1"/>
    </font>
    <font>
      <sz val="11"/>
      <color rgb="FF000000"/>
      <name val="Century"/>
      <family val="1"/>
    </font>
    <font>
      <sz val="11"/>
      <color rgb="FF000000"/>
      <name val="Calibri"/>
      <family val="2"/>
    </font>
    <font>
      <sz val="11"/>
      <color rgb="FF000000"/>
      <name val="Aptos Narrow"/>
      <family val="2"/>
      <scheme val="minor"/>
    </font>
    <font>
      <sz val="11"/>
      <color theme="1"/>
      <name val="Century"/>
      <family val="1"/>
    </font>
    <font>
      <sz val="10"/>
      <name val="Century"/>
      <family val="1"/>
    </font>
    <font>
      <b/>
      <sz val="11"/>
      <color theme="1"/>
      <name val="Century"/>
      <family val="1"/>
    </font>
    <font>
      <b/>
      <sz val="11"/>
      <name val="Century"/>
      <family val="1"/>
    </font>
    <font>
      <sz val="11"/>
      <name val="Century"/>
      <family val="1"/>
    </font>
    <font>
      <sz val="11"/>
      <color rgb="FFFF0000"/>
      <name val="Century"/>
      <family val="1"/>
    </font>
    <font>
      <b/>
      <sz val="11"/>
      <color theme="0"/>
      <name val="Aptos Narrow"/>
      <family val="2"/>
      <scheme val="minor"/>
    </font>
    <font>
      <sz val="11"/>
      <color theme="0"/>
      <name val="Aptos Narrow"/>
      <family val="2"/>
      <scheme val="minor"/>
    </font>
    <font>
      <u/>
      <sz val="11"/>
      <color theme="10"/>
      <name val="Aptos Narrow"/>
      <family val="2"/>
      <scheme val="minor"/>
    </font>
    <font>
      <sz val="11"/>
      <color rgb="FF000000"/>
      <name val="Calibri"/>
      <family val="2"/>
      <charset val="204"/>
    </font>
    <font>
      <b/>
      <sz val="11"/>
      <color rgb="FFFFFFFF"/>
      <name val="Arial Narrow"/>
      <family val="2"/>
    </font>
    <font>
      <b/>
      <sz val="11"/>
      <color rgb="FF000000"/>
      <name val="Arial Narrow"/>
      <family val="2"/>
    </font>
    <font>
      <sz val="11"/>
      <color rgb="FF000000"/>
      <name val="Arial Narrow"/>
      <family val="2"/>
    </font>
    <font>
      <b/>
      <sz val="11"/>
      <color theme="0"/>
      <name val="Arial Narrow"/>
      <family val="2"/>
    </font>
    <font>
      <sz val="11"/>
      <name val="Arial Narrow"/>
      <family val="2"/>
    </font>
    <font>
      <sz val="12"/>
      <color theme="1"/>
      <name val="Arial Narrow"/>
      <family val="2"/>
    </font>
    <font>
      <b/>
      <sz val="12"/>
      <color theme="1"/>
      <name val="Arial Narrow"/>
      <family val="2"/>
    </font>
    <font>
      <b/>
      <sz val="10"/>
      <color theme="0"/>
      <name val="Century"/>
      <family val="1"/>
    </font>
    <font>
      <b/>
      <sz val="11"/>
      <color theme="0"/>
      <name val="Century"/>
      <family val="1"/>
    </font>
    <font>
      <sz val="11"/>
      <color theme="1"/>
      <name val="Arial Narrow"/>
      <family val="2"/>
    </font>
    <font>
      <sz val="11"/>
      <color rgb="FFFF0000"/>
      <name val="Arial Narrow"/>
      <family val="2"/>
    </font>
    <font>
      <b/>
      <sz val="11"/>
      <name val="Arial Narrow"/>
      <family val="2"/>
    </font>
    <font>
      <b/>
      <sz val="11"/>
      <color theme="1"/>
      <name val="Arial Narrow"/>
      <family val="2"/>
    </font>
    <font>
      <b/>
      <sz val="11"/>
      <color rgb="FFFF0000"/>
      <name val="Arial Narrow"/>
      <family val="2"/>
    </font>
    <font>
      <sz val="11"/>
      <color theme="1"/>
      <name val="Aptos Narrow"/>
      <family val="2"/>
      <scheme val="minor"/>
    </font>
    <font>
      <sz val="10"/>
      <color theme="1"/>
      <name val="Arial"/>
      <family val="2"/>
    </font>
    <font>
      <b/>
      <sz val="11"/>
      <color theme="1"/>
      <name val="Arial Narrow"/>
    </font>
    <font>
      <b/>
      <sz val="11"/>
      <color rgb="FF000000"/>
      <name val="Arial Narrow"/>
    </font>
    <font>
      <sz val="11"/>
      <name val="Arial Narrow"/>
    </font>
    <font>
      <b/>
      <sz val="11"/>
      <name val="Arial Narrow"/>
    </font>
    <font>
      <b/>
      <sz val="14"/>
      <color theme="1"/>
      <name val="Arial Narrow"/>
    </font>
    <font>
      <b/>
      <sz val="11"/>
      <color theme="0"/>
      <name val="Arial Narrow"/>
    </font>
    <font>
      <sz val="10"/>
      <color theme="1"/>
      <name val="Arial"/>
    </font>
    <font>
      <sz val="10"/>
      <color rgb="FF000000"/>
      <name val="Arial"/>
    </font>
    <font>
      <b/>
      <sz val="14"/>
      <name val="Arial Narrow"/>
    </font>
    <font>
      <b/>
      <sz val="11"/>
      <color rgb="FF000000"/>
      <name val="Arial Narrow"/>
      <charset val="1"/>
    </font>
    <font>
      <sz val="14"/>
      <color theme="1"/>
      <name val="Aptos Narrow"/>
      <family val="2"/>
      <scheme val="minor"/>
    </font>
    <font>
      <sz val="11"/>
      <name val="Aptos Narrow"/>
      <family val="2"/>
      <scheme val="minor"/>
    </font>
    <font>
      <sz val="11"/>
      <name val="Aptos Narrow"/>
      <scheme val="minor"/>
    </font>
    <font>
      <sz val="11"/>
      <color rgb="FF242424"/>
      <name val="Aptos Narrow"/>
      <family val="2"/>
      <scheme val="minor"/>
    </font>
    <font>
      <b/>
      <sz val="11"/>
      <color rgb="FF242424"/>
      <name val="Aptos Narrow"/>
      <charset val="1"/>
    </font>
    <font>
      <sz val="10"/>
      <color theme="1"/>
      <name val="Arial Narrow"/>
    </font>
    <font>
      <sz val="11"/>
      <color rgb="FF000000"/>
      <name val="Aptos Narrow"/>
      <scheme val="minor"/>
    </font>
    <font>
      <b/>
      <sz val="11"/>
      <color rgb="FF000000"/>
      <name val="Aptos Narrow"/>
      <scheme val="minor"/>
    </font>
    <font>
      <b/>
      <sz val="11"/>
      <name val="Aptos Narrow"/>
      <scheme val="minor"/>
    </font>
    <font>
      <sz val="11"/>
      <color theme="1"/>
      <name val="Aptos Narrow"/>
      <scheme val="minor"/>
    </font>
    <font>
      <sz val="12"/>
      <name val="Aptos Narrow"/>
      <scheme val="minor"/>
    </font>
    <font>
      <b/>
      <sz val="11"/>
      <color rgb="FF000000"/>
      <name val="Aptos Narrow"/>
      <family val="2"/>
      <scheme val="minor"/>
    </font>
    <font>
      <b/>
      <sz val="11"/>
      <color rgb="FF242424"/>
      <name val="Aptos Narrow"/>
      <scheme val="minor"/>
    </font>
    <font>
      <sz val="11"/>
      <color theme="1"/>
      <name val="Arial Narrow"/>
    </font>
    <font>
      <sz val="11"/>
      <color rgb="FF242424"/>
      <name val="Aptos Narrow"/>
      <scheme val="minor"/>
    </font>
    <font>
      <sz val="11"/>
      <color rgb="FF242424"/>
      <name val="Aptos Narrow"/>
      <charset val="1"/>
    </font>
    <font>
      <b/>
      <sz val="11"/>
      <color rgb="FFFFFFFF"/>
      <name val="Arial Narrow"/>
    </font>
    <font>
      <b/>
      <sz val="11"/>
      <name val="Aptos Narrow"/>
      <family val="2"/>
      <scheme val="minor"/>
    </font>
    <font>
      <sz val="11"/>
      <color rgb="FF000000"/>
      <name val="Arial Narrow"/>
    </font>
    <font>
      <b/>
      <sz val="11"/>
      <color theme="0"/>
      <name val="Arial"/>
    </font>
    <font>
      <sz val="10"/>
      <name val="Arial"/>
    </font>
    <font>
      <b/>
      <sz val="11"/>
      <color rgb="FF000000"/>
      <name val="Arial"/>
      <charset val="1"/>
    </font>
    <font>
      <sz val="11"/>
      <color rgb="FFFF0000"/>
      <name val="Arial Narrow"/>
    </font>
    <font>
      <sz val="9"/>
      <color theme="1"/>
      <name val="Arial"/>
    </font>
    <font>
      <sz val="11"/>
      <color theme="1"/>
      <name val="Arial"/>
    </font>
    <font>
      <b/>
      <sz val="10"/>
      <color theme="1"/>
      <name val="Arial"/>
    </font>
    <font>
      <sz val="10"/>
      <color rgb="FF000000"/>
      <name val="Arial"/>
      <family val="2"/>
    </font>
    <font>
      <sz val="9"/>
      <color theme="1"/>
      <name val="Arial"/>
      <family val="2"/>
    </font>
    <font>
      <b/>
      <sz val="11"/>
      <color rgb="FFFF0000"/>
      <name val="Arial Narrow"/>
    </font>
    <font>
      <b/>
      <sz val="14"/>
      <color rgb="FF000000"/>
      <name val="Arial Narrow"/>
    </font>
    <font>
      <sz val="11"/>
      <color theme="0"/>
      <name val="Arial Narrow"/>
    </font>
    <font>
      <b/>
      <sz val="16"/>
      <color rgb="FFFFFFFF"/>
      <name val="Arial Narrow"/>
    </font>
    <font>
      <sz val="16"/>
      <color theme="1"/>
      <name val="Arial Narrow"/>
      <family val="2"/>
    </font>
    <font>
      <b/>
      <sz val="16"/>
      <color rgb="FFFFFFFF"/>
      <name val="Arial Narrow"/>
      <family val="2"/>
    </font>
    <font>
      <b/>
      <sz val="22"/>
      <color rgb="FFFFFFFF"/>
      <name val="Arial Narrow"/>
      <family val="2"/>
    </font>
    <font>
      <b/>
      <sz val="14"/>
      <color theme="0"/>
      <name val="Aptos Narrow"/>
      <scheme val="minor"/>
    </font>
    <font>
      <b/>
      <sz val="14"/>
      <color rgb="FFFFFFFF"/>
      <name val="Arial Narrow"/>
      <family val="2"/>
    </font>
    <font>
      <b/>
      <sz val="24"/>
      <color rgb="FFFFFFFF"/>
      <name val="Arial Narrow"/>
      <family val="2"/>
    </font>
    <font>
      <b/>
      <sz val="22"/>
      <color theme="0"/>
      <name val="Arial Narrow"/>
      <family val="2"/>
    </font>
    <font>
      <b/>
      <sz val="14"/>
      <color theme="0"/>
      <name val="Arial Narrow"/>
      <family val="2"/>
    </font>
    <font>
      <sz val="11"/>
      <color theme="0"/>
      <name val="Arial Narrow"/>
      <family val="2"/>
    </font>
    <font>
      <sz val="10"/>
      <name val="Arial Narrow"/>
      <family val="2"/>
    </font>
    <font>
      <sz val="11"/>
      <color rgb="FF242424"/>
      <name val="Arial Narrow"/>
      <family val="2"/>
    </font>
    <font>
      <b/>
      <sz val="11"/>
      <color rgb="FF242424"/>
      <name val="Arial Narrow"/>
      <family val="2"/>
    </font>
    <font>
      <sz val="10"/>
      <color theme="1"/>
      <name val="Arial Narrow"/>
      <family val="2"/>
    </font>
    <font>
      <sz val="12"/>
      <name val="Arial Narrow"/>
      <family val="2"/>
    </font>
    <font>
      <sz val="10"/>
      <color rgb="FF000000"/>
      <name val="Arial Narrow"/>
      <family val="2"/>
    </font>
    <font>
      <sz val="9"/>
      <color theme="1"/>
      <name val="Arial Narrow"/>
      <family val="2"/>
    </font>
    <font>
      <b/>
      <sz val="10"/>
      <color theme="1"/>
      <name val="Arial Narrow"/>
      <family val="2"/>
    </font>
    <font>
      <sz val="14"/>
      <color theme="1"/>
      <name val="Arial Narrow"/>
      <family val="2"/>
    </font>
    <font>
      <b/>
      <sz val="14"/>
      <name val="Arial Narrow"/>
      <family val="2"/>
    </font>
    <font>
      <b/>
      <sz val="14"/>
      <color theme="1"/>
      <name val="Arial Narrow"/>
      <family val="2"/>
    </font>
    <font>
      <b/>
      <sz val="14"/>
      <color rgb="FF000000"/>
      <name val="Arial Narrow"/>
      <family val="2"/>
    </font>
  </fonts>
  <fills count="15">
    <fill>
      <patternFill patternType="none"/>
    </fill>
    <fill>
      <patternFill patternType="gray125"/>
    </fill>
    <fill>
      <patternFill patternType="solid">
        <fgColor theme="0"/>
        <bgColor indexed="64"/>
      </patternFill>
    </fill>
    <fill>
      <patternFill patternType="solid">
        <fgColor theme="0"/>
        <bgColor theme="0"/>
      </patternFill>
    </fill>
    <fill>
      <patternFill patternType="solid">
        <fgColor rgb="FFF2F2F2"/>
        <bgColor rgb="FF000000"/>
      </patternFill>
    </fill>
    <fill>
      <patternFill patternType="solid">
        <fgColor rgb="FFFFFFFF"/>
        <bgColor rgb="FFFFFFFF"/>
      </patternFill>
    </fill>
    <fill>
      <patternFill patternType="solid">
        <fgColor rgb="FFFFFF00"/>
        <bgColor indexed="64"/>
      </patternFill>
    </fill>
    <fill>
      <patternFill patternType="solid">
        <fgColor theme="4"/>
        <bgColor indexed="64"/>
      </patternFill>
    </fill>
    <fill>
      <patternFill patternType="solid">
        <fgColor theme="4"/>
        <bgColor rgb="FF000000"/>
      </patternFill>
    </fill>
    <fill>
      <patternFill patternType="solid">
        <fgColor theme="0" tint="-0.249977111117893"/>
        <bgColor indexed="64"/>
      </patternFill>
    </fill>
    <fill>
      <patternFill patternType="solid">
        <fgColor rgb="FF156082"/>
        <bgColor rgb="FF000000"/>
      </patternFill>
    </fill>
    <fill>
      <patternFill patternType="solid">
        <fgColor theme="2" tint="-9.9978637043366805E-2"/>
        <bgColor indexed="64"/>
      </patternFill>
    </fill>
    <fill>
      <patternFill patternType="solid">
        <fgColor rgb="FFFFFFFF"/>
        <bgColor rgb="FF000000"/>
      </patternFill>
    </fill>
    <fill>
      <patternFill patternType="solid">
        <fgColor theme="0" tint="-0.34998626667073579"/>
        <bgColor indexed="64"/>
      </patternFill>
    </fill>
    <fill>
      <patternFill patternType="solid">
        <fgColor theme="0" tint="-0.14999847407452621"/>
        <bgColor indexed="64"/>
      </patternFill>
    </fill>
  </fills>
  <borders count="80">
    <border>
      <left/>
      <right/>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style="thin">
        <color rgb="FF000000"/>
      </bottom>
      <diagonal/>
    </border>
    <border>
      <left/>
      <right/>
      <top style="thin">
        <color rgb="FF000000"/>
      </top>
      <bottom style="thin">
        <color rgb="FF000000"/>
      </bottom>
      <diagonal/>
    </border>
    <border>
      <left/>
      <right style="thin">
        <color rgb="FF000000"/>
      </right>
      <top/>
      <bottom/>
      <diagonal/>
    </border>
    <border>
      <left/>
      <right style="thin">
        <color rgb="FF000000"/>
      </right>
      <top style="thin">
        <color rgb="FF000000"/>
      </top>
      <bottom/>
      <diagonal/>
    </border>
    <border>
      <left/>
      <right style="thin">
        <color indexed="64"/>
      </right>
      <top style="thin">
        <color indexed="64"/>
      </top>
      <bottom style="thin">
        <color indexed="64"/>
      </bottom>
      <diagonal/>
    </border>
    <border>
      <left/>
      <right style="thin">
        <color rgb="FF000000"/>
      </right>
      <top/>
      <bottom style="thin">
        <color rgb="FF000000"/>
      </bottom>
      <diagonal/>
    </border>
    <border>
      <left style="medium">
        <color rgb="FF000000"/>
      </left>
      <right/>
      <top/>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right/>
      <top/>
      <bottom style="thin">
        <color indexed="64"/>
      </bottom>
      <diagonal/>
    </border>
    <border>
      <left style="medium">
        <color rgb="FF000000"/>
      </left>
      <right style="thin">
        <color rgb="FF000000"/>
      </right>
      <top/>
      <bottom style="thin">
        <color rgb="FF000000"/>
      </bottom>
      <diagonal/>
    </border>
    <border>
      <left style="thin">
        <color indexed="64"/>
      </left>
      <right/>
      <top/>
      <bottom/>
      <diagonal/>
    </border>
    <border>
      <left style="medium">
        <color rgb="FF000000"/>
      </left>
      <right/>
      <top/>
      <bottom style="thin">
        <color rgb="FF000000"/>
      </bottom>
      <diagonal/>
    </border>
    <border>
      <left style="thin">
        <color indexed="64"/>
      </left>
      <right style="thin">
        <color indexed="64"/>
      </right>
      <top/>
      <bottom/>
      <diagonal/>
    </border>
    <border>
      <left style="medium">
        <color rgb="FF000000"/>
      </left>
      <right style="thin">
        <color indexed="64"/>
      </right>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diagonal/>
    </border>
    <border>
      <left style="thin">
        <color indexed="64"/>
      </left>
      <right style="thin">
        <color indexed="64"/>
      </right>
      <top style="thin">
        <color indexed="64"/>
      </top>
      <bottom/>
      <diagonal/>
    </border>
    <border>
      <left style="medium">
        <color rgb="FF000000"/>
      </left>
      <right style="thin">
        <color rgb="FF000000"/>
      </right>
      <top/>
      <bottom/>
      <diagonal/>
    </border>
    <border>
      <left style="medium">
        <color indexed="64"/>
      </left>
      <right style="thin">
        <color rgb="FF000000"/>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rgb="FF000000"/>
      </left>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right/>
      <top style="thin">
        <color indexed="64"/>
      </top>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style="thin">
        <color rgb="FF000000"/>
      </bottom>
      <diagonal/>
    </border>
    <border>
      <left style="medium">
        <color indexed="64"/>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style="medium">
        <color indexed="64"/>
      </top>
      <bottom/>
      <diagonal/>
    </border>
    <border>
      <left style="thin">
        <color rgb="FF000000"/>
      </left>
      <right style="medium">
        <color indexed="64"/>
      </right>
      <top style="thin">
        <color rgb="FF000000"/>
      </top>
      <bottom style="medium">
        <color indexed="64"/>
      </bottom>
      <diagonal/>
    </border>
    <border>
      <left style="thin">
        <color rgb="FF000000"/>
      </left>
      <right style="medium">
        <color indexed="64"/>
      </right>
      <top style="thin">
        <color rgb="FF000000"/>
      </top>
      <bottom style="thin">
        <color rgb="FF000000"/>
      </bottom>
      <diagonal/>
    </border>
    <border>
      <left style="thin">
        <color rgb="FF000000"/>
      </left>
      <right/>
      <top style="medium">
        <color indexed="64"/>
      </top>
      <bottom/>
      <diagonal/>
    </border>
    <border>
      <left style="thin">
        <color rgb="FF000000"/>
      </left>
      <right style="medium">
        <color indexed="64"/>
      </right>
      <top style="thin">
        <color rgb="FF000000"/>
      </top>
      <bottom/>
      <diagonal/>
    </border>
    <border>
      <left/>
      <right style="thin">
        <color rgb="FF000000"/>
      </right>
      <top style="thin">
        <color rgb="FF000000"/>
      </top>
      <bottom style="medium">
        <color indexed="64"/>
      </bottom>
      <diagonal/>
    </border>
    <border>
      <left style="thin">
        <color rgb="FF000000"/>
      </left>
      <right style="medium">
        <color indexed="64"/>
      </right>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style="medium">
        <color indexed="64"/>
      </left>
      <right style="thin">
        <color rgb="FF000000"/>
      </right>
      <top style="medium">
        <color indexed="64"/>
      </top>
      <bottom style="thin">
        <color rgb="FF000000"/>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rgb="FF000000"/>
      </right>
      <top/>
      <bottom style="thin">
        <color rgb="FF000000"/>
      </bottom>
      <diagonal/>
    </border>
    <border>
      <left style="thin">
        <color rgb="FF000000"/>
      </left>
      <right style="thin">
        <color rgb="FF000000"/>
      </right>
      <top/>
      <bottom style="medium">
        <color indexed="64"/>
      </bottom>
      <diagonal/>
    </border>
    <border>
      <left style="medium">
        <color indexed="64"/>
      </left>
      <right style="thin">
        <color rgb="FF000000"/>
      </right>
      <top style="thin">
        <color rgb="FF000000"/>
      </top>
      <bottom/>
      <diagonal/>
    </border>
    <border>
      <left style="medium">
        <color indexed="64"/>
      </left>
      <right style="thin">
        <color rgb="FF000000"/>
      </right>
      <top style="thin">
        <color rgb="FF000000"/>
      </top>
      <bottom style="medium">
        <color indexed="64"/>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top style="thin">
        <color indexed="64"/>
      </top>
      <bottom style="thin">
        <color rgb="FF000000"/>
      </bottom>
      <diagonal/>
    </border>
    <border>
      <left style="thin">
        <color indexed="64"/>
      </left>
      <right/>
      <top/>
      <bottom style="thin">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indexed="64"/>
      </left>
      <right style="thin">
        <color indexed="64"/>
      </right>
      <top style="medium">
        <color rgb="FF000000"/>
      </top>
      <bottom/>
      <diagonal/>
    </border>
    <border>
      <left style="medium">
        <color rgb="FF000000"/>
      </left>
      <right/>
      <top style="thin">
        <color rgb="FF000000"/>
      </top>
      <bottom style="medium">
        <color indexed="64"/>
      </bottom>
      <diagonal/>
    </border>
    <border>
      <left style="medium">
        <color rgb="FF000000"/>
      </left>
      <right style="thin">
        <color indexed="64"/>
      </right>
      <top style="thin">
        <color indexed="64"/>
      </top>
      <bottom style="thin">
        <color indexed="64"/>
      </bottom>
      <diagonal/>
    </border>
    <border>
      <left style="medium">
        <color rgb="FF000000"/>
      </left>
      <right style="thin">
        <color indexed="64"/>
      </right>
      <top style="thin">
        <color indexed="64"/>
      </top>
      <bottom/>
      <diagonal/>
    </border>
    <border>
      <left style="medium">
        <color rgb="FF000000"/>
      </left>
      <right/>
      <top/>
      <bottom style="medium">
        <color indexed="64"/>
      </bottom>
      <diagonal/>
    </border>
    <border>
      <left style="medium">
        <color indexed="64"/>
      </left>
      <right/>
      <top style="medium">
        <color indexed="64"/>
      </top>
      <bottom style="medium">
        <color indexed="64"/>
      </bottom>
      <diagonal/>
    </border>
    <border>
      <left style="thin">
        <color rgb="FF000000"/>
      </left>
      <right style="medium">
        <color indexed="64"/>
      </right>
      <top style="medium">
        <color indexed="64"/>
      </top>
      <bottom style="thin">
        <color rgb="FF000000"/>
      </bottom>
      <diagonal/>
    </border>
    <border>
      <left/>
      <right style="thin">
        <color indexed="64"/>
      </right>
      <top/>
      <bottom/>
      <diagonal/>
    </border>
    <border>
      <left/>
      <right/>
      <top style="thin">
        <color rgb="FF000000"/>
      </top>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style="medium">
        <color indexed="64"/>
      </bottom>
      <diagonal/>
    </border>
    <border>
      <left style="thin">
        <color indexed="64"/>
      </left>
      <right style="thin">
        <color indexed="64"/>
      </right>
      <top/>
      <bottom style="thin">
        <color indexed="64"/>
      </bottom>
      <diagonal/>
    </border>
    <border>
      <left/>
      <right style="medium">
        <color rgb="FF000000"/>
      </right>
      <top style="thin">
        <color rgb="FF000000"/>
      </top>
      <bottom style="thin">
        <color rgb="FF000000"/>
      </bottom>
      <diagonal/>
    </border>
    <border>
      <left style="thin">
        <color indexed="64"/>
      </left>
      <right style="thin">
        <color rgb="FF000000"/>
      </right>
      <top style="thin">
        <color indexed="64"/>
      </top>
      <bottom style="thin">
        <color indexed="64"/>
      </bottom>
      <diagonal/>
    </border>
  </borders>
  <cellStyleXfs count="56">
    <xf numFmtId="0" fontId="0" fillId="0" borderId="0"/>
    <xf numFmtId="43"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0" fontId="1" fillId="0" borderId="0"/>
    <xf numFmtId="167" fontId="1" fillId="0" borderId="0" applyFont="0" applyFill="0" applyBorder="0" applyAlignment="0" applyProtection="0"/>
    <xf numFmtId="167" fontId="1"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1" fontId="3" fillId="0" borderId="0" applyFont="0" applyFill="0" applyBorder="0" applyAlignment="0" applyProtection="0"/>
    <xf numFmtId="0" fontId="3"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6" fillId="0" borderId="0"/>
    <xf numFmtId="166" fontId="6" fillId="0" borderId="0" applyFont="0" applyFill="0" applyBorder="0" applyAlignment="0" applyProtection="0"/>
    <xf numFmtId="0" fontId="6" fillId="0" borderId="0"/>
    <xf numFmtId="166" fontId="6" fillId="0" borderId="0" applyFont="0" applyFill="0" applyBorder="0" applyAlignment="0" applyProtection="0"/>
    <xf numFmtId="0" fontId="1" fillId="0" borderId="0"/>
    <xf numFmtId="0" fontId="6" fillId="0" borderId="0"/>
    <xf numFmtId="0" fontId="6" fillId="0" borderId="0"/>
    <xf numFmtId="164" fontId="3" fillId="0" borderId="0" applyBorder="0" applyAlignment="0" applyProtection="0"/>
    <xf numFmtId="0" fontId="1" fillId="0" borderId="0"/>
    <xf numFmtId="164" fontId="6" fillId="0" borderId="0" applyFont="0" applyFill="0" applyBorder="0" applyAlignment="0" applyProtection="0"/>
    <xf numFmtId="0" fontId="17" fillId="0" borderId="0"/>
    <xf numFmtId="166" fontId="1" fillId="0" borderId="0" applyFont="0" applyFill="0" applyBorder="0" applyAlignment="0" applyProtection="0"/>
    <xf numFmtId="42" fontId="1" fillId="0" borderId="0" applyFont="0" applyFill="0" applyBorder="0" applyAlignment="0" applyProtection="0"/>
    <xf numFmtId="179" fontId="1" fillId="0" borderId="0" applyFont="0" applyFill="0" applyBorder="0" applyAlignment="0" applyProtection="0"/>
    <xf numFmtId="0" fontId="3" fillId="0" borderId="0">
      <alignment horizontal="center" vertical="center" wrapText="1"/>
    </xf>
    <xf numFmtId="0" fontId="16" fillId="0" borderId="0" applyNumberForma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1"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6" fillId="0" borderId="0"/>
    <xf numFmtId="166" fontId="6" fillId="0" borderId="0" applyFont="0" applyFill="0" applyBorder="0" applyAlignment="0" applyProtection="0"/>
    <xf numFmtId="0" fontId="6" fillId="0" borderId="0"/>
    <xf numFmtId="166" fontId="6" fillId="0" borderId="0" applyFont="0" applyFill="0" applyBorder="0" applyAlignment="0" applyProtection="0"/>
    <xf numFmtId="0" fontId="6" fillId="0" borderId="0"/>
    <xf numFmtId="0" fontId="6" fillId="0" borderId="0"/>
    <xf numFmtId="164" fontId="3" fillId="0" borderId="0" applyBorder="0" applyAlignment="0" applyProtection="0"/>
    <xf numFmtId="164" fontId="6" fillId="0" borderId="0" applyFont="0" applyFill="0" applyBorder="0" applyAlignment="0" applyProtection="0"/>
    <xf numFmtId="179" fontId="1" fillId="0" borderId="0" applyFont="0" applyFill="0" applyBorder="0" applyAlignment="0" applyProtection="0"/>
    <xf numFmtId="0" fontId="32" fillId="0" borderId="0"/>
    <xf numFmtId="9" fontId="1" fillId="0" borderId="0" applyFont="0" applyFill="0" applyBorder="0" applyAlignment="0" applyProtection="0"/>
  </cellStyleXfs>
  <cellXfs count="1575">
    <xf numFmtId="0" fontId="0" fillId="0" borderId="0" xfId="0"/>
    <xf numFmtId="169" fontId="0" fillId="0" borderId="0" xfId="0" applyNumberFormat="1"/>
    <xf numFmtId="0" fontId="2" fillId="0" borderId="0" xfId="0" applyFont="1"/>
    <xf numFmtId="0" fontId="5" fillId="2" borderId="6" xfId="0" applyFont="1" applyFill="1" applyBorder="1" applyAlignment="1">
      <alignment horizontal="left" vertical="center" wrapText="1"/>
    </xf>
    <xf numFmtId="0" fontId="5" fillId="2" borderId="10" xfId="0" applyFont="1" applyFill="1" applyBorder="1" applyAlignment="1">
      <alignment horizontal="center" vertical="center" wrapText="1"/>
    </xf>
    <xf numFmtId="9" fontId="5" fillId="2" borderId="4" xfId="0" applyNumberFormat="1" applyFont="1" applyFill="1" applyBorder="1" applyAlignment="1">
      <alignment horizontal="center" vertical="center" wrapText="1"/>
    </xf>
    <xf numFmtId="0" fontId="5" fillId="2" borderId="4" xfId="0" applyFont="1" applyFill="1" applyBorder="1" applyAlignment="1">
      <alignment horizontal="center" vertical="center" wrapText="1"/>
    </xf>
    <xf numFmtId="0" fontId="9" fillId="0" borderId="4" xfId="4" applyFont="1" applyBorder="1" applyAlignment="1">
      <alignment horizontal="center" vertical="center"/>
    </xf>
    <xf numFmtId="165" fontId="8" fillId="2" borderId="4" xfId="3" applyFont="1" applyFill="1" applyBorder="1" applyAlignment="1">
      <alignment horizontal="center" vertical="center"/>
    </xf>
    <xf numFmtId="0" fontId="5" fillId="0" borderId="10" xfId="3" applyNumberFormat="1" applyFont="1" applyFill="1" applyBorder="1" applyAlignment="1">
      <alignment horizontal="center" vertical="center" wrapText="1"/>
    </xf>
    <xf numFmtId="9" fontId="5" fillId="0" borderId="4" xfId="3" applyNumberFormat="1" applyFont="1" applyFill="1" applyBorder="1" applyAlignment="1">
      <alignment horizontal="center" vertical="center" wrapText="1"/>
    </xf>
    <xf numFmtId="0" fontId="8" fillId="2" borderId="4" xfId="3" applyNumberFormat="1" applyFont="1" applyFill="1" applyBorder="1" applyAlignment="1">
      <alignment horizontal="center" vertical="center" wrapText="1"/>
    </xf>
    <xf numFmtId="2" fontId="8" fillId="0" borderId="4" xfId="3" applyNumberFormat="1" applyFont="1" applyFill="1" applyBorder="1" applyAlignment="1">
      <alignment horizontal="center" vertical="center" wrapText="1"/>
    </xf>
    <xf numFmtId="0" fontId="5" fillId="2" borderId="18" xfId="0" applyFont="1" applyFill="1" applyBorder="1" applyAlignment="1">
      <alignment horizontal="left" vertical="center" wrapText="1"/>
    </xf>
    <xf numFmtId="9" fontId="5" fillId="2" borderId="4" xfId="3" applyNumberFormat="1" applyFont="1" applyFill="1" applyBorder="1" applyAlignment="1">
      <alignment horizontal="center" vertical="center" wrapText="1"/>
    </xf>
    <xf numFmtId="177" fontId="8" fillId="2" borderId="4" xfId="3" applyNumberFormat="1" applyFont="1" applyFill="1" applyBorder="1" applyAlignment="1">
      <alignment horizontal="center" vertical="center"/>
    </xf>
    <xf numFmtId="0" fontId="5" fillId="2" borderId="4" xfId="0" applyFont="1" applyFill="1" applyBorder="1" applyAlignment="1">
      <alignment horizontal="left" vertical="center" wrapText="1"/>
    </xf>
    <xf numFmtId="165" fontId="8" fillId="2" borderId="6" xfId="3" applyFont="1" applyFill="1" applyBorder="1" applyAlignment="1">
      <alignment horizontal="center" vertical="center"/>
    </xf>
    <xf numFmtId="0" fontId="5" fillId="2" borderId="2" xfId="0" applyFont="1" applyFill="1" applyBorder="1" applyAlignment="1">
      <alignment horizontal="left" vertical="center" wrapText="1"/>
    </xf>
    <xf numFmtId="0" fontId="5" fillId="2" borderId="30" xfId="0" applyFont="1" applyFill="1" applyBorder="1" applyAlignment="1">
      <alignment horizontal="left" vertical="center" wrapText="1"/>
    </xf>
    <xf numFmtId="0" fontId="5" fillId="2" borderId="9" xfId="0" applyFont="1" applyFill="1" applyBorder="1" applyAlignment="1">
      <alignment horizontal="left" vertical="center" wrapText="1"/>
    </xf>
    <xf numFmtId="169" fontId="8" fillId="2" borderId="4" xfId="3" applyNumberFormat="1" applyFont="1" applyFill="1" applyBorder="1" applyAlignment="1">
      <alignment horizontal="center" vertical="center" wrapText="1" indent="1"/>
    </xf>
    <xf numFmtId="165" fontId="5" fillId="2" borderId="4" xfId="3" applyFont="1" applyFill="1" applyBorder="1" applyAlignment="1">
      <alignment horizontal="center" vertical="center"/>
    </xf>
    <xf numFmtId="2" fontId="8" fillId="2" borderId="6" xfId="3" applyNumberFormat="1" applyFont="1" applyFill="1" applyBorder="1" applyAlignment="1">
      <alignment horizontal="center" vertical="center"/>
    </xf>
    <xf numFmtId="3" fontId="0" fillId="0" borderId="0" xfId="0" applyNumberFormat="1"/>
    <xf numFmtId="169" fontId="5" fillId="2" borderId="4" xfId="3" applyNumberFormat="1" applyFont="1" applyFill="1" applyBorder="1" applyAlignment="1">
      <alignment horizontal="center" vertical="center" wrapText="1" indent="1"/>
    </xf>
    <xf numFmtId="2" fontId="5" fillId="2" borderId="4" xfId="3" applyNumberFormat="1" applyFont="1" applyFill="1" applyBorder="1" applyAlignment="1">
      <alignment horizontal="center" vertical="center"/>
    </xf>
    <xf numFmtId="177" fontId="5" fillId="2" borderId="11" xfId="3" applyNumberFormat="1" applyFont="1" applyFill="1" applyBorder="1" applyAlignment="1">
      <alignment horizontal="center" vertical="center"/>
    </xf>
    <xf numFmtId="165" fontId="8" fillId="2" borderId="5" xfId="3" applyFont="1" applyFill="1" applyBorder="1" applyAlignment="1">
      <alignment horizontal="center" vertical="center"/>
    </xf>
    <xf numFmtId="169" fontId="0" fillId="0" borderId="0" xfId="1" applyNumberFormat="1" applyFont="1"/>
    <xf numFmtId="0" fontId="0" fillId="0" borderId="0" xfId="0" applyAlignment="1">
      <alignment vertical="center"/>
    </xf>
    <xf numFmtId="0" fontId="5" fillId="2" borderId="4" xfId="3" applyNumberFormat="1" applyFont="1" applyFill="1" applyBorder="1" applyAlignment="1">
      <alignment horizontal="center" vertical="center" wrapText="1"/>
    </xf>
    <xf numFmtId="178" fontId="5" fillId="0" borderId="4" xfId="3" applyNumberFormat="1" applyFont="1" applyFill="1" applyBorder="1" applyAlignment="1">
      <alignment horizontal="center" vertical="center" wrapText="1"/>
    </xf>
    <xf numFmtId="177" fontId="5" fillId="2" borderId="4" xfId="3" applyNumberFormat="1" applyFont="1" applyFill="1" applyBorder="1" applyAlignment="1">
      <alignment horizontal="center" vertical="center"/>
    </xf>
    <xf numFmtId="0" fontId="7" fillId="0" borderId="0" xfId="0" applyFont="1"/>
    <xf numFmtId="2" fontId="5" fillId="0" borderId="4" xfId="3" applyNumberFormat="1" applyFont="1" applyFill="1" applyBorder="1" applyAlignment="1">
      <alignment horizontal="center" vertical="center" wrapText="1"/>
    </xf>
    <xf numFmtId="3" fontId="2" fillId="0" borderId="0" xfId="0" applyNumberFormat="1" applyFont="1"/>
    <xf numFmtId="3" fontId="2" fillId="2" borderId="0" xfId="0" applyNumberFormat="1" applyFont="1" applyFill="1"/>
    <xf numFmtId="0" fontId="2" fillId="2" borderId="0" xfId="0" applyFont="1" applyFill="1"/>
    <xf numFmtId="0" fontId="2" fillId="6" borderId="0" xfId="0" applyFont="1" applyFill="1"/>
    <xf numFmtId="43" fontId="2" fillId="0" borderId="0" xfId="0" applyNumberFormat="1" applyFont="1"/>
    <xf numFmtId="165" fontId="0" fillId="0" borderId="0" xfId="0" applyNumberFormat="1"/>
    <xf numFmtId="0" fontId="11" fillId="2" borderId="32" xfId="0" applyFont="1" applyFill="1" applyBorder="1" applyAlignment="1">
      <alignment horizontal="center" vertical="center"/>
    </xf>
    <xf numFmtId="0" fontId="11" fillId="2" borderId="33" xfId="0" applyFont="1" applyFill="1" applyBorder="1" applyAlignment="1">
      <alignment horizontal="left" vertical="center" wrapText="1"/>
    </xf>
    <xf numFmtId="0" fontId="11" fillId="2" borderId="34" xfId="0" applyFont="1" applyFill="1" applyBorder="1" applyAlignment="1">
      <alignment vertical="center" wrapText="1"/>
    </xf>
    <xf numFmtId="0" fontId="12" fillId="2" borderId="35" xfId="3" applyNumberFormat="1" applyFont="1" applyFill="1" applyBorder="1" applyAlignment="1">
      <alignment vertical="center" wrapText="1"/>
    </xf>
    <xf numFmtId="0" fontId="12" fillId="2" borderId="36" xfId="3" applyNumberFormat="1" applyFont="1" applyFill="1" applyBorder="1" applyAlignment="1">
      <alignment horizontal="center" vertical="center" wrapText="1"/>
    </xf>
    <xf numFmtId="165" fontId="12" fillId="2" borderId="36" xfId="3" applyFont="1" applyFill="1" applyBorder="1" applyAlignment="1">
      <alignment horizontal="center" vertical="center" wrapText="1"/>
    </xf>
    <xf numFmtId="165" fontId="11" fillId="2" borderId="36" xfId="3" applyFont="1" applyFill="1" applyBorder="1" applyAlignment="1">
      <alignment horizontal="center" vertical="center"/>
    </xf>
    <xf numFmtId="165" fontId="11" fillId="2" borderId="37" xfId="3" applyFont="1" applyFill="1" applyBorder="1" applyAlignment="1">
      <alignment horizontal="center" vertical="center"/>
    </xf>
    <xf numFmtId="0" fontId="23" fillId="2" borderId="0" xfId="0" applyFont="1" applyFill="1" applyAlignment="1">
      <alignment horizontal="left" vertical="center"/>
    </xf>
    <xf numFmtId="0" fontId="23" fillId="2" borderId="0" xfId="0" applyFont="1" applyFill="1" applyAlignment="1" applyProtection="1">
      <alignment horizontal="left" vertical="center"/>
      <protection locked="0"/>
    </xf>
    <xf numFmtId="0" fontId="24" fillId="2" borderId="0" xfId="0" applyFont="1" applyFill="1" applyAlignment="1">
      <alignment horizontal="center" vertical="center"/>
    </xf>
    <xf numFmtId="14" fontId="23" fillId="2" borderId="0" xfId="0" applyNumberFormat="1" applyFont="1" applyFill="1" applyAlignment="1" applyProtection="1">
      <alignment vertical="center"/>
      <protection locked="0"/>
    </xf>
    <xf numFmtId="165" fontId="8" fillId="9" borderId="4" xfId="3" applyFont="1" applyFill="1" applyBorder="1" applyAlignment="1">
      <alignment horizontal="left" vertical="center"/>
    </xf>
    <xf numFmtId="165" fontId="5" fillId="9" borderId="4" xfId="3" applyFont="1" applyFill="1" applyBorder="1" applyAlignment="1">
      <alignment horizontal="center" vertical="center"/>
    </xf>
    <xf numFmtId="165" fontId="5" fillId="9" borderId="5" xfId="3" applyFont="1" applyFill="1" applyBorder="1" applyAlignment="1">
      <alignment horizontal="center" vertical="center"/>
    </xf>
    <xf numFmtId="0" fontId="26" fillId="7" borderId="31" xfId="0" applyFont="1" applyFill="1" applyBorder="1" applyAlignment="1">
      <alignment horizontal="center" vertical="center"/>
    </xf>
    <xf numFmtId="0" fontId="26" fillId="7" borderId="12" xfId="0" applyFont="1" applyFill="1" applyBorder="1" applyAlignment="1">
      <alignment horizontal="center" vertical="center"/>
    </xf>
    <xf numFmtId="0" fontId="26" fillId="7" borderId="12" xfId="0" applyFont="1" applyFill="1" applyBorder="1" applyAlignment="1">
      <alignment horizontal="center" vertical="center" wrapText="1"/>
    </xf>
    <xf numFmtId="0" fontId="25" fillId="7" borderId="12" xfId="4" applyFont="1" applyFill="1" applyBorder="1" applyAlignment="1">
      <alignment horizontal="center" vertical="center" wrapText="1"/>
    </xf>
    <xf numFmtId="0" fontId="25" fillId="7" borderId="1" xfId="0" applyFont="1" applyFill="1" applyBorder="1" applyAlignment="1">
      <alignment horizontal="center" vertical="center" wrapText="1"/>
    </xf>
    <xf numFmtId="0" fontId="25" fillId="7" borderId="26" xfId="0" applyFont="1" applyFill="1" applyBorder="1" applyAlignment="1">
      <alignment horizontal="center" vertical="center" wrapText="1"/>
    </xf>
    <xf numFmtId="0" fontId="14" fillId="7" borderId="26" xfId="0" applyFont="1" applyFill="1" applyBorder="1" applyAlignment="1">
      <alignment horizontal="center" vertical="center" wrapText="1"/>
    </xf>
    <xf numFmtId="0" fontId="12" fillId="2" borderId="10" xfId="0" applyFont="1" applyFill="1" applyBorder="1" applyAlignment="1">
      <alignment horizontal="center" vertical="center" wrapText="1"/>
    </xf>
    <xf numFmtId="9" fontId="12" fillId="2" borderId="4" xfId="3" applyNumberFormat="1" applyFont="1" applyFill="1" applyBorder="1" applyAlignment="1">
      <alignment horizontal="center" vertical="center" wrapText="1"/>
    </xf>
    <xf numFmtId="0" fontId="12" fillId="2" borderId="4" xfId="3" applyNumberFormat="1" applyFont="1" applyFill="1" applyBorder="1" applyAlignment="1">
      <alignment horizontal="center" vertical="center" wrapText="1"/>
    </xf>
    <xf numFmtId="2" fontId="12" fillId="0" borderId="4" xfId="3" applyNumberFormat="1" applyFont="1" applyFill="1" applyBorder="1" applyAlignment="1">
      <alignment horizontal="center" vertical="center" wrapText="1"/>
    </xf>
    <xf numFmtId="177" fontId="12" fillId="2" borderId="4" xfId="3" applyNumberFormat="1" applyFont="1" applyFill="1" applyBorder="1" applyAlignment="1">
      <alignment horizontal="center" vertical="center"/>
    </xf>
    <xf numFmtId="165" fontId="12" fillId="2" borderId="4" xfId="3" applyFont="1" applyFill="1" applyBorder="1" applyAlignment="1">
      <alignment horizontal="center" vertical="center"/>
    </xf>
    <xf numFmtId="0" fontId="12" fillId="2" borderId="4" xfId="0" applyFont="1" applyFill="1" applyBorder="1" applyAlignment="1">
      <alignment horizontal="left" vertical="center" wrapText="1"/>
    </xf>
    <xf numFmtId="169" fontId="12" fillId="2" borderId="4" xfId="3" applyNumberFormat="1" applyFont="1" applyFill="1" applyBorder="1" applyAlignment="1">
      <alignment horizontal="center" vertical="center" wrapText="1" indent="1"/>
    </xf>
    <xf numFmtId="2" fontId="12" fillId="2" borderId="9" xfId="3" applyNumberFormat="1" applyFont="1" applyFill="1" applyBorder="1" applyAlignment="1">
      <alignment horizontal="center" vertical="center"/>
    </xf>
    <xf numFmtId="165" fontId="12" fillId="2" borderId="9" xfId="3" applyFont="1" applyFill="1" applyBorder="1" applyAlignment="1">
      <alignment horizontal="center" vertical="center"/>
    </xf>
    <xf numFmtId="165" fontId="8" fillId="9" borderId="4" xfId="3" applyFont="1" applyFill="1" applyBorder="1" applyAlignment="1">
      <alignment horizontal="center" vertical="center" wrapText="1"/>
    </xf>
    <xf numFmtId="165" fontId="5" fillId="9" borderId="4" xfId="3" applyFont="1" applyFill="1" applyBorder="1" applyAlignment="1">
      <alignment horizontal="left" vertical="center"/>
    </xf>
    <xf numFmtId="165" fontId="12" fillId="9" borderId="4" xfId="3" applyFont="1" applyFill="1" applyBorder="1" applyAlignment="1">
      <alignment horizontal="left" vertical="center"/>
    </xf>
    <xf numFmtId="2" fontId="5" fillId="2" borderId="5" xfId="3" applyNumberFormat="1" applyFont="1" applyFill="1" applyBorder="1" applyAlignment="1">
      <alignment horizontal="center" vertical="center"/>
    </xf>
    <xf numFmtId="165" fontId="8" fillId="2" borderId="2" xfId="3" applyFont="1" applyFill="1" applyBorder="1" applyAlignment="1">
      <alignment horizontal="center" vertical="center"/>
    </xf>
    <xf numFmtId="165" fontId="12" fillId="9" borderId="4" xfId="3" applyFont="1" applyFill="1" applyBorder="1" applyAlignment="1">
      <alignment horizontal="center" vertical="center"/>
    </xf>
    <xf numFmtId="49" fontId="21" fillId="7" borderId="4" xfId="4" applyNumberFormat="1" applyFont="1" applyFill="1" applyBorder="1" applyAlignment="1">
      <alignment horizontal="center" vertical="center"/>
    </xf>
    <xf numFmtId="1" fontId="21" fillId="7" borderId="4" xfId="4" applyNumberFormat="1" applyFont="1" applyFill="1" applyBorder="1" applyAlignment="1">
      <alignment horizontal="center" vertical="center"/>
    </xf>
    <xf numFmtId="0" fontId="22" fillId="0" borderId="4" xfId="4" applyFont="1" applyBorder="1" applyAlignment="1">
      <alignment horizontal="center" vertical="center"/>
    </xf>
    <xf numFmtId="0" fontId="29" fillId="0" borderId="4" xfId="4" applyFont="1" applyBorder="1" applyAlignment="1">
      <alignment horizontal="center" vertical="center"/>
    </xf>
    <xf numFmtId="1" fontId="28" fillId="2" borderId="4" xfId="7" applyNumberFormat="1" applyFont="1" applyFill="1" applyBorder="1" applyAlignment="1">
      <alignment horizontal="center" vertical="center"/>
    </xf>
    <xf numFmtId="1" fontId="29" fillId="0" borderId="4" xfId="4" applyNumberFormat="1" applyFont="1" applyBorder="1" applyAlignment="1">
      <alignment horizontal="center" vertical="center"/>
    </xf>
    <xf numFmtId="1" fontId="22" fillId="2" borderId="4" xfId="4" applyNumberFormat="1" applyFont="1" applyFill="1" applyBorder="1" applyAlignment="1">
      <alignment horizontal="center" vertical="center"/>
    </xf>
    <xf numFmtId="1" fontId="19" fillId="0" borderId="5" xfId="7" applyNumberFormat="1" applyFont="1" applyFill="1" applyBorder="1" applyAlignment="1">
      <alignment horizontal="center" vertical="center"/>
    </xf>
    <xf numFmtId="0" fontId="27" fillId="0" borderId="4" xfId="0" applyFont="1" applyBorder="1" applyAlignment="1">
      <alignment horizontal="center" vertical="center"/>
    </xf>
    <xf numFmtId="1" fontId="31" fillId="2" borderId="5" xfId="4" applyNumberFormat="1" applyFont="1" applyFill="1" applyBorder="1" applyAlignment="1">
      <alignment horizontal="center" vertical="center"/>
    </xf>
    <xf numFmtId="171" fontId="19" fillId="2" borderId="4" xfId="4" applyNumberFormat="1" applyFont="1" applyFill="1" applyBorder="1" applyAlignment="1">
      <alignment vertical="center"/>
    </xf>
    <xf numFmtId="3" fontId="29" fillId="0" borderId="4" xfId="4" applyNumberFormat="1" applyFont="1" applyBorder="1" applyAlignment="1">
      <alignment vertical="center"/>
    </xf>
    <xf numFmtId="1" fontId="31" fillId="2" borderId="14" xfId="4" applyNumberFormat="1" applyFont="1" applyFill="1" applyBorder="1" applyAlignment="1">
      <alignment horizontal="center" vertical="center"/>
    </xf>
    <xf numFmtId="1" fontId="29" fillId="0" borderId="11" xfId="4" applyNumberFormat="1" applyFont="1" applyBorder="1" applyAlignment="1">
      <alignment horizontal="center" vertical="center"/>
    </xf>
    <xf numFmtId="0" fontId="19" fillId="4" borderId="18" xfId="0" applyFont="1" applyFill="1" applyBorder="1" applyAlignment="1">
      <alignment vertical="center"/>
    </xf>
    <xf numFmtId="1" fontId="21" fillId="7" borderId="2" xfId="4" applyNumberFormat="1" applyFont="1" applyFill="1" applyBorder="1" applyAlignment="1">
      <alignment horizontal="center" vertical="center"/>
    </xf>
    <xf numFmtId="4" fontId="21" fillId="7" borderId="2" xfId="4" applyNumberFormat="1" applyFont="1" applyFill="1" applyBorder="1" applyAlignment="1">
      <alignment vertical="center"/>
    </xf>
    <xf numFmtId="0" fontId="23" fillId="2" borderId="22" xfId="0" applyFont="1" applyFill="1" applyBorder="1" applyAlignment="1" applyProtection="1">
      <alignment vertical="center"/>
      <protection locked="0"/>
    </xf>
    <xf numFmtId="0" fontId="24" fillId="2" borderId="38" xfId="0" applyFont="1" applyFill="1" applyBorder="1" applyAlignment="1">
      <alignment vertical="center"/>
    </xf>
    <xf numFmtId="0" fontId="26" fillId="7" borderId="52" xfId="0" applyFont="1" applyFill="1" applyBorder="1" applyAlignment="1">
      <alignment horizontal="center" vertical="center"/>
    </xf>
    <xf numFmtId="0" fontId="26" fillId="7" borderId="40" xfId="0" applyFont="1" applyFill="1" applyBorder="1" applyAlignment="1">
      <alignment horizontal="left" vertical="center" wrapText="1"/>
    </xf>
    <xf numFmtId="0" fontId="26" fillId="7" borderId="43" xfId="0" applyFont="1" applyFill="1" applyBorder="1" applyAlignment="1">
      <alignment horizontal="center" vertical="center" wrapText="1"/>
    </xf>
    <xf numFmtId="0" fontId="25" fillId="7" borderId="43" xfId="4" applyFont="1" applyFill="1" applyBorder="1" applyAlignment="1">
      <alignment horizontal="center" vertical="center" wrapText="1"/>
    </xf>
    <xf numFmtId="0" fontId="25" fillId="7" borderId="46" xfId="0" applyFont="1" applyFill="1" applyBorder="1" applyAlignment="1">
      <alignment horizontal="center" vertical="center" wrapText="1"/>
    </xf>
    <xf numFmtId="0" fontId="25" fillId="7" borderId="53" xfId="0" applyFont="1" applyFill="1" applyBorder="1" applyAlignment="1">
      <alignment horizontal="center" vertical="center" wrapText="1"/>
    </xf>
    <xf numFmtId="0" fontId="14" fillId="7" borderId="54" xfId="0" applyFont="1" applyFill="1" applyBorder="1" applyAlignment="1">
      <alignment horizontal="center" vertical="center" wrapText="1"/>
    </xf>
    <xf numFmtId="0" fontId="4" fillId="2" borderId="55" xfId="0" applyFont="1" applyFill="1" applyBorder="1" applyAlignment="1">
      <alignment horizontal="center" vertical="center"/>
    </xf>
    <xf numFmtId="165" fontId="8" fillId="2" borderId="45" xfId="3" applyFont="1" applyFill="1" applyBorder="1" applyAlignment="1">
      <alignment horizontal="center" vertical="center"/>
    </xf>
    <xf numFmtId="0" fontId="4" fillId="2" borderId="41" xfId="0" applyFont="1" applyFill="1" applyBorder="1" applyAlignment="1">
      <alignment horizontal="center" vertical="center" wrapText="1"/>
    </xf>
    <xf numFmtId="0" fontId="4" fillId="2" borderId="56" xfId="0" applyFont="1" applyFill="1" applyBorder="1" applyAlignment="1">
      <alignment horizontal="left" vertical="center" wrapText="1"/>
    </xf>
    <xf numFmtId="0" fontId="5" fillId="2" borderId="50" xfId="0" applyFont="1" applyFill="1" applyBorder="1" applyAlignment="1">
      <alignment horizontal="center" vertical="center" wrapText="1"/>
    </xf>
    <xf numFmtId="0" fontId="5" fillId="2" borderId="42" xfId="3" applyNumberFormat="1" applyFont="1" applyFill="1" applyBorder="1" applyAlignment="1">
      <alignment horizontal="center" vertical="center" wrapText="1"/>
    </xf>
    <xf numFmtId="0" fontId="8" fillId="2" borderId="42" xfId="3" applyNumberFormat="1" applyFont="1" applyFill="1" applyBorder="1" applyAlignment="1">
      <alignment horizontal="center" vertical="center" wrapText="1"/>
    </xf>
    <xf numFmtId="165" fontId="8" fillId="2" borderId="42" xfId="3" applyFont="1" applyFill="1" applyBorder="1" applyAlignment="1">
      <alignment horizontal="center" vertical="center"/>
    </xf>
    <xf numFmtId="165" fontId="8" fillId="0" borderId="42" xfId="3" applyFont="1" applyFill="1" applyBorder="1" applyAlignment="1">
      <alignment horizontal="center" vertical="center" wrapText="1"/>
    </xf>
    <xf numFmtId="177" fontId="10" fillId="2" borderId="42" xfId="3" applyNumberFormat="1" applyFont="1" applyFill="1" applyBorder="1" applyAlignment="1">
      <alignment horizontal="center" vertical="center"/>
    </xf>
    <xf numFmtId="177" fontId="10" fillId="2" borderId="44" xfId="3" applyNumberFormat="1" applyFont="1" applyFill="1" applyBorder="1" applyAlignment="1">
      <alignment horizontal="center" vertical="center"/>
    </xf>
    <xf numFmtId="165" fontId="5" fillId="2" borderId="45" xfId="3" applyFont="1" applyFill="1" applyBorder="1" applyAlignment="1">
      <alignment horizontal="center" vertical="center"/>
    </xf>
    <xf numFmtId="165" fontId="8" fillId="2" borderId="47" xfId="3" applyFont="1" applyFill="1" applyBorder="1" applyAlignment="1">
      <alignment horizontal="center" vertical="center"/>
    </xf>
    <xf numFmtId="0" fontId="4" fillId="2" borderId="42" xfId="0" applyFont="1" applyFill="1" applyBorder="1" applyAlignment="1">
      <alignment horizontal="left" vertical="center" wrapText="1"/>
    </xf>
    <xf numFmtId="0" fontId="4" fillId="2" borderId="50" xfId="0" applyFont="1" applyFill="1" applyBorder="1" applyAlignment="1">
      <alignment horizontal="center" vertical="center" wrapText="1"/>
    </xf>
    <xf numFmtId="0" fontId="5" fillId="2" borderId="42" xfId="3" applyNumberFormat="1" applyFont="1" applyFill="1" applyBorder="1" applyAlignment="1">
      <alignment vertical="center" wrapText="1"/>
    </xf>
    <xf numFmtId="165" fontId="8" fillId="2" borderId="42" xfId="3" applyFont="1" applyFill="1" applyBorder="1" applyAlignment="1">
      <alignment horizontal="center" vertical="center" wrapText="1"/>
    </xf>
    <xf numFmtId="165" fontId="10" fillId="2" borderId="56" xfId="3" applyFont="1" applyFill="1" applyBorder="1" applyAlignment="1">
      <alignment horizontal="center" vertical="center"/>
    </xf>
    <xf numFmtId="165" fontId="10" fillId="2" borderId="49" xfId="3" applyFont="1" applyFill="1" applyBorder="1" applyAlignment="1">
      <alignment horizontal="center" vertical="center"/>
    </xf>
    <xf numFmtId="0" fontId="26" fillId="7" borderId="40" xfId="0" applyFont="1" applyFill="1" applyBorder="1" applyAlignment="1">
      <alignment horizontal="left" vertical="center"/>
    </xf>
    <xf numFmtId="0" fontId="26" fillId="7" borderId="40" xfId="0" applyFont="1" applyFill="1" applyBorder="1" applyAlignment="1">
      <alignment vertical="center"/>
    </xf>
    <xf numFmtId="0" fontId="26" fillId="7" borderId="43" xfId="0" applyFont="1" applyFill="1" applyBorder="1" applyAlignment="1">
      <alignment vertical="center" wrapText="1"/>
    </xf>
    <xf numFmtId="0" fontId="25" fillId="7" borderId="43" xfId="4" applyFont="1" applyFill="1" applyBorder="1" applyAlignment="1">
      <alignment horizontal="center" vertical="center"/>
    </xf>
    <xf numFmtId="0" fontId="15" fillId="7" borderId="53" xfId="0" applyFont="1" applyFill="1" applyBorder="1"/>
    <xf numFmtId="0" fontId="15" fillId="7" borderId="54" xfId="0" applyFont="1" applyFill="1" applyBorder="1"/>
    <xf numFmtId="0" fontId="4" fillId="2" borderId="57" xfId="0" applyFont="1" applyFill="1" applyBorder="1" applyAlignment="1">
      <alignment horizontal="center" vertical="center"/>
    </xf>
    <xf numFmtId="0" fontId="4" fillId="2" borderId="58" xfId="0" applyFont="1" applyFill="1" applyBorder="1" applyAlignment="1">
      <alignment horizontal="center" vertical="center"/>
    </xf>
    <xf numFmtId="0" fontId="5" fillId="0" borderId="50" xfId="3" applyNumberFormat="1" applyFont="1" applyFill="1" applyBorder="1" applyAlignment="1">
      <alignment horizontal="center" vertical="center" wrapText="1"/>
    </xf>
    <xf numFmtId="9" fontId="5" fillId="0" borderId="42" xfId="3" applyNumberFormat="1" applyFont="1" applyFill="1" applyBorder="1" applyAlignment="1">
      <alignment horizontal="center" vertical="center" wrapText="1"/>
    </xf>
    <xf numFmtId="165" fontId="8" fillId="0" borderId="42" xfId="3" applyFont="1" applyFill="1" applyBorder="1" applyAlignment="1">
      <alignment horizontal="left" vertical="center"/>
    </xf>
    <xf numFmtId="2" fontId="8" fillId="0" borderId="42" xfId="3" applyNumberFormat="1" applyFont="1" applyFill="1" applyBorder="1" applyAlignment="1">
      <alignment horizontal="center" vertical="center" wrapText="1"/>
    </xf>
    <xf numFmtId="165" fontId="10" fillId="2" borderId="42" xfId="3" applyFont="1" applyFill="1" applyBorder="1" applyAlignment="1">
      <alignment horizontal="center" vertical="center"/>
    </xf>
    <xf numFmtId="165" fontId="10" fillId="2" borderId="44" xfId="3" applyFont="1" applyFill="1" applyBorder="1" applyAlignment="1">
      <alignment horizontal="center" vertical="center"/>
    </xf>
    <xf numFmtId="0" fontId="26" fillId="7" borderId="39" xfId="0" applyFont="1" applyFill="1" applyBorder="1" applyAlignment="1">
      <alignment horizontal="center" vertical="center"/>
    </xf>
    <xf numFmtId="0" fontId="26" fillId="7" borderId="43" xfId="0" applyFont="1" applyFill="1" applyBorder="1" applyAlignment="1">
      <alignment horizontal="left" vertical="center" wrapText="1"/>
    </xf>
    <xf numFmtId="0" fontId="4" fillId="2" borderId="59" xfId="0" applyFont="1" applyFill="1" applyBorder="1" applyAlignment="1">
      <alignment horizontal="center" vertical="center" wrapText="1"/>
    </xf>
    <xf numFmtId="0" fontId="11" fillId="2" borderId="59" xfId="0" applyFont="1" applyFill="1" applyBorder="1" applyAlignment="1">
      <alignment horizontal="center" vertical="center"/>
    </xf>
    <xf numFmtId="165" fontId="13" fillId="2" borderId="45" xfId="3" applyFont="1" applyFill="1" applyBorder="1" applyAlignment="1">
      <alignment horizontal="center" vertical="center"/>
    </xf>
    <xf numFmtId="0" fontId="4" fillId="2" borderId="59" xfId="0" applyFont="1" applyFill="1" applyBorder="1" applyAlignment="1">
      <alignment horizontal="center" vertical="center"/>
    </xf>
    <xf numFmtId="0" fontId="4" fillId="2" borderId="48" xfId="0" applyFont="1" applyFill="1" applyBorder="1" applyAlignment="1">
      <alignment horizontal="left" vertical="center" wrapText="1"/>
    </xf>
    <xf numFmtId="0" fontId="5" fillId="2" borderId="51" xfId="0" applyFont="1" applyFill="1" applyBorder="1" applyAlignment="1">
      <alignment vertical="center" wrapText="1"/>
    </xf>
    <xf numFmtId="165" fontId="12" fillId="2" borderId="45" xfId="3" applyFont="1" applyFill="1" applyBorder="1" applyAlignment="1">
      <alignment horizontal="center" vertical="center"/>
    </xf>
    <xf numFmtId="0" fontId="4" fillId="2" borderId="41" xfId="0" applyFont="1" applyFill="1" applyBorder="1" applyAlignment="1">
      <alignment horizontal="center" vertical="center"/>
    </xf>
    <xf numFmtId="0" fontId="0" fillId="0" borderId="0" xfId="0" applyAlignment="1">
      <alignment horizontal="center"/>
    </xf>
    <xf numFmtId="0" fontId="0" fillId="2" borderId="0" xfId="0" applyFill="1"/>
    <xf numFmtId="0" fontId="19" fillId="0" borderId="4" xfId="0" applyFont="1" applyBorder="1" applyAlignment="1">
      <alignment horizontal="center" vertical="center"/>
    </xf>
    <xf numFmtId="0" fontId="19" fillId="4" borderId="0" xfId="0" applyFont="1" applyFill="1" applyAlignment="1">
      <alignment vertical="center"/>
    </xf>
    <xf numFmtId="1" fontId="21" fillId="7" borderId="6" xfId="4" applyNumberFormat="1" applyFont="1" applyFill="1" applyBorder="1" applyAlignment="1">
      <alignment horizontal="center" vertical="center"/>
    </xf>
    <xf numFmtId="0" fontId="33" fillId="0" borderId="4" xfId="0" applyFont="1" applyBorder="1" applyAlignment="1">
      <alignment vertical="center"/>
    </xf>
    <xf numFmtId="1" fontId="34" fillId="2" borderId="6" xfId="4" applyNumberFormat="1" applyFont="1" applyFill="1" applyBorder="1" applyAlignment="1">
      <alignment horizontal="center" vertical="center"/>
    </xf>
    <xf numFmtId="1" fontId="37" fillId="2" borderId="5" xfId="7" applyNumberFormat="1" applyFont="1" applyFill="1" applyBorder="1" applyAlignment="1">
      <alignment horizontal="center" vertical="center"/>
    </xf>
    <xf numFmtId="49" fontId="39" fillId="7" borderId="4" xfId="4" applyNumberFormat="1" applyFont="1" applyFill="1" applyBorder="1" applyAlignment="1">
      <alignment horizontal="center" vertical="center"/>
    </xf>
    <xf numFmtId="1" fontId="39" fillId="7" borderId="2" xfId="4" applyNumberFormat="1" applyFont="1" applyFill="1" applyBorder="1" applyAlignment="1">
      <alignment horizontal="center" vertical="center"/>
    </xf>
    <xf numFmtId="4" fontId="39" fillId="7" borderId="2" xfId="4" applyNumberFormat="1" applyFont="1" applyFill="1" applyBorder="1" applyAlignment="1">
      <alignment vertical="center"/>
    </xf>
    <xf numFmtId="1" fontId="39" fillId="7" borderId="6" xfId="4" applyNumberFormat="1" applyFont="1" applyFill="1" applyBorder="1" applyAlignment="1">
      <alignment horizontal="center" vertical="center"/>
    </xf>
    <xf numFmtId="1" fontId="22" fillId="2" borderId="11" xfId="4" applyNumberFormat="1" applyFont="1" applyFill="1" applyBorder="1" applyAlignment="1">
      <alignment horizontal="center" vertical="center"/>
    </xf>
    <xf numFmtId="0" fontId="27" fillId="0" borderId="0" xfId="0" applyFont="1"/>
    <xf numFmtId="0" fontId="21" fillId="7" borderId="2" xfId="4" applyFont="1" applyFill="1" applyBorder="1" applyAlignment="1">
      <alignment horizontal="center" vertical="center"/>
    </xf>
    <xf numFmtId="171" fontId="21" fillId="7" borderId="2" xfId="3" applyNumberFormat="1" applyFont="1" applyFill="1" applyBorder="1" applyAlignment="1">
      <alignment horizontal="center" vertical="center"/>
    </xf>
    <xf numFmtId="171" fontId="21" fillId="7" borderId="2" xfId="4" applyNumberFormat="1" applyFont="1" applyFill="1" applyBorder="1" applyAlignment="1">
      <alignment horizontal="center"/>
    </xf>
    <xf numFmtId="0" fontId="20" fillId="0" borderId="6" xfId="0" applyFont="1" applyBorder="1"/>
    <xf numFmtId="174" fontId="21" fillId="7" borderId="6" xfId="1" applyNumberFormat="1" applyFont="1" applyFill="1" applyBorder="1" applyAlignment="1">
      <alignment horizontal="left" vertical="center"/>
    </xf>
    <xf numFmtId="0" fontId="29" fillId="0" borderId="28" xfId="0" applyFont="1" applyBorder="1" applyAlignment="1">
      <alignment horizontal="center" vertical="center"/>
    </xf>
    <xf numFmtId="0" fontId="19" fillId="4" borderId="18" xfId="0" applyFont="1" applyFill="1" applyBorder="1"/>
    <xf numFmtId="171" fontId="19" fillId="4" borderId="18" xfId="0" applyNumberFormat="1" applyFont="1" applyFill="1" applyBorder="1"/>
    <xf numFmtId="171" fontId="30" fillId="4" borderId="18" xfId="0" applyNumberFormat="1" applyFont="1" applyFill="1" applyBorder="1"/>
    <xf numFmtId="0" fontId="19" fillId="4" borderId="13" xfId="0" applyFont="1" applyFill="1" applyBorder="1"/>
    <xf numFmtId="171" fontId="30" fillId="4" borderId="13" xfId="0" applyNumberFormat="1" applyFont="1" applyFill="1" applyBorder="1"/>
    <xf numFmtId="171" fontId="22" fillId="2" borderId="4" xfId="4" applyNumberFormat="1" applyFont="1" applyFill="1" applyBorder="1"/>
    <xf numFmtId="0" fontId="21" fillId="7" borderId="20" xfId="0" applyFont="1" applyFill="1" applyBorder="1" applyAlignment="1">
      <alignment horizontal="center" vertical="center"/>
    </xf>
    <xf numFmtId="171" fontId="35" fillId="0" borderId="6" xfId="6" applyNumberFormat="1" applyFont="1" applyBorder="1" applyAlignment="1">
      <alignment horizontal="right" vertical="center"/>
    </xf>
    <xf numFmtId="0" fontId="29" fillId="0" borderId="20" xfId="0" applyFont="1" applyBorder="1" applyAlignment="1">
      <alignment horizontal="center" vertical="center"/>
    </xf>
    <xf numFmtId="0" fontId="20" fillId="0" borderId="11" xfId="0" applyFont="1" applyBorder="1"/>
    <xf numFmtId="171" fontId="29" fillId="2" borderId="4" xfId="4" applyNumberFormat="1" applyFont="1" applyFill="1" applyBorder="1"/>
    <xf numFmtId="171" fontId="22" fillId="2" borderId="4" xfId="1" applyNumberFormat="1" applyFont="1" applyFill="1" applyBorder="1" applyAlignment="1"/>
    <xf numFmtId="171" fontId="22" fillId="9" borderId="4" xfId="6" applyNumberFormat="1" applyFont="1" applyFill="1" applyBorder="1" applyAlignment="1">
      <alignment horizontal="right" vertical="center"/>
    </xf>
    <xf numFmtId="171" fontId="22" fillId="2" borderId="5" xfId="6" applyNumberFormat="1" applyFont="1" applyFill="1" applyBorder="1" applyAlignment="1">
      <alignment horizontal="right" vertical="center"/>
    </xf>
    <xf numFmtId="171" fontId="29" fillId="2" borderId="4" xfId="6" applyNumberFormat="1" applyFont="1" applyFill="1" applyBorder="1" applyAlignment="1">
      <alignment horizontal="right" vertical="center"/>
    </xf>
    <xf numFmtId="171" fontId="36" fillId="9" borderId="4" xfId="6" applyNumberFormat="1" applyFont="1" applyFill="1" applyBorder="1" applyAlignment="1">
      <alignment horizontal="right" vertical="center"/>
    </xf>
    <xf numFmtId="171" fontId="29" fillId="2" borderId="5" xfId="6" applyNumberFormat="1" applyFont="1" applyFill="1" applyBorder="1" applyAlignment="1">
      <alignment horizontal="right" vertical="center"/>
    </xf>
    <xf numFmtId="0" fontId="37" fillId="0" borderId="28" xfId="0" applyFont="1" applyBorder="1" applyAlignment="1">
      <alignment horizontal="center" vertical="center"/>
    </xf>
    <xf numFmtId="1" fontId="39" fillId="7" borderId="4" xfId="4" applyNumberFormat="1" applyFont="1" applyFill="1" applyBorder="1" applyAlignment="1">
      <alignment horizontal="center" vertical="center"/>
    </xf>
    <xf numFmtId="171" fontId="39" fillId="7" borderId="2" xfId="3" applyNumberFormat="1" applyFont="1" applyFill="1" applyBorder="1" applyAlignment="1">
      <alignment horizontal="center" vertical="center"/>
    </xf>
    <xf numFmtId="0" fontId="39" fillId="7" borderId="2" xfId="4" applyFont="1" applyFill="1" applyBorder="1" applyAlignment="1">
      <alignment horizontal="center" vertical="center"/>
    </xf>
    <xf numFmtId="171" fontId="39" fillId="7" borderId="2" xfId="4" applyNumberFormat="1" applyFont="1" applyFill="1" applyBorder="1" applyAlignment="1">
      <alignment horizontal="center"/>
    </xf>
    <xf numFmtId="171" fontId="29" fillId="2" borderId="4" xfId="1" applyNumberFormat="1" applyFont="1" applyFill="1" applyBorder="1" applyAlignment="1"/>
    <xf numFmtId="171" fontId="22" fillId="2" borderId="4" xfId="6" applyNumberFormat="1" applyFont="1" applyFill="1" applyBorder="1" applyAlignment="1">
      <alignment horizontal="right" vertical="center"/>
    </xf>
    <xf numFmtId="1" fontId="36" fillId="0" borderId="4" xfId="4" applyNumberFormat="1" applyFont="1" applyBorder="1" applyAlignment="1">
      <alignment vertical="center"/>
    </xf>
    <xf numFmtId="0" fontId="40" fillId="0" borderId="4" xfId="9" applyFont="1" applyBorder="1" applyAlignment="1">
      <alignment horizontal="center" vertical="center"/>
    </xf>
    <xf numFmtId="0" fontId="40" fillId="0" borderId="11" xfId="9" applyFont="1" applyBorder="1" applyAlignment="1">
      <alignment horizontal="center" vertical="center"/>
    </xf>
    <xf numFmtId="0" fontId="40" fillId="0" borderId="13" xfId="9" applyFont="1" applyBorder="1" applyAlignment="1">
      <alignment horizontal="center" vertical="center"/>
    </xf>
    <xf numFmtId="171" fontId="35" fillId="0" borderId="4" xfId="6" applyNumberFormat="1" applyFont="1" applyBorder="1" applyAlignment="1">
      <alignment horizontal="right" vertical="center"/>
    </xf>
    <xf numFmtId="171" fontId="35" fillId="0" borderId="14" xfId="6" applyNumberFormat="1" applyFont="1" applyBorder="1" applyAlignment="1">
      <alignment horizontal="right" vertical="center"/>
    </xf>
    <xf numFmtId="0" fontId="41" fillId="5" borderId="4" xfId="0" applyFont="1" applyFill="1" applyBorder="1"/>
    <xf numFmtId="0" fontId="40" fillId="0" borderId="9" xfId="9" applyFont="1" applyBorder="1" applyAlignment="1">
      <alignment horizontal="left" vertical="center"/>
    </xf>
    <xf numFmtId="0" fontId="40" fillId="0" borderId="4" xfId="9" applyFont="1" applyBorder="1" applyAlignment="1">
      <alignment horizontal="left" vertical="center"/>
    </xf>
    <xf numFmtId="0" fontId="37" fillId="0" borderId="20" xfId="0" applyFont="1" applyBorder="1" applyAlignment="1">
      <alignment horizontal="center" vertical="center"/>
    </xf>
    <xf numFmtId="1" fontId="22" fillId="2" borderId="11" xfId="4" applyNumberFormat="1" applyFont="1" applyFill="1" applyBorder="1" applyAlignment="1">
      <alignment horizontal="center"/>
    </xf>
    <xf numFmtId="171" fontId="35" fillId="0" borderId="4" xfId="0" applyNumberFormat="1" applyFont="1" applyBorder="1" applyAlignment="1">
      <alignment vertical="center"/>
    </xf>
    <xf numFmtId="0" fontId="19" fillId="0" borderId="0" xfId="0" applyFont="1"/>
    <xf numFmtId="171" fontId="31" fillId="2" borderId="5" xfId="6" applyNumberFormat="1" applyFont="1" applyFill="1" applyBorder="1" applyAlignment="1">
      <alignment horizontal="right" vertical="center"/>
    </xf>
    <xf numFmtId="0" fontId="19" fillId="4" borderId="0" xfId="0" applyFont="1" applyFill="1"/>
    <xf numFmtId="171" fontId="19" fillId="4" borderId="0" xfId="0" applyNumberFormat="1" applyFont="1" applyFill="1"/>
    <xf numFmtId="0" fontId="20" fillId="0" borderId="9" xfId="0" applyFont="1" applyBorder="1"/>
    <xf numFmtId="1" fontId="29" fillId="0" borderId="6" xfId="4" applyNumberFormat="1" applyFont="1" applyBorder="1" applyAlignment="1">
      <alignment vertical="center"/>
    </xf>
    <xf numFmtId="173" fontId="29" fillId="2" borderId="4" xfId="0" applyNumberFormat="1" applyFont="1" applyFill="1" applyBorder="1" applyAlignment="1">
      <alignment horizontal="left" vertical="center"/>
    </xf>
    <xf numFmtId="0" fontId="20" fillId="0" borderId="16" xfId="0" applyFont="1" applyBorder="1"/>
    <xf numFmtId="0" fontId="20" fillId="0" borderId="16" xfId="0" applyFont="1" applyBorder="1" applyAlignment="1">
      <alignment vertical="center"/>
    </xf>
    <xf numFmtId="171" fontId="37" fillId="2" borderId="5" xfId="6" applyNumberFormat="1" applyFont="1" applyFill="1" applyBorder="1" applyAlignment="1">
      <alignment horizontal="right" vertical="center"/>
    </xf>
    <xf numFmtId="0" fontId="29" fillId="0" borderId="11" xfId="0" applyFont="1" applyBorder="1" applyAlignment="1">
      <alignment horizontal="center" vertical="center"/>
    </xf>
    <xf numFmtId="171" fontId="22" fillId="2" borderId="10" xfId="6" applyNumberFormat="1" applyFont="1" applyFill="1" applyBorder="1" applyAlignment="1">
      <alignment horizontal="right" vertical="center"/>
    </xf>
    <xf numFmtId="171" fontId="19" fillId="4" borderId="13" xfId="0" applyNumberFormat="1" applyFont="1" applyFill="1" applyBorder="1"/>
    <xf numFmtId="171" fontId="22" fillId="2" borderId="3" xfId="6" applyNumberFormat="1" applyFont="1" applyFill="1" applyBorder="1" applyAlignment="1">
      <alignment horizontal="right" vertical="center"/>
    </xf>
    <xf numFmtId="171" fontId="22" fillId="9" borderId="5" xfId="6" applyNumberFormat="1" applyFont="1" applyFill="1" applyBorder="1" applyAlignment="1">
      <alignment horizontal="right" vertical="center"/>
    </xf>
    <xf numFmtId="174" fontId="21" fillId="7" borderId="4" xfId="1" applyNumberFormat="1" applyFont="1" applyFill="1" applyBorder="1" applyAlignment="1">
      <alignment horizontal="center" vertical="center"/>
    </xf>
    <xf numFmtId="0" fontId="44" fillId="0" borderId="0" xfId="0" applyFont="1"/>
    <xf numFmtId="0" fontId="18" fillId="0" borderId="0" xfId="0" applyFont="1" applyAlignment="1">
      <alignment vertical="center" wrapText="1"/>
    </xf>
    <xf numFmtId="0" fontId="19" fillId="0" borderId="0" xfId="0" applyFont="1" applyAlignment="1">
      <alignment wrapText="1"/>
    </xf>
    <xf numFmtId="171" fontId="27" fillId="0" borderId="0" xfId="0" applyNumberFormat="1" applyFont="1"/>
    <xf numFmtId="0" fontId="21" fillId="7" borderId="4" xfId="0" applyFont="1" applyFill="1" applyBorder="1" applyAlignment="1">
      <alignment horizontal="center" vertical="center"/>
    </xf>
    <xf numFmtId="0" fontId="21" fillId="7" borderId="1" xfId="0" applyFont="1" applyFill="1" applyBorder="1" applyAlignment="1">
      <alignment horizontal="center" vertical="center"/>
    </xf>
    <xf numFmtId="0" fontId="21" fillId="7" borderId="10" xfId="0" applyFont="1" applyFill="1" applyBorder="1" applyAlignment="1">
      <alignment horizontal="center" vertical="center"/>
    </xf>
    <xf numFmtId="1" fontId="21" fillId="7" borderId="6" xfId="4" applyNumberFormat="1" applyFont="1" applyFill="1" applyBorder="1" applyAlignment="1">
      <alignment horizontal="center" vertical="center" wrapText="1"/>
    </xf>
    <xf numFmtId="1" fontId="18" fillId="10" borderId="6" xfId="0" applyNumberFormat="1" applyFont="1" applyFill="1" applyBorder="1" applyAlignment="1">
      <alignment horizontal="center" vertical="center"/>
    </xf>
    <xf numFmtId="4" fontId="18" fillId="10" borderId="6" xfId="0" applyNumberFormat="1" applyFont="1" applyFill="1" applyBorder="1" applyAlignment="1">
      <alignment vertical="center"/>
    </xf>
    <xf numFmtId="171" fontId="21" fillId="7" borderId="6" xfId="3" applyNumberFormat="1" applyFont="1" applyFill="1" applyBorder="1" applyAlignment="1">
      <alignment horizontal="center" vertical="center" wrapText="1"/>
    </xf>
    <xf numFmtId="0" fontId="19" fillId="0" borderId="10" xfId="0" applyFont="1" applyBorder="1" applyAlignment="1">
      <alignment horizontal="center" vertical="top"/>
    </xf>
    <xf numFmtId="0" fontId="22" fillId="2" borderId="4" xfId="0" applyFont="1" applyFill="1" applyBorder="1" applyAlignment="1">
      <alignment horizontal="center" vertical="center"/>
    </xf>
    <xf numFmtId="0" fontId="45" fillId="2" borderId="4" xfId="0" applyFont="1" applyFill="1" applyBorder="1" applyAlignment="1">
      <alignment horizontal="center" vertical="center" wrapText="1"/>
    </xf>
    <xf numFmtId="182" fontId="46" fillId="11" borderId="4" xfId="0" applyNumberFormat="1" applyFont="1" applyFill="1" applyBorder="1" applyAlignment="1">
      <alignment horizontal="right" vertical="center" wrapText="1"/>
    </xf>
    <xf numFmtId="171" fontId="46" fillId="2" borderId="4" xfId="0" applyNumberFormat="1" applyFont="1" applyFill="1" applyBorder="1" applyAlignment="1">
      <alignment horizontal="center" vertical="center" wrapText="1"/>
    </xf>
    <xf numFmtId="0" fontId="29" fillId="2" borderId="4" xfId="0" applyFont="1" applyFill="1" applyBorder="1" applyAlignment="1">
      <alignment horizontal="center" vertical="center"/>
    </xf>
    <xf numFmtId="0" fontId="20" fillId="0" borderId="4" xfId="0" applyFont="1" applyBorder="1" applyAlignment="1">
      <alignment horizontal="center" vertical="center"/>
    </xf>
    <xf numFmtId="0" fontId="49" fillId="0" borderId="4" xfId="0" applyFont="1" applyBorder="1" applyAlignment="1">
      <alignment horizontal="center" vertical="center" wrapText="1"/>
    </xf>
    <xf numFmtId="182" fontId="45" fillId="11" borderId="4" xfId="0" applyNumberFormat="1" applyFont="1" applyFill="1" applyBorder="1" applyAlignment="1">
      <alignment horizontal="right" vertical="center" wrapText="1"/>
    </xf>
    <xf numFmtId="171" fontId="52" fillId="2" borderId="4" xfId="0" applyNumberFormat="1" applyFont="1" applyFill="1" applyBorder="1" applyAlignment="1">
      <alignment horizontal="center" vertical="center" wrapText="1"/>
    </xf>
    <xf numFmtId="0" fontId="50" fillId="0" borderId="4" xfId="0" applyFont="1" applyBorder="1" applyAlignment="1">
      <alignment horizontal="center" vertical="center" wrapText="1"/>
    </xf>
    <xf numFmtId="0" fontId="46" fillId="2" borderId="4" xfId="0" applyFont="1" applyFill="1" applyBorder="1" applyAlignment="1">
      <alignment horizontal="center" vertical="center" wrapText="1"/>
    </xf>
    <xf numFmtId="182" fontId="54" fillId="11" borderId="4" xfId="0" applyNumberFormat="1" applyFont="1" applyFill="1" applyBorder="1"/>
    <xf numFmtId="0" fontId="19" fillId="0" borderId="4" xfId="0" applyFont="1" applyBorder="1" applyAlignment="1">
      <alignment horizontal="center" vertical="center" wrapText="1"/>
    </xf>
    <xf numFmtId="171" fontId="51" fillId="0" borderId="4" xfId="0" applyNumberFormat="1" applyFont="1" applyBorder="1" applyAlignment="1">
      <alignment wrapText="1"/>
    </xf>
    <xf numFmtId="0" fontId="19" fillId="2" borderId="4" xfId="0" applyFont="1" applyFill="1" applyBorder="1" applyAlignment="1">
      <alignment horizontal="center" vertical="center"/>
    </xf>
    <xf numFmtId="0" fontId="20" fillId="2" borderId="4" xfId="0" applyFont="1" applyFill="1" applyBorder="1" applyAlignment="1">
      <alignment horizontal="center" vertical="center"/>
    </xf>
    <xf numFmtId="0" fontId="50" fillId="2" borderId="4" xfId="0" applyFont="1" applyFill="1" applyBorder="1" applyAlignment="1">
      <alignment horizontal="center" vertical="center" wrapText="1"/>
    </xf>
    <xf numFmtId="171" fontId="50" fillId="2" borderId="4" xfId="0" applyNumberFormat="1" applyFont="1" applyFill="1" applyBorder="1" applyAlignment="1">
      <alignment horizontal="right" vertical="center" wrapText="1"/>
    </xf>
    <xf numFmtId="169" fontId="27" fillId="0" borderId="0" xfId="0" applyNumberFormat="1" applyFont="1"/>
    <xf numFmtId="171" fontId="51" fillId="0" borderId="4" xfId="0" applyNumberFormat="1" applyFont="1" applyBorder="1" applyAlignment="1">
      <alignment horizontal="center" vertical="center" wrapText="1"/>
    </xf>
    <xf numFmtId="1" fontId="21" fillId="7" borderId="4" xfId="4" applyNumberFormat="1" applyFont="1" applyFill="1" applyBorder="1" applyAlignment="1">
      <alignment horizontal="center" vertical="center" wrapText="1"/>
    </xf>
    <xf numFmtId="1" fontId="18" fillId="10" borderId="4" xfId="0" applyNumberFormat="1" applyFont="1" applyFill="1" applyBorder="1" applyAlignment="1">
      <alignment horizontal="center" vertical="center"/>
    </xf>
    <xf numFmtId="4" fontId="18" fillId="10" borderId="4" xfId="0" applyNumberFormat="1" applyFont="1" applyFill="1" applyBorder="1" applyAlignment="1">
      <alignment vertical="center"/>
    </xf>
    <xf numFmtId="171" fontId="21" fillId="7" borderId="4" xfId="3" applyNumberFormat="1" applyFont="1" applyFill="1" applyBorder="1" applyAlignment="1">
      <alignment horizontal="center" vertical="center" wrapText="1"/>
    </xf>
    <xf numFmtId="0" fontId="35" fillId="2" borderId="4" xfId="0" applyFont="1" applyFill="1" applyBorder="1" applyAlignment="1">
      <alignment horizontal="center" vertical="center" wrapText="1"/>
    </xf>
    <xf numFmtId="0" fontId="57" fillId="2" borderId="0" xfId="0" applyFont="1" applyFill="1"/>
    <xf numFmtId="0" fontId="20" fillId="2" borderId="4" xfId="0" applyFont="1" applyFill="1" applyBorder="1" applyAlignment="1">
      <alignment horizontal="center" vertical="center" wrapText="1"/>
    </xf>
    <xf numFmtId="182" fontId="53" fillId="11" borderId="4" xfId="0" applyNumberFormat="1" applyFont="1" applyFill="1" applyBorder="1" applyAlignment="1">
      <alignment vertical="center"/>
    </xf>
    <xf numFmtId="43" fontId="50" fillId="0" borderId="4" xfId="0" applyNumberFormat="1" applyFont="1" applyBorder="1" applyAlignment="1">
      <alignment vertical="center" wrapText="1"/>
    </xf>
    <xf numFmtId="0" fontId="19" fillId="2" borderId="4" xfId="0" applyFont="1" applyFill="1" applyBorder="1" applyAlignment="1">
      <alignment horizontal="center" vertical="center" wrapText="1"/>
    </xf>
    <xf numFmtId="43" fontId="51" fillId="0" borderId="4" xfId="0" applyNumberFormat="1" applyFont="1" applyBorder="1" applyAlignment="1">
      <alignment vertical="center"/>
    </xf>
    <xf numFmtId="0" fontId="39" fillId="7" borderId="4" xfId="0" applyFont="1" applyFill="1" applyBorder="1" applyAlignment="1">
      <alignment horizontal="center" vertical="center"/>
    </xf>
    <xf numFmtId="1" fontId="39" fillId="7" borderId="4" xfId="4" applyNumberFormat="1" applyFont="1" applyFill="1" applyBorder="1" applyAlignment="1">
      <alignment horizontal="center" vertical="center" wrapText="1"/>
    </xf>
    <xf numFmtId="1" fontId="60" fillId="10" borderId="4" xfId="0" applyNumberFormat="1" applyFont="1" applyFill="1" applyBorder="1" applyAlignment="1">
      <alignment horizontal="center" vertical="center"/>
    </xf>
    <xf numFmtId="4" fontId="60" fillId="10" borderId="4" xfId="0" applyNumberFormat="1" applyFont="1" applyFill="1" applyBorder="1" applyAlignment="1">
      <alignment vertical="center"/>
    </xf>
    <xf numFmtId="171" fontId="39" fillId="7" borderId="4" xfId="3" applyNumberFormat="1" applyFont="1" applyFill="1" applyBorder="1" applyAlignment="1">
      <alignment horizontal="center" vertical="center" wrapText="1"/>
    </xf>
    <xf numFmtId="43" fontId="50" fillId="2" borderId="4" xfId="0" applyNumberFormat="1" applyFont="1" applyFill="1" applyBorder="1" applyAlignment="1">
      <alignment vertical="center" wrapText="1"/>
    </xf>
    <xf numFmtId="43" fontId="51" fillId="2" borderId="4" xfId="0" applyNumberFormat="1" applyFont="1" applyFill="1" applyBorder="1" applyAlignment="1">
      <alignment vertical="center" wrapText="1"/>
    </xf>
    <xf numFmtId="171" fontId="51" fillId="2" borderId="4" xfId="0" applyNumberFormat="1" applyFont="1" applyFill="1" applyBorder="1" applyAlignment="1">
      <alignment vertical="center" wrapText="1"/>
    </xf>
    <xf numFmtId="0" fontId="62" fillId="2" borderId="4" xfId="0" applyFont="1" applyFill="1" applyBorder="1" applyAlignment="1">
      <alignment horizontal="center" vertical="center" wrapText="1"/>
    </xf>
    <xf numFmtId="0" fontId="7" fillId="0" borderId="4" xfId="0" applyFont="1" applyBorder="1" applyAlignment="1">
      <alignment horizontal="center" vertical="center" wrapText="1"/>
    </xf>
    <xf numFmtId="0" fontId="0" fillId="2" borderId="4" xfId="0" applyFill="1" applyBorder="1" applyAlignment="1">
      <alignment horizontal="left" vertical="center" indent="6"/>
    </xf>
    <xf numFmtId="182" fontId="7" fillId="11" borderId="4" xfId="0" applyNumberFormat="1" applyFont="1" applyFill="1" applyBorder="1" applyAlignment="1">
      <alignment vertical="center" wrapText="1"/>
    </xf>
    <xf numFmtId="171" fontId="7" fillId="2" borderId="4" xfId="0" applyNumberFormat="1" applyFont="1" applyFill="1" applyBorder="1" applyAlignment="1">
      <alignment vertical="center" wrapText="1"/>
    </xf>
    <xf numFmtId="169" fontId="57" fillId="0" borderId="0" xfId="0" applyNumberFormat="1" applyFont="1"/>
    <xf numFmtId="0" fontId="57" fillId="0" borderId="0" xfId="0" applyFont="1"/>
    <xf numFmtId="0" fontId="0" fillId="0" borderId="4" xfId="0" applyBorder="1" applyAlignment="1">
      <alignment horizontal="center" vertical="center"/>
    </xf>
    <xf numFmtId="182" fontId="0" fillId="11" borderId="4" xfId="0" applyNumberFormat="1" applyFill="1" applyBorder="1" applyAlignment="1">
      <alignment vertical="center"/>
    </xf>
    <xf numFmtId="0" fontId="20" fillId="0" borderId="4" xfId="0" applyFont="1" applyBorder="1" applyAlignment="1">
      <alignment horizontal="center" vertical="center" wrapText="1"/>
    </xf>
    <xf numFmtId="0" fontId="46" fillId="0" borderId="4" xfId="0" applyFont="1" applyBorder="1" applyAlignment="1">
      <alignment horizontal="center" wrapText="1"/>
    </xf>
    <xf numFmtId="182" fontId="50" fillId="11" borderId="4" xfId="0" applyNumberFormat="1" applyFont="1" applyFill="1" applyBorder="1" applyAlignment="1">
      <alignment horizontal="right" vertical="center" wrapText="1"/>
    </xf>
    <xf numFmtId="171" fontId="50" fillId="0" borderId="4" xfId="0" applyNumberFormat="1" applyFont="1" applyBorder="1" applyAlignment="1">
      <alignment wrapText="1"/>
    </xf>
    <xf numFmtId="0" fontId="53" fillId="0" borderId="4" xfId="0" applyFont="1" applyBorder="1" applyAlignment="1">
      <alignment horizontal="center" vertical="center"/>
    </xf>
    <xf numFmtId="0" fontId="30" fillId="2" borderId="4" xfId="0" applyFont="1" applyFill="1" applyBorder="1" applyAlignment="1">
      <alignment horizontal="center" vertical="center"/>
    </xf>
    <xf numFmtId="0" fontId="27" fillId="2" borderId="4" xfId="0" applyFont="1" applyFill="1" applyBorder="1" applyAlignment="1">
      <alignment horizontal="center" vertical="center"/>
    </xf>
    <xf numFmtId="0" fontId="53" fillId="0" borderId="4" xfId="0" applyFont="1" applyBorder="1" applyAlignment="1">
      <alignment horizontal="center"/>
    </xf>
    <xf numFmtId="182" fontId="50" fillId="9" borderId="4" xfId="0" applyNumberFormat="1" applyFont="1" applyFill="1" applyBorder="1" applyAlignment="1">
      <alignment horizontal="left" vertical="center" wrapText="1" indent="6"/>
    </xf>
    <xf numFmtId="171" fontId="50" fillId="0" borderId="4" xfId="0" applyNumberFormat="1" applyFont="1" applyBorder="1" applyAlignment="1">
      <alignment vertical="center" wrapText="1"/>
    </xf>
    <xf numFmtId="0" fontId="30" fillId="0" borderId="4" xfId="0" applyFont="1" applyBorder="1" applyAlignment="1">
      <alignment horizontal="center" vertical="center"/>
    </xf>
    <xf numFmtId="171" fontId="51" fillId="0" borderId="4" xfId="0" applyNumberFormat="1" applyFont="1" applyBorder="1" applyAlignment="1">
      <alignment vertical="center" wrapText="1"/>
    </xf>
    <xf numFmtId="0" fontId="39" fillId="7" borderId="10" xfId="0" applyFont="1" applyFill="1" applyBorder="1" applyAlignment="1">
      <alignment horizontal="center" vertical="center"/>
    </xf>
    <xf numFmtId="1" fontId="60" fillId="10" borderId="6" xfId="0" applyNumberFormat="1" applyFont="1" applyFill="1" applyBorder="1" applyAlignment="1">
      <alignment horizontal="center" vertical="center"/>
    </xf>
    <xf numFmtId="4" fontId="60" fillId="10" borderId="6" xfId="0" applyNumberFormat="1" applyFont="1" applyFill="1" applyBorder="1" applyAlignment="1">
      <alignment vertical="center"/>
    </xf>
    <xf numFmtId="171" fontId="39" fillId="7" borderId="6" xfId="3" applyNumberFormat="1" applyFont="1" applyFill="1" applyBorder="1" applyAlignment="1">
      <alignment horizontal="center" vertical="center" wrapText="1"/>
    </xf>
    <xf numFmtId="182" fontId="50" fillId="11" borderId="4" xfId="0" applyNumberFormat="1" applyFont="1" applyFill="1" applyBorder="1" applyAlignment="1">
      <alignment horizontal="left" vertical="center" wrapText="1" indent="6"/>
    </xf>
    <xf numFmtId="0" fontId="50" fillId="0" borderId="4" xfId="0" applyFont="1" applyBorder="1" applyAlignment="1">
      <alignment horizontal="center" wrapText="1"/>
    </xf>
    <xf numFmtId="182" fontId="50" fillId="11" borderId="4" xfId="0" applyNumberFormat="1" applyFont="1" applyFill="1" applyBorder="1" applyAlignment="1">
      <alignment horizontal="right" wrapText="1"/>
    </xf>
    <xf numFmtId="171" fontId="50" fillId="0" borderId="4" xfId="0" applyNumberFormat="1" applyFont="1" applyBorder="1" applyAlignment="1">
      <alignment vertical="center"/>
    </xf>
    <xf numFmtId="0" fontId="53" fillId="2" borderId="4" xfId="0" applyFont="1" applyFill="1" applyBorder="1" applyAlignment="1">
      <alignment horizontal="center" vertical="center"/>
    </xf>
    <xf numFmtId="182" fontId="50" fillId="9" borderId="4" xfId="0" applyNumberFormat="1" applyFont="1" applyFill="1" applyBorder="1" applyAlignment="1">
      <alignment horizontal="right" wrapText="1"/>
    </xf>
    <xf numFmtId="0" fontId="27" fillId="0" borderId="5" xfId="0" applyFont="1" applyBorder="1" applyAlignment="1">
      <alignment horizontal="center" vertical="center"/>
    </xf>
    <xf numFmtId="182" fontId="7" fillId="9" borderId="4" xfId="0" applyNumberFormat="1" applyFont="1" applyFill="1" applyBorder="1" applyAlignment="1">
      <alignment horizontal="right" vertical="center" wrapText="1"/>
    </xf>
    <xf numFmtId="165" fontId="57" fillId="2" borderId="4" xfId="3" applyFont="1" applyFill="1" applyBorder="1" applyAlignment="1">
      <alignment horizontal="center" vertical="center"/>
    </xf>
    <xf numFmtId="0" fontId="64" fillId="0" borderId="4" xfId="0" applyFont="1" applyBorder="1" applyAlignment="1">
      <alignment vertical="center" wrapText="1"/>
    </xf>
    <xf numFmtId="0" fontId="35" fillId="2" borderId="55" xfId="0" applyFont="1" applyFill="1" applyBorder="1" applyAlignment="1">
      <alignment horizontal="center" vertical="center"/>
    </xf>
    <xf numFmtId="0" fontId="62" fillId="2" borderId="10" xfId="0" applyFont="1" applyFill="1" applyBorder="1" applyAlignment="1">
      <alignment horizontal="center" vertical="center" wrapText="1"/>
    </xf>
    <xf numFmtId="9" fontId="62" fillId="2" borderId="4" xfId="3" applyNumberFormat="1" applyFont="1" applyFill="1" applyBorder="1" applyAlignment="1">
      <alignment horizontal="center" vertical="center" wrapText="1"/>
    </xf>
    <xf numFmtId="169" fontId="57" fillId="2" borderId="4" xfId="3" applyNumberFormat="1" applyFont="1" applyFill="1" applyBorder="1" applyAlignment="1">
      <alignment horizontal="center" vertical="center" wrapText="1" indent="1"/>
    </xf>
    <xf numFmtId="165" fontId="62" fillId="9" borderId="4" xfId="3" applyFont="1" applyFill="1" applyBorder="1" applyAlignment="1">
      <alignment horizontal="center" vertical="center"/>
    </xf>
    <xf numFmtId="170" fontId="57" fillId="2" borderId="6" xfId="3" applyNumberFormat="1" applyFont="1" applyFill="1" applyBorder="1" applyAlignment="1">
      <alignment horizontal="center" vertical="center"/>
    </xf>
    <xf numFmtId="165" fontId="57" fillId="2" borderId="6" xfId="3" applyFont="1" applyFill="1" applyBorder="1" applyAlignment="1">
      <alignment horizontal="center" vertical="center"/>
    </xf>
    <xf numFmtId="0" fontId="35" fillId="2" borderId="4" xfId="0" applyFont="1" applyFill="1" applyBorder="1" applyAlignment="1">
      <alignment horizontal="center" vertical="center"/>
    </xf>
    <xf numFmtId="170" fontId="57" fillId="0" borderId="4" xfId="3" applyNumberFormat="1" applyFont="1" applyBorder="1" applyAlignment="1">
      <alignment horizontal="center" vertical="center" wrapText="1"/>
    </xf>
    <xf numFmtId="0" fontId="22" fillId="0" borderId="0" xfId="4" applyFont="1" applyAlignment="1">
      <alignment vertical="center"/>
    </xf>
    <xf numFmtId="171" fontId="21" fillId="7" borderId="2" xfId="3" applyNumberFormat="1" applyFont="1" applyFill="1" applyBorder="1" applyAlignment="1">
      <alignment horizontal="center" vertical="center" wrapText="1"/>
    </xf>
    <xf numFmtId="0" fontId="21" fillId="7" borderId="2" xfId="4" applyFont="1" applyFill="1" applyBorder="1" applyAlignment="1">
      <alignment horizontal="center" vertical="center" wrapText="1"/>
    </xf>
    <xf numFmtId="171" fontId="21" fillId="7" borderId="2" xfId="4" applyNumberFormat="1" applyFont="1" applyFill="1" applyBorder="1" applyAlignment="1">
      <alignment horizontal="center" wrapText="1"/>
    </xf>
    <xf numFmtId="10" fontId="21" fillId="7" borderId="4" xfId="55" applyNumberFormat="1" applyFont="1" applyFill="1" applyBorder="1" applyAlignment="1">
      <alignment horizontal="center" vertical="center"/>
    </xf>
    <xf numFmtId="0" fontId="21" fillId="7" borderId="4" xfId="4" applyFont="1" applyFill="1" applyBorder="1" applyAlignment="1">
      <alignment horizontal="center" vertical="center"/>
    </xf>
    <xf numFmtId="0" fontId="40" fillId="5" borderId="5" xfId="0" applyFont="1" applyFill="1" applyBorder="1" applyAlignment="1">
      <alignment wrapText="1"/>
    </xf>
    <xf numFmtId="0" fontId="40" fillId="0" borderId="11" xfId="0" applyFont="1" applyBorder="1" applyAlignment="1">
      <alignment wrapText="1"/>
    </xf>
    <xf numFmtId="170" fontId="40" fillId="0" borderId="4" xfId="0" applyNumberFormat="1" applyFont="1" applyBorder="1" applyAlignment="1">
      <alignment wrapText="1"/>
    </xf>
    <xf numFmtId="168" fontId="36" fillId="9" borderId="4" xfId="6" applyNumberFormat="1" applyFont="1" applyFill="1" applyBorder="1" applyAlignment="1">
      <alignment horizontal="right" vertical="center" wrapText="1"/>
    </xf>
    <xf numFmtId="168" fontId="22" fillId="2" borderId="5" xfId="6" applyNumberFormat="1" applyFont="1" applyFill="1" applyBorder="1" applyAlignment="1">
      <alignment horizontal="right" vertical="center" wrapText="1"/>
    </xf>
    <xf numFmtId="2" fontId="22" fillId="2" borderId="4" xfId="55" applyNumberFormat="1" applyFont="1" applyFill="1" applyBorder="1" applyAlignment="1">
      <alignment horizontal="center"/>
    </xf>
    <xf numFmtId="169" fontId="22" fillId="2" borderId="4" xfId="1" applyNumberFormat="1" applyFont="1" applyFill="1" applyBorder="1"/>
    <xf numFmtId="0" fontId="40" fillId="5" borderId="3" xfId="0" applyFont="1" applyFill="1" applyBorder="1" applyAlignment="1">
      <alignment wrapText="1"/>
    </xf>
    <xf numFmtId="0" fontId="40" fillId="0" borderId="4" xfId="0" applyFont="1" applyBorder="1" applyAlignment="1">
      <alignment wrapText="1"/>
    </xf>
    <xf numFmtId="0" fontId="41" fillId="0" borderId="5" xfId="0" applyFont="1" applyBorder="1" applyAlignment="1">
      <alignment wrapText="1"/>
    </xf>
    <xf numFmtId="0" fontId="41" fillId="0" borderId="5" xfId="0" applyFont="1" applyBorder="1"/>
    <xf numFmtId="169" fontId="36" fillId="2" borderId="4" xfId="1" applyNumberFormat="1" applyFont="1" applyFill="1" applyBorder="1"/>
    <xf numFmtId="0" fontId="30" fillId="0" borderId="4" xfId="0" applyFont="1" applyBorder="1" applyAlignment="1">
      <alignment horizontal="justify" vertical="center" wrapText="1"/>
    </xf>
    <xf numFmtId="0" fontId="29" fillId="0" borderId="9" xfId="4" applyFont="1" applyBorder="1" applyAlignment="1">
      <alignment horizontal="center" vertical="center"/>
    </xf>
    <xf numFmtId="184" fontId="29" fillId="2" borderId="4" xfId="6" applyNumberFormat="1" applyFont="1" applyFill="1" applyBorder="1" applyAlignment="1">
      <alignment horizontal="right" vertical="center" wrapText="1"/>
    </xf>
    <xf numFmtId="168" fontId="29" fillId="2" borderId="5" xfId="6" applyNumberFormat="1" applyFont="1" applyFill="1" applyBorder="1" applyAlignment="1">
      <alignment horizontal="right" vertical="center" wrapText="1"/>
    </xf>
    <xf numFmtId="2" fontId="31" fillId="2" borderId="4" xfId="55" applyNumberFormat="1" applyFont="1" applyFill="1" applyBorder="1" applyAlignment="1">
      <alignment horizontal="center"/>
    </xf>
    <xf numFmtId="168" fontId="29" fillId="2" borderId="4" xfId="6" applyNumberFormat="1" applyFont="1" applyFill="1" applyBorder="1" applyAlignment="1">
      <alignment horizontal="right" vertical="center" wrapText="1"/>
    </xf>
    <xf numFmtId="1" fontId="21" fillId="7" borderId="10" xfId="4" applyNumberFormat="1" applyFont="1" applyFill="1" applyBorder="1" applyAlignment="1">
      <alignment horizontal="center" vertical="center" wrapText="1"/>
    </xf>
    <xf numFmtId="4" fontId="21" fillId="7" borderId="4" xfId="4" applyNumberFormat="1" applyFont="1" applyFill="1" applyBorder="1" applyAlignment="1">
      <alignment horizontal="center" vertical="center"/>
    </xf>
    <xf numFmtId="183" fontId="21" fillId="7" borderId="4" xfId="3" applyNumberFormat="1" applyFont="1" applyFill="1" applyBorder="1" applyAlignment="1">
      <alignment horizontal="center" vertical="center" wrapText="1"/>
    </xf>
    <xf numFmtId="183" fontId="21" fillId="7" borderId="5" xfId="3" applyNumberFormat="1" applyFont="1" applyFill="1" applyBorder="1" applyAlignment="1">
      <alignment horizontal="center" vertical="center" wrapText="1"/>
    </xf>
    <xf numFmtId="0" fontId="21" fillId="7" borderId="6" xfId="4" applyFont="1" applyFill="1" applyBorder="1" applyAlignment="1">
      <alignment horizontal="center" vertical="center" wrapText="1"/>
    </xf>
    <xf numFmtId="0" fontId="41" fillId="2" borderId="4" xfId="0" applyFont="1" applyFill="1" applyBorder="1" applyAlignment="1">
      <alignment wrapText="1"/>
    </xf>
    <xf numFmtId="0" fontId="41" fillId="0" borderId="4" xfId="0" applyFont="1" applyBorder="1"/>
    <xf numFmtId="170" fontId="41" fillId="0" borderId="4" xfId="0" applyNumberFormat="1" applyFont="1" applyBorder="1"/>
    <xf numFmtId="2" fontId="22" fillId="0" borderId="4" xfId="55" applyNumberFormat="1" applyFont="1" applyFill="1" applyBorder="1" applyAlignment="1">
      <alignment horizontal="center"/>
    </xf>
    <xf numFmtId="169" fontId="22" fillId="0" borderId="4" xfId="1" applyNumberFormat="1" applyFont="1" applyFill="1" applyBorder="1"/>
    <xf numFmtId="169" fontId="22" fillId="2" borderId="11" xfId="1" applyNumberFormat="1" applyFont="1" applyFill="1" applyBorder="1"/>
    <xf numFmtId="0" fontId="41" fillId="0" borderId="4" xfId="0" applyFont="1" applyBorder="1" applyAlignment="1">
      <alignment wrapText="1"/>
    </xf>
    <xf numFmtId="170" fontId="41" fillId="0" borderId="4" xfId="0" applyNumberFormat="1" applyFont="1" applyBorder="1" applyAlignment="1">
      <alignment vertical="center"/>
    </xf>
    <xf numFmtId="169" fontId="22" fillId="2" borderId="6" xfId="1" applyNumberFormat="1" applyFont="1" applyFill="1" applyBorder="1"/>
    <xf numFmtId="2" fontId="36" fillId="0" borderId="4" xfId="55" applyNumberFormat="1" applyFont="1" applyBorder="1" applyAlignment="1">
      <alignment horizontal="center"/>
    </xf>
    <xf numFmtId="0" fontId="30" fillId="0" borderId="9" xfId="0" applyFont="1" applyBorder="1" applyAlignment="1">
      <alignment horizontal="justify" vertical="center" wrapText="1"/>
    </xf>
    <xf numFmtId="3" fontId="29" fillId="0" borderId="4" xfId="4" applyNumberFormat="1" applyFont="1" applyBorder="1" applyAlignment="1">
      <alignment horizontal="center" vertical="center" wrapText="1"/>
    </xf>
    <xf numFmtId="184" fontId="29" fillId="0" borderId="4" xfId="6" applyNumberFormat="1" applyFont="1" applyFill="1" applyBorder="1" applyAlignment="1">
      <alignment horizontal="right" vertical="center"/>
    </xf>
    <xf numFmtId="184" fontId="19" fillId="2" borderId="5" xfId="6" applyNumberFormat="1" applyFont="1" applyFill="1" applyBorder="1" applyAlignment="1">
      <alignment horizontal="right" vertical="center"/>
    </xf>
    <xf numFmtId="1" fontId="29" fillId="2" borderId="0" xfId="55" applyNumberFormat="1" applyFont="1" applyFill="1" applyBorder="1" applyAlignment="1">
      <alignment horizontal="center"/>
    </xf>
    <xf numFmtId="174" fontId="21" fillId="7" borderId="6" xfId="1" applyNumberFormat="1" applyFont="1" applyFill="1" applyBorder="1" applyAlignment="1">
      <alignment horizontal="left" vertical="center" wrapText="1"/>
    </xf>
    <xf numFmtId="0" fontId="20" fillId="0" borderId="14" xfId="0" applyFont="1" applyBorder="1" applyAlignment="1">
      <alignment wrapText="1"/>
    </xf>
    <xf numFmtId="180" fontId="19" fillId="0" borderId="2" xfId="2" applyNumberFormat="1" applyFont="1" applyBorder="1" applyAlignment="1">
      <alignment wrapText="1"/>
    </xf>
    <xf numFmtId="171" fontId="20" fillId="2" borderId="4" xfId="6" applyNumberFormat="1" applyFont="1" applyFill="1" applyBorder="1" applyAlignment="1">
      <alignment horizontal="right" vertical="center" wrapText="1"/>
    </xf>
    <xf numFmtId="171" fontId="19" fillId="2" borderId="6" xfId="6" applyNumberFormat="1" applyFont="1" applyFill="1" applyBorder="1" applyAlignment="1">
      <alignment horizontal="right" vertical="center" wrapText="1"/>
    </xf>
    <xf numFmtId="2" fontId="22" fillId="0" borderId="5" xfId="55" applyNumberFormat="1" applyFont="1" applyFill="1" applyBorder="1" applyAlignment="1">
      <alignment horizontal="center"/>
    </xf>
    <xf numFmtId="171" fontId="19" fillId="2" borderId="4" xfId="6" applyNumberFormat="1" applyFont="1" applyFill="1" applyBorder="1" applyAlignment="1">
      <alignment horizontal="right" vertical="center" wrapText="1"/>
    </xf>
    <xf numFmtId="0" fontId="19" fillId="0" borderId="5" xfId="0" applyFont="1" applyBorder="1" applyAlignment="1">
      <alignment horizontal="left" vertical="center" wrapText="1"/>
    </xf>
    <xf numFmtId="0" fontId="19" fillId="0" borderId="14" xfId="0" applyFont="1" applyBorder="1" applyAlignment="1">
      <alignment horizontal="left" vertical="center" wrapText="1"/>
    </xf>
    <xf numFmtId="0" fontId="19" fillId="0" borderId="11" xfId="0" applyFont="1" applyBorder="1" applyAlignment="1">
      <alignment vertical="center" wrapText="1"/>
    </xf>
    <xf numFmtId="171" fontId="19" fillId="0" borderId="4" xfId="6" applyNumberFormat="1" applyFont="1" applyFill="1" applyBorder="1" applyAlignment="1">
      <alignment horizontal="right" vertical="center" wrapText="1"/>
    </xf>
    <xf numFmtId="171" fontId="29" fillId="0" borderId="5" xfId="6" applyNumberFormat="1" applyFont="1" applyFill="1" applyBorder="1" applyAlignment="1">
      <alignment horizontal="right" vertical="center" wrapText="1"/>
    </xf>
    <xf numFmtId="10" fontId="28" fillId="2" borderId="4" xfId="55" applyNumberFormat="1" applyFont="1" applyFill="1" applyBorder="1"/>
    <xf numFmtId="0" fontId="22" fillId="2" borderId="4" xfId="4" applyFont="1" applyFill="1" applyBorder="1"/>
    <xf numFmtId="0" fontId="40" fillId="0" borderId="5" xfId="0" applyFont="1" applyBorder="1" applyAlignment="1">
      <alignment vertical="center" wrapText="1"/>
    </xf>
    <xf numFmtId="185" fontId="40" fillId="0" borderId="9" xfId="0" applyNumberFormat="1" applyFont="1" applyBorder="1" applyAlignment="1">
      <alignment horizontal="left" vertical="center" wrapText="1"/>
    </xf>
    <xf numFmtId="170" fontId="40" fillId="0" borderId="18" xfId="0" applyNumberFormat="1" applyFont="1" applyBorder="1" applyAlignment="1">
      <alignment wrapText="1"/>
    </xf>
    <xf numFmtId="168" fontId="22" fillId="9" borderId="4" xfId="6" applyNumberFormat="1" applyFont="1" applyFill="1" applyBorder="1" applyAlignment="1">
      <alignment horizontal="right" vertical="center" wrapText="1"/>
    </xf>
    <xf numFmtId="185" fontId="40" fillId="0" borderId="4" xfId="0" applyNumberFormat="1" applyFont="1" applyBorder="1" applyAlignment="1">
      <alignment horizontal="left" vertical="center" wrapText="1"/>
    </xf>
    <xf numFmtId="170" fontId="40" fillId="0" borderId="11" xfId="0" applyNumberFormat="1" applyFont="1" applyBorder="1" applyAlignment="1">
      <alignment wrapText="1"/>
    </xf>
    <xf numFmtId="0" fontId="40" fillId="0" borderId="18" xfId="0" applyFont="1" applyBorder="1" applyAlignment="1">
      <alignment wrapText="1"/>
    </xf>
    <xf numFmtId="0" fontId="19" fillId="0" borderId="4" xfId="0" applyFont="1" applyBorder="1" applyAlignment="1">
      <alignment horizontal="justify"/>
    </xf>
    <xf numFmtId="0" fontId="20" fillId="0" borderId="4" xfId="0" applyFont="1" applyBorder="1" applyAlignment="1">
      <alignment horizontal="justify"/>
    </xf>
    <xf numFmtId="186" fontId="22" fillId="0" borderId="4" xfId="4" applyNumberFormat="1" applyFont="1" applyBorder="1" applyAlignment="1">
      <alignment horizontal="center" vertical="center" wrapText="1"/>
    </xf>
    <xf numFmtId="169" fontId="29" fillId="2" borderId="4" xfId="1" applyNumberFormat="1" applyFont="1" applyFill="1" applyBorder="1"/>
    <xf numFmtId="0" fontId="40" fillId="0" borderId="4" xfId="0" applyFont="1" applyBorder="1" applyAlignment="1">
      <alignment vertical="center"/>
    </xf>
    <xf numFmtId="0" fontId="41" fillId="0" borderId="4" xfId="0" applyFont="1" applyBorder="1" applyAlignment="1">
      <alignment vertical="center"/>
    </xf>
    <xf numFmtId="2" fontId="22" fillId="0" borderId="6" xfId="55" applyNumberFormat="1" applyFont="1" applyFill="1" applyBorder="1" applyAlignment="1">
      <alignment horizontal="center"/>
    </xf>
    <xf numFmtId="2" fontId="22" fillId="0" borderId="9" xfId="55" applyNumberFormat="1" applyFont="1" applyFill="1" applyBorder="1" applyAlignment="1">
      <alignment horizontal="center"/>
    </xf>
    <xf numFmtId="0" fontId="40" fillId="0" borderId="4" xfId="0" applyFont="1" applyBorder="1"/>
    <xf numFmtId="4" fontId="20" fillId="0" borderId="4" xfId="4" applyNumberFormat="1" applyFont="1" applyBorder="1" applyAlignment="1">
      <alignment horizontal="center" vertical="center" wrapText="1"/>
    </xf>
    <xf numFmtId="171" fontId="30" fillId="4" borderId="13" xfId="0" applyNumberFormat="1" applyFont="1" applyFill="1" applyBorder="1" applyAlignment="1">
      <alignment horizontal="right"/>
    </xf>
    <xf numFmtId="1" fontId="21" fillId="7" borderId="5" xfId="4" applyNumberFormat="1" applyFont="1" applyFill="1" applyBorder="1" applyAlignment="1">
      <alignment horizontal="center" vertical="center" wrapText="1"/>
    </xf>
    <xf numFmtId="0" fontId="39" fillId="8" borderId="4" xfId="0" applyFont="1" applyFill="1" applyBorder="1" applyAlignment="1">
      <alignment horizontal="center" vertical="center" wrapText="1"/>
    </xf>
    <xf numFmtId="10" fontId="66" fillId="2" borderId="4" xfId="55" applyNumberFormat="1" applyFont="1" applyFill="1" applyBorder="1"/>
    <xf numFmtId="1" fontId="40" fillId="0" borderId="4" xfId="0" applyNumberFormat="1" applyFont="1" applyBorder="1" applyAlignment="1">
      <alignment vertical="center" wrapText="1"/>
    </xf>
    <xf numFmtId="0" fontId="67" fillId="0" borderId="4" xfId="0" applyFont="1" applyBorder="1" applyAlignment="1">
      <alignment vertical="center"/>
    </xf>
    <xf numFmtId="0" fontId="41" fillId="0" borderId="4" xfId="0" applyFont="1" applyBorder="1" applyAlignment="1">
      <alignment horizontal="center"/>
    </xf>
    <xf numFmtId="187" fontId="22" fillId="2" borderId="5" xfId="6" applyNumberFormat="1" applyFont="1" applyFill="1" applyBorder="1" applyAlignment="1">
      <alignment horizontal="right" vertical="center" wrapText="1"/>
    </xf>
    <xf numFmtId="187" fontId="36" fillId="2" borderId="5" xfId="6" applyNumberFormat="1" applyFont="1" applyFill="1" applyBorder="1" applyAlignment="1">
      <alignment horizontal="right" vertical="center" wrapText="1"/>
    </xf>
    <xf numFmtId="179" fontId="69" fillId="3" borderId="4" xfId="0" applyNumberFormat="1" applyFont="1" applyFill="1" applyBorder="1" applyAlignment="1">
      <alignment vertical="center"/>
    </xf>
    <xf numFmtId="4" fontId="39" fillId="7" borderId="4" xfId="4" applyNumberFormat="1" applyFont="1" applyFill="1" applyBorder="1" applyAlignment="1">
      <alignment horizontal="center" vertical="center"/>
    </xf>
    <xf numFmtId="183" fontId="39" fillId="7" borderId="4" xfId="3" applyNumberFormat="1" applyFont="1" applyFill="1" applyBorder="1" applyAlignment="1">
      <alignment horizontal="center" vertical="center" wrapText="1"/>
    </xf>
    <xf numFmtId="183" fontId="39" fillId="7" borderId="5" xfId="3" applyNumberFormat="1" applyFont="1" applyFill="1" applyBorder="1" applyAlignment="1">
      <alignment horizontal="center" vertical="center" wrapText="1"/>
    </xf>
    <xf numFmtId="0" fontId="39" fillId="7" borderId="4" xfId="4" applyFont="1" applyFill="1" applyBorder="1" applyAlignment="1">
      <alignment horizontal="center" vertical="center" wrapText="1"/>
    </xf>
    <xf numFmtId="0" fontId="39" fillId="7" borderId="6" xfId="4" applyFont="1" applyFill="1" applyBorder="1" applyAlignment="1">
      <alignment horizontal="center" vertical="center" wrapText="1"/>
    </xf>
    <xf numFmtId="1" fontId="40" fillId="0" borderId="4" xfId="0" applyNumberFormat="1" applyFont="1" applyBorder="1" applyAlignment="1">
      <alignment horizontal="center" vertical="center"/>
    </xf>
    <xf numFmtId="3" fontId="40" fillId="0" borderId="4" xfId="0" applyNumberFormat="1" applyFont="1" applyBorder="1" applyAlignment="1">
      <alignment horizontal="center" vertical="center"/>
    </xf>
    <xf numFmtId="168" fontId="36" fillId="2" borderId="5" xfId="6" applyNumberFormat="1" applyFont="1" applyFill="1" applyBorder="1" applyAlignment="1">
      <alignment horizontal="right" vertical="center" wrapText="1"/>
    </xf>
    <xf numFmtId="1" fontId="40" fillId="0" borderId="4" xfId="0" applyNumberFormat="1" applyFont="1" applyBorder="1" applyAlignment="1">
      <alignment vertical="center"/>
    </xf>
    <xf numFmtId="0" fontId="30" fillId="0" borderId="3" xfId="0" applyFont="1" applyBorder="1" applyAlignment="1">
      <alignment horizontal="justify" vertical="center" wrapText="1"/>
    </xf>
    <xf numFmtId="0" fontId="29" fillId="0" borderId="5" xfId="4" applyFont="1" applyBorder="1" applyAlignment="1">
      <alignment horizontal="center" vertical="center"/>
    </xf>
    <xf numFmtId="3" fontId="29" fillId="0" borderId="5" xfId="4" applyNumberFormat="1" applyFont="1" applyBorder="1" applyAlignment="1">
      <alignment horizontal="center" vertical="center" wrapText="1"/>
    </xf>
    <xf numFmtId="174" fontId="21" fillId="7" borderId="0" xfId="1" applyNumberFormat="1" applyFont="1" applyFill="1" applyBorder="1" applyAlignment="1">
      <alignment horizontal="left" vertical="center" wrapText="1"/>
    </xf>
    <xf numFmtId="1" fontId="21" fillId="7" borderId="0" xfId="4" applyNumberFormat="1" applyFont="1" applyFill="1" applyAlignment="1">
      <alignment horizontal="center" vertical="center"/>
    </xf>
    <xf numFmtId="4" fontId="21" fillId="7" borderId="0" xfId="4" applyNumberFormat="1" applyFont="1" applyFill="1" applyAlignment="1">
      <alignment vertical="center"/>
    </xf>
    <xf numFmtId="171" fontId="21" fillId="7" borderId="73" xfId="3" applyNumberFormat="1" applyFont="1" applyFill="1" applyBorder="1" applyAlignment="1">
      <alignment horizontal="center" vertical="center" wrapText="1"/>
    </xf>
    <xf numFmtId="0" fontId="21" fillId="7" borderId="0" xfId="4" applyFont="1" applyFill="1" applyAlignment="1">
      <alignment horizontal="center" vertical="center" wrapText="1"/>
    </xf>
    <xf numFmtId="171" fontId="30" fillId="4" borderId="18" xfId="0" applyNumberFormat="1" applyFont="1" applyFill="1" applyBorder="1" applyAlignment="1">
      <alignment horizontal="right"/>
    </xf>
    <xf numFmtId="171" fontId="62" fillId="2" borderId="4" xfId="6" applyNumberFormat="1" applyFont="1" applyFill="1" applyBorder="1" applyAlignment="1">
      <alignment horizontal="right" vertical="center" wrapText="1"/>
    </xf>
    <xf numFmtId="171" fontId="35" fillId="2" borderId="4" xfId="6" applyNumberFormat="1" applyFont="1" applyFill="1" applyBorder="1" applyAlignment="1">
      <alignment horizontal="right" vertical="center" wrapText="1"/>
    </xf>
    <xf numFmtId="4" fontId="22" fillId="0" borderId="11" xfId="4" applyNumberFormat="1" applyFont="1" applyBorder="1" applyAlignment="1">
      <alignment horizontal="center" vertical="center" wrapText="1"/>
    </xf>
    <xf numFmtId="4" fontId="20" fillId="0" borderId="11" xfId="4" applyNumberFormat="1" applyFont="1" applyBorder="1" applyAlignment="1">
      <alignment horizontal="center" vertical="center" wrapText="1"/>
    </xf>
    <xf numFmtId="0" fontId="40" fillId="3" borderId="4" xfId="0" applyFont="1" applyFill="1" applyBorder="1" applyAlignment="1">
      <alignment vertical="center"/>
    </xf>
    <xf numFmtId="4" fontId="22" fillId="0" borderId="11" xfId="0" applyNumberFormat="1" applyFont="1" applyBorder="1" applyAlignment="1">
      <alignment horizontal="center" vertical="center"/>
    </xf>
    <xf numFmtId="0" fontId="40" fillId="5" borderId="4" xfId="0" applyFont="1" applyFill="1" applyBorder="1"/>
    <xf numFmtId="167" fontId="19" fillId="2" borderId="5" xfId="6" applyFont="1" applyFill="1" applyBorder="1" applyAlignment="1">
      <alignment horizontal="right" vertical="center"/>
    </xf>
    <xf numFmtId="0" fontId="41" fillId="0" borderId="5" xfId="0" applyFont="1" applyBorder="1" applyAlignment="1">
      <alignment horizontal="left" wrapText="1"/>
    </xf>
    <xf numFmtId="1" fontId="41" fillId="0" borderId="4" xfId="0" applyNumberFormat="1" applyFont="1" applyBorder="1" applyAlignment="1">
      <alignment vertical="center"/>
    </xf>
    <xf numFmtId="1" fontId="40" fillId="0" borderId="4" xfId="0" applyNumberFormat="1" applyFont="1" applyBorder="1"/>
    <xf numFmtId="0" fontId="40" fillId="0" borderId="5" xfId="0" applyFont="1" applyBorder="1" applyAlignment="1">
      <alignment wrapText="1"/>
    </xf>
    <xf numFmtId="0" fontId="30" fillId="0" borderId="5" xfId="0" applyFont="1" applyBorder="1" applyAlignment="1">
      <alignment horizontal="justify" vertical="center" wrapText="1"/>
    </xf>
    <xf numFmtId="168" fontId="29" fillId="2" borderId="9" xfId="6" applyNumberFormat="1" applyFont="1" applyFill="1" applyBorder="1" applyAlignment="1">
      <alignment horizontal="right" vertical="center" wrapText="1"/>
    </xf>
    <xf numFmtId="180" fontId="19" fillId="2" borderId="2" xfId="2" applyNumberFormat="1" applyFont="1" applyFill="1" applyBorder="1" applyAlignment="1">
      <alignment wrapText="1"/>
    </xf>
    <xf numFmtId="171" fontId="29" fillId="2" borderId="5" xfId="6" applyNumberFormat="1" applyFont="1" applyFill="1" applyBorder="1" applyAlignment="1">
      <alignment horizontal="right" vertical="center" wrapText="1"/>
    </xf>
    <xf numFmtId="0" fontId="19" fillId="0" borderId="0" xfId="4" applyFont="1" applyAlignment="1">
      <alignment vertical="center"/>
    </xf>
    <xf numFmtId="0" fontId="70" fillId="0" borderId="5" xfId="0" applyFont="1" applyBorder="1"/>
    <xf numFmtId="0" fontId="33" fillId="3" borderId="4" xfId="0" applyFont="1" applyFill="1" applyBorder="1" applyAlignment="1">
      <alignment vertical="center" wrapText="1"/>
    </xf>
    <xf numFmtId="170" fontId="33" fillId="0" borderId="4" xfId="0" applyNumberFormat="1" applyFont="1" applyBorder="1" applyAlignment="1">
      <alignment vertical="center"/>
    </xf>
    <xf numFmtId="2" fontId="22" fillId="2" borderId="4" xfId="7" applyNumberFormat="1" applyFont="1" applyFill="1" applyBorder="1" applyAlignment="1">
      <alignment horizontal="center" vertical="center"/>
    </xf>
    <xf numFmtId="0" fontId="71" fillId="0" borderId="4" xfId="0" applyFont="1" applyBorder="1" applyAlignment="1">
      <alignment vertical="center"/>
    </xf>
    <xf numFmtId="0" fontId="33" fillId="0" borderId="4" xfId="0" applyFont="1" applyBorder="1" applyAlignment="1">
      <alignment vertical="center" wrapText="1"/>
    </xf>
    <xf numFmtId="0" fontId="29" fillId="0" borderId="4" xfId="4" applyFont="1" applyBorder="1" applyAlignment="1">
      <alignment vertical="center"/>
    </xf>
    <xf numFmtId="0" fontId="19" fillId="0" borderId="4" xfId="0" applyFont="1" applyBorder="1" applyAlignment="1">
      <alignment horizontal="justify" vertical="center" wrapText="1"/>
    </xf>
    <xf numFmtId="4" fontId="29" fillId="0" borderId="4" xfId="4" applyNumberFormat="1" applyFont="1" applyBorder="1" applyAlignment="1">
      <alignment horizontal="right" vertical="center" wrapText="1"/>
    </xf>
    <xf numFmtId="2" fontId="29" fillId="2" borderId="4" xfId="7" applyNumberFormat="1" applyFont="1" applyFill="1" applyBorder="1" applyAlignment="1">
      <alignment horizontal="center" vertical="center"/>
    </xf>
    <xf numFmtId="3" fontId="29" fillId="0" borderId="4" xfId="4" applyNumberFormat="1" applyFont="1" applyBorder="1" applyAlignment="1">
      <alignment horizontal="right" vertical="center" wrapText="1"/>
    </xf>
    <xf numFmtId="0" fontId="70" fillId="0" borderId="5" xfId="0" applyFont="1" applyBorder="1" applyAlignment="1">
      <alignment wrapText="1"/>
    </xf>
    <xf numFmtId="0" fontId="70" fillId="0" borderId="4" xfId="0" applyFont="1" applyBorder="1"/>
    <xf numFmtId="0" fontId="3" fillId="0" borderId="2" xfId="0" applyFont="1" applyBorder="1" applyAlignment="1">
      <alignment horizontal="center" vertical="center"/>
    </xf>
    <xf numFmtId="0" fontId="3" fillId="0" borderId="30" xfId="0" applyFont="1" applyBorder="1" applyAlignment="1">
      <alignment horizontal="center" vertical="center"/>
    </xf>
    <xf numFmtId="0" fontId="33" fillId="0" borderId="22" xfId="0" applyFont="1" applyBorder="1" applyAlignment="1">
      <alignment horizontal="center" vertical="center"/>
    </xf>
    <xf numFmtId="1" fontId="21" fillId="7" borderId="30" xfId="4" applyNumberFormat="1" applyFont="1" applyFill="1" applyBorder="1" applyAlignment="1">
      <alignment horizontal="center" vertical="center"/>
    </xf>
    <xf numFmtId="4" fontId="21" fillId="7" borderId="30" xfId="4" applyNumberFormat="1" applyFont="1" applyFill="1" applyBorder="1" applyAlignment="1">
      <alignment vertical="center"/>
    </xf>
    <xf numFmtId="171" fontId="21" fillId="7" borderId="30" xfId="3" applyNumberFormat="1" applyFont="1" applyFill="1" applyBorder="1" applyAlignment="1">
      <alignment horizontal="center" vertical="center" wrapText="1"/>
    </xf>
    <xf numFmtId="0" fontId="20" fillId="0" borderId="4" xfId="0" applyFont="1" applyBorder="1" applyAlignment="1">
      <alignment wrapText="1"/>
    </xf>
    <xf numFmtId="180" fontId="19" fillId="2" borderId="17" xfId="2" applyNumberFormat="1" applyFont="1" applyFill="1" applyBorder="1" applyAlignment="1">
      <alignment wrapText="1"/>
    </xf>
    <xf numFmtId="171" fontId="30" fillId="2" borderId="18" xfId="0" applyNumberFormat="1" applyFont="1" applyFill="1" applyBorder="1"/>
    <xf numFmtId="171" fontId="30" fillId="2" borderId="0" xfId="0" applyNumberFormat="1" applyFont="1" applyFill="1" applyAlignment="1">
      <alignment horizontal="right"/>
    </xf>
    <xf numFmtId="171" fontId="19" fillId="0" borderId="5" xfId="6" applyNumberFormat="1" applyFont="1" applyBorder="1" applyAlignment="1">
      <alignment horizontal="right" vertical="center" wrapText="1"/>
    </xf>
    <xf numFmtId="171" fontId="29" fillId="2" borderId="4" xfId="6" applyNumberFormat="1" applyFont="1" applyFill="1" applyBorder="1" applyAlignment="1">
      <alignment horizontal="right" vertical="center" wrapText="1"/>
    </xf>
    <xf numFmtId="2" fontId="22" fillId="2" borderId="11" xfId="7" applyNumberFormat="1" applyFont="1" applyFill="1" applyBorder="1" applyAlignment="1">
      <alignment horizontal="center" vertical="center"/>
    </xf>
    <xf numFmtId="0" fontId="70" fillId="0" borderId="14" xfId="0" applyFont="1" applyBorder="1"/>
    <xf numFmtId="0" fontId="33" fillId="3" borderId="4" xfId="0" applyFont="1" applyFill="1" applyBorder="1" applyAlignment="1">
      <alignment horizontal="center" vertical="center" wrapText="1"/>
    </xf>
    <xf numFmtId="170" fontId="33" fillId="0" borderId="4" xfId="0" applyNumberFormat="1" applyFont="1" applyBorder="1" applyAlignment="1">
      <alignment horizontal="center" vertical="center"/>
    </xf>
    <xf numFmtId="0" fontId="71" fillId="0" borderId="4" xfId="0" applyFont="1" applyBorder="1" applyAlignment="1">
      <alignment horizontal="center" vertical="center"/>
    </xf>
    <xf numFmtId="0" fontId="33" fillId="0" borderId="4" xfId="0" applyFont="1" applyBorder="1" applyAlignment="1">
      <alignment horizontal="center" vertical="center" wrapText="1"/>
    </xf>
    <xf numFmtId="0" fontId="3" fillId="0" borderId="7" xfId="0" applyFont="1" applyBorder="1" applyAlignment="1">
      <alignment horizontal="center" vertical="center"/>
    </xf>
    <xf numFmtId="0" fontId="22" fillId="0" borderId="4" xfId="4" applyFont="1" applyBorder="1" applyAlignment="1">
      <alignment vertical="center"/>
    </xf>
    <xf numFmtId="0" fontId="33" fillId="0" borderId="4" xfId="0" applyFont="1" applyBorder="1" applyAlignment="1">
      <alignment horizontal="center" vertical="center"/>
    </xf>
    <xf numFmtId="0" fontId="70" fillId="0" borderId="4" xfId="0" applyFont="1" applyBorder="1" applyAlignment="1">
      <alignment horizontal="center"/>
    </xf>
    <xf numFmtId="188" fontId="3" fillId="0" borderId="2" xfId="0" applyNumberFormat="1" applyFont="1" applyBorder="1" applyAlignment="1">
      <alignment horizontal="left" vertical="center"/>
    </xf>
    <xf numFmtId="0" fontId="70" fillId="0" borderId="11" xfId="0" applyFont="1" applyBorder="1"/>
    <xf numFmtId="4" fontId="29" fillId="2" borderId="4" xfId="4" applyNumberFormat="1" applyFont="1" applyFill="1" applyBorder="1" applyAlignment="1">
      <alignment horizontal="right" vertical="center" wrapText="1"/>
    </xf>
    <xf numFmtId="180" fontId="19" fillId="0" borderId="17" xfId="2" applyNumberFormat="1" applyFont="1" applyBorder="1" applyAlignment="1">
      <alignment wrapText="1"/>
    </xf>
    <xf numFmtId="171" fontId="30" fillId="4" borderId="0" xfId="0" applyNumberFormat="1" applyFont="1" applyFill="1" applyAlignment="1">
      <alignment horizontal="right"/>
    </xf>
    <xf numFmtId="171" fontId="19" fillId="0" borderId="4" xfId="6" applyNumberFormat="1" applyFont="1" applyBorder="1" applyAlignment="1">
      <alignment horizontal="right" vertical="center" wrapText="1"/>
    </xf>
    <xf numFmtId="4" fontId="21" fillId="7" borderId="6" xfId="4" applyNumberFormat="1" applyFont="1" applyFill="1" applyBorder="1" applyAlignment="1">
      <alignment horizontal="center" vertical="center"/>
    </xf>
    <xf numFmtId="183" fontId="21" fillId="7" borderId="6" xfId="3" applyNumberFormat="1" applyFont="1" applyFill="1" applyBorder="1" applyAlignment="1">
      <alignment horizontal="center" vertical="center" wrapText="1"/>
    </xf>
    <xf numFmtId="183" fontId="21" fillId="7" borderId="10" xfId="3" applyNumberFormat="1" applyFont="1" applyFill="1" applyBorder="1" applyAlignment="1">
      <alignment horizontal="center" vertical="center" wrapText="1"/>
    </xf>
    <xf numFmtId="10" fontId="28" fillId="2" borderId="11" xfId="55" applyNumberFormat="1" applyFont="1" applyFill="1" applyBorder="1"/>
    <xf numFmtId="168" fontId="22" fillId="2" borderId="4" xfId="6" applyNumberFormat="1" applyFont="1" applyFill="1" applyBorder="1" applyAlignment="1">
      <alignment horizontal="right" vertical="center" wrapText="1"/>
    </xf>
    <xf numFmtId="2" fontId="22" fillId="0" borderId="11" xfId="55" applyNumberFormat="1" applyFont="1" applyFill="1" applyBorder="1" applyAlignment="1">
      <alignment horizontal="center"/>
    </xf>
    <xf numFmtId="3" fontId="29" fillId="0" borderId="14" xfId="4" applyNumberFormat="1" applyFont="1" applyBorder="1" applyAlignment="1">
      <alignment horizontal="center" vertical="center" wrapText="1"/>
    </xf>
    <xf numFmtId="1" fontId="21" fillId="7" borderId="3" xfId="4" applyNumberFormat="1" applyFont="1" applyFill="1" applyBorder="1" applyAlignment="1">
      <alignment horizontal="center" vertical="center" wrapText="1"/>
    </xf>
    <xf numFmtId="1" fontId="21" fillId="7" borderId="9" xfId="4" applyNumberFormat="1" applyFont="1" applyFill="1" applyBorder="1" applyAlignment="1">
      <alignment horizontal="center" vertical="center"/>
    </xf>
    <xf numFmtId="4" fontId="21" fillId="7" borderId="9" xfId="4" applyNumberFormat="1" applyFont="1" applyFill="1" applyBorder="1" applyAlignment="1">
      <alignment horizontal="center" vertical="center"/>
    </xf>
    <xf numFmtId="183" fontId="21" fillId="7" borderId="9" xfId="3" applyNumberFormat="1" applyFont="1" applyFill="1" applyBorder="1" applyAlignment="1">
      <alignment horizontal="center" vertical="center" wrapText="1"/>
    </xf>
    <xf numFmtId="183" fontId="21" fillId="7" borderId="3" xfId="3" applyNumberFormat="1" applyFont="1" applyFill="1" applyBorder="1" applyAlignment="1">
      <alignment horizontal="center" vertical="center" wrapText="1"/>
    </xf>
    <xf numFmtId="0" fontId="33" fillId="0" borderId="6" xfId="0" applyFont="1" applyBorder="1" applyAlignment="1">
      <alignment vertical="center"/>
    </xf>
    <xf numFmtId="0" fontId="20" fillId="0" borderId="0" xfId="4" applyFont="1" applyAlignment="1">
      <alignment horizontal="center" vertical="center"/>
    </xf>
    <xf numFmtId="0" fontId="20" fillId="0" borderId="4" xfId="4" applyFont="1" applyBorder="1" applyAlignment="1">
      <alignment horizontal="center" vertical="center"/>
    </xf>
    <xf numFmtId="3" fontId="29" fillId="0" borderId="3" xfId="4" applyNumberFormat="1" applyFont="1" applyBorder="1" applyAlignment="1">
      <alignment horizontal="center" vertical="center" wrapText="1"/>
    </xf>
    <xf numFmtId="0" fontId="21" fillId="7" borderId="20" xfId="0" applyFont="1" applyFill="1" applyBorder="1" applyAlignment="1">
      <alignment horizontal="center" vertical="center" wrapText="1"/>
    </xf>
    <xf numFmtId="0" fontId="29" fillId="0" borderId="28" xfId="0" applyFont="1" applyBorder="1" applyAlignment="1">
      <alignment horizontal="center" vertical="center" wrapText="1"/>
    </xf>
    <xf numFmtId="0" fontId="19" fillId="0" borderId="0" xfId="4" applyFont="1" applyAlignment="1">
      <alignment horizontal="center" vertical="center"/>
    </xf>
    <xf numFmtId="0" fontId="39" fillId="7" borderId="2" xfId="4" applyFont="1" applyFill="1" applyBorder="1" applyAlignment="1">
      <alignment horizontal="center" vertical="center" wrapText="1"/>
    </xf>
    <xf numFmtId="0" fontId="33" fillId="3" borderId="5" xfId="0" applyFont="1" applyFill="1" applyBorder="1" applyAlignment="1">
      <alignment vertical="center" wrapText="1"/>
    </xf>
    <xf numFmtId="170" fontId="33" fillId="0" borderId="4" xfId="0" applyNumberFormat="1" applyFont="1" applyBorder="1" applyAlignment="1">
      <alignment wrapText="1"/>
    </xf>
    <xf numFmtId="0" fontId="33" fillId="0" borderId="5" xfId="0" applyFont="1" applyBorder="1" applyAlignment="1">
      <alignment vertical="center" wrapText="1"/>
    </xf>
    <xf numFmtId="0" fontId="33" fillId="0" borderId="11" xfId="0" applyFont="1" applyBorder="1" applyAlignment="1">
      <alignment vertical="center" wrapText="1"/>
    </xf>
    <xf numFmtId="0" fontId="33" fillId="2" borderId="4" xfId="0" applyFont="1" applyFill="1" applyBorder="1" applyAlignment="1">
      <alignment horizontal="center" vertical="center"/>
    </xf>
    <xf numFmtId="0" fontId="21" fillId="8" borderId="4" xfId="0" applyFont="1" applyFill="1" applyBorder="1" applyAlignment="1">
      <alignment horizontal="center" vertical="center" wrapText="1"/>
    </xf>
    <xf numFmtId="0" fontId="22" fillId="0" borderId="2" xfId="0" applyFont="1" applyBorder="1" applyAlignment="1">
      <alignment horizontal="center" vertical="center"/>
    </xf>
    <xf numFmtId="168" fontId="22" fillId="14" borderId="5" xfId="6" applyNumberFormat="1" applyFont="1" applyFill="1" applyBorder="1" applyAlignment="1">
      <alignment horizontal="right" vertical="center" wrapText="1"/>
    </xf>
    <xf numFmtId="168" fontId="19" fillId="0" borderId="0" xfId="4" applyNumberFormat="1" applyFont="1" applyAlignment="1">
      <alignment vertical="center"/>
    </xf>
    <xf numFmtId="1" fontId="3" fillId="0" borderId="11" xfId="4" applyNumberFormat="1" applyFont="1" applyBorder="1" applyAlignment="1">
      <alignment horizontal="center" vertical="center"/>
    </xf>
    <xf numFmtId="3" fontId="22" fillId="0" borderId="4" xfId="4" applyNumberFormat="1" applyFont="1" applyBorder="1" applyAlignment="1">
      <alignment horizontal="center" vertical="center" wrapText="1"/>
    </xf>
    <xf numFmtId="182" fontId="22" fillId="9" borderId="4" xfId="6" applyNumberFormat="1" applyFont="1" applyFill="1" applyBorder="1" applyAlignment="1">
      <alignment horizontal="right" vertical="center" wrapText="1"/>
    </xf>
    <xf numFmtId="0" fontId="19" fillId="0" borderId="5" xfId="0" applyFont="1" applyBorder="1" applyAlignment="1">
      <alignment vertical="center" wrapText="1"/>
    </xf>
    <xf numFmtId="184" fontId="19" fillId="0" borderId="4" xfId="6" applyNumberFormat="1" applyFont="1" applyFill="1" applyBorder="1" applyAlignment="1">
      <alignment horizontal="right" vertical="center" wrapText="1"/>
    </xf>
    <xf numFmtId="168" fontId="19" fillId="0" borderId="3" xfId="6" applyNumberFormat="1" applyFont="1" applyFill="1" applyBorder="1" applyAlignment="1">
      <alignment horizontal="right" vertical="center" wrapText="1"/>
    </xf>
    <xf numFmtId="168" fontId="19" fillId="0" borderId="4" xfId="6" applyNumberFormat="1" applyFont="1" applyFill="1" applyBorder="1" applyAlignment="1">
      <alignment horizontal="right" vertical="center" wrapText="1"/>
    </xf>
    <xf numFmtId="183" fontId="33" fillId="0" borderId="4" xfId="0" applyNumberFormat="1" applyFont="1" applyBorder="1" applyAlignment="1">
      <alignment vertical="center"/>
    </xf>
    <xf numFmtId="1" fontId="3" fillId="0" borderId="11" xfId="4" applyNumberFormat="1" applyFont="1" applyBorder="1" applyAlignment="1">
      <alignment vertical="center" wrapText="1"/>
    </xf>
    <xf numFmtId="182" fontId="22" fillId="14" borderId="4" xfId="4" applyNumberFormat="1" applyFont="1" applyFill="1" applyBorder="1" applyAlignment="1">
      <alignment vertical="center"/>
    </xf>
    <xf numFmtId="182" fontId="22" fillId="0" borderId="4" xfId="4" applyNumberFormat="1" applyFont="1" applyBorder="1" applyAlignment="1">
      <alignment vertical="center"/>
    </xf>
    <xf numFmtId="43" fontId="22" fillId="0" borderId="4" xfId="4" applyNumberFormat="1" applyFont="1" applyBorder="1" applyAlignment="1">
      <alignment vertical="center"/>
    </xf>
    <xf numFmtId="169" fontId="22" fillId="0" borderId="4" xfId="4" applyNumberFormat="1" applyFont="1" applyBorder="1" applyAlignment="1">
      <alignment vertical="center"/>
    </xf>
    <xf numFmtId="1" fontId="3" fillId="0" borderId="5" xfId="4" applyNumberFormat="1" applyFont="1" applyBorder="1" applyAlignment="1">
      <alignment horizontal="center" vertical="center" wrapText="1"/>
    </xf>
    <xf numFmtId="0" fontId="22" fillId="0" borderId="6" xfId="4" applyFont="1" applyBorder="1" applyAlignment="1">
      <alignment horizontal="center" vertical="center"/>
    </xf>
    <xf numFmtId="182" fontId="22" fillId="0" borderId="6" xfId="4" applyNumberFormat="1" applyFont="1" applyBorder="1" applyAlignment="1">
      <alignment vertical="center"/>
    </xf>
    <xf numFmtId="182" fontId="22" fillId="0" borderId="10" xfId="4" applyNumberFormat="1" applyFont="1" applyBorder="1" applyAlignment="1">
      <alignment vertical="center"/>
    </xf>
    <xf numFmtId="0" fontId="22" fillId="0" borderId="6" xfId="4" applyFont="1" applyBorder="1" applyAlignment="1">
      <alignment vertical="center"/>
    </xf>
    <xf numFmtId="169" fontId="22" fillId="0" borderId="6" xfId="4" applyNumberFormat="1" applyFont="1" applyBorder="1" applyAlignment="1">
      <alignment vertical="center"/>
    </xf>
    <xf numFmtId="3" fontId="3" fillId="0" borderId="5" xfId="4" applyNumberFormat="1" applyFont="1" applyBorder="1" applyAlignment="1">
      <alignment horizontal="center" vertical="center"/>
    </xf>
    <xf numFmtId="0" fontId="22" fillId="14" borderId="0" xfId="4" applyFont="1" applyFill="1" applyAlignment="1">
      <alignment vertical="center"/>
    </xf>
    <xf numFmtId="169" fontId="22" fillId="0" borderId="0" xfId="4" applyNumberFormat="1" applyFont="1" applyAlignment="1">
      <alignment vertical="center"/>
    </xf>
    <xf numFmtId="41" fontId="19" fillId="0" borderId="17" xfId="2" applyFont="1" applyBorder="1" applyAlignment="1">
      <alignment wrapText="1"/>
    </xf>
    <xf numFmtId="172" fontId="30" fillId="4" borderId="18" xfId="0" applyNumberFormat="1" applyFont="1" applyFill="1" applyBorder="1"/>
    <xf numFmtId="1" fontId="28" fillId="2" borderId="6" xfId="7" applyNumberFormat="1" applyFont="1" applyFill="1" applyBorder="1" applyAlignment="1">
      <alignment horizontal="center" vertical="center"/>
    </xf>
    <xf numFmtId="0" fontId="22" fillId="0" borderId="6" xfId="4" applyFont="1" applyBorder="1" applyAlignment="1">
      <alignment vertical="top" wrapText="1"/>
    </xf>
    <xf numFmtId="182" fontId="22" fillId="14" borderId="6" xfId="4" applyNumberFormat="1" applyFont="1" applyFill="1" applyBorder="1" applyAlignment="1">
      <alignment vertical="center"/>
    </xf>
    <xf numFmtId="0" fontId="29" fillId="0" borderId="4" xfId="4" applyFont="1" applyBorder="1" applyAlignment="1">
      <alignment horizontal="left" vertical="center"/>
    </xf>
    <xf numFmtId="182" fontId="29" fillId="0" borderId="4" xfId="4" applyNumberFormat="1" applyFont="1" applyBorder="1" applyAlignment="1">
      <alignment vertical="center"/>
    </xf>
    <xf numFmtId="4" fontId="39" fillId="7" borderId="6" xfId="4" applyNumberFormat="1" applyFont="1" applyFill="1" applyBorder="1" applyAlignment="1">
      <alignment horizontal="center" vertical="center"/>
    </xf>
    <xf numFmtId="183" fontId="39" fillId="7" borderId="6" xfId="3" applyNumberFormat="1" applyFont="1" applyFill="1" applyBorder="1" applyAlignment="1">
      <alignment horizontal="center" vertical="center" wrapText="1"/>
    </xf>
    <xf numFmtId="183" fontId="39" fillId="7" borderId="10" xfId="3" applyNumberFormat="1" applyFont="1" applyFill="1" applyBorder="1" applyAlignment="1">
      <alignment horizontal="center" vertical="center" wrapText="1"/>
    </xf>
    <xf numFmtId="1" fontId="37" fillId="0" borderId="14" xfId="4" applyNumberFormat="1" applyFont="1" applyBorder="1" applyAlignment="1">
      <alignment horizontal="left" vertical="center" wrapText="1"/>
    </xf>
    <xf numFmtId="1" fontId="37" fillId="0" borderId="11" xfId="4" applyNumberFormat="1" applyFont="1" applyBorder="1" applyAlignment="1">
      <alignment horizontal="left" vertical="center" wrapText="1"/>
    </xf>
    <xf numFmtId="1" fontId="66" fillId="2" borderId="6" xfId="7" applyNumberFormat="1" applyFont="1" applyFill="1" applyBorder="1" applyAlignment="1">
      <alignment horizontal="center" vertical="center"/>
    </xf>
    <xf numFmtId="169" fontId="36" fillId="2" borderId="6" xfId="1" applyNumberFormat="1" applyFont="1" applyFill="1" applyBorder="1"/>
    <xf numFmtId="0" fontId="36" fillId="0" borderId="6" xfId="4" applyFont="1" applyBorder="1" applyAlignment="1">
      <alignment horizontal="center" vertical="center"/>
    </xf>
    <xf numFmtId="182" fontId="36" fillId="14" borderId="6" xfId="4" applyNumberFormat="1" applyFont="1" applyFill="1" applyBorder="1" applyAlignment="1">
      <alignment vertical="center"/>
    </xf>
    <xf numFmtId="182" fontId="36" fillId="0" borderId="6" xfId="4" applyNumberFormat="1" applyFont="1" applyBorder="1" applyAlignment="1">
      <alignment vertical="center"/>
    </xf>
    <xf numFmtId="0" fontId="37" fillId="0" borderId="4" xfId="4" applyFont="1" applyBorder="1" applyAlignment="1">
      <alignment horizontal="left" vertical="center"/>
    </xf>
    <xf numFmtId="182" fontId="37" fillId="0" borderId="4" xfId="4" applyNumberFormat="1" applyFont="1" applyBorder="1" applyAlignment="1">
      <alignment vertical="center"/>
    </xf>
    <xf numFmtId="0" fontId="37" fillId="0" borderId="4" xfId="4" applyFont="1" applyBorder="1" applyAlignment="1">
      <alignment vertical="center"/>
    </xf>
    <xf numFmtId="0" fontId="27" fillId="0" borderId="0" xfId="0" applyFont="1" applyAlignment="1">
      <alignment wrapText="1"/>
    </xf>
    <xf numFmtId="171" fontId="19" fillId="2" borderId="5" xfId="6" applyNumberFormat="1" applyFont="1" applyFill="1" applyBorder="1" applyAlignment="1">
      <alignment horizontal="right" vertical="center" wrapText="1"/>
    </xf>
    <xf numFmtId="1" fontId="37" fillId="0" borderId="6" xfId="4" applyNumberFormat="1" applyFont="1" applyBorder="1" applyAlignment="1">
      <alignment vertical="center"/>
    </xf>
    <xf numFmtId="0" fontId="62" fillId="0" borderId="9" xfId="0" applyFont="1" applyBorder="1"/>
    <xf numFmtId="0" fontId="62" fillId="0" borderId="4" xfId="4" applyFont="1" applyBorder="1" applyAlignment="1">
      <alignment horizontal="center"/>
    </xf>
    <xf numFmtId="2" fontId="35" fillId="0" borderId="4" xfId="0" applyNumberFormat="1" applyFont="1" applyBorder="1" applyAlignment="1">
      <alignment vertical="center"/>
    </xf>
    <xf numFmtId="2" fontId="35" fillId="0" borderId="4" xfId="0" applyNumberFormat="1" applyFont="1" applyBorder="1" applyAlignment="1">
      <alignment horizontal="left" vertical="center"/>
    </xf>
    <xf numFmtId="0" fontId="35" fillId="0" borderId="29" xfId="0" applyFont="1" applyBorder="1" applyAlignment="1">
      <alignment horizontal="center" vertical="center"/>
    </xf>
    <xf numFmtId="1" fontId="37" fillId="2" borderId="6" xfId="4" applyNumberFormat="1" applyFont="1" applyFill="1" applyBorder="1" applyAlignment="1">
      <alignment horizontal="center"/>
    </xf>
    <xf numFmtId="171" fontId="37" fillId="2" borderId="6" xfId="0" applyNumberFormat="1" applyFont="1" applyFill="1" applyBorder="1" applyAlignment="1">
      <alignment vertical="center"/>
    </xf>
    <xf numFmtId="171" fontId="37" fillId="9" borderId="6" xfId="0" applyNumberFormat="1" applyFont="1" applyFill="1" applyBorder="1" applyAlignment="1">
      <alignment vertical="center"/>
    </xf>
    <xf numFmtId="0" fontId="62" fillId="0" borderId="11" xfId="0" applyFont="1" applyBorder="1" applyAlignment="1">
      <alignment horizontal="center" vertical="center"/>
    </xf>
    <xf numFmtId="173" fontId="36" fillId="0" borderId="6" xfId="0" applyNumberFormat="1" applyFont="1" applyBorder="1" applyAlignment="1">
      <alignment horizontal="left" vertical="center"/>
    </xf>
    <xf numFmtId="173" fontId="62" fillId="2" borderId="6" xfId="0" applyNumberFormat="1" applyFont="1" applyFill="1" applyBorder="1" applyAlignment="1">
      <alignment horizontal="left" vertical="center"/>
    </xf>
    <xf numFmtId="171" fontId="72" fillId="2" borderId="4" xfId="0" applyNumberFormat="1" applyFont="1" applyFill="1" applyBorder="1" applyAlignment="1">
      <alignment horizontal="center" vertical="center"/>
    </xf>
    <xf numFmtId="171" fontId="35" fillId="2" borderId="4" xfId="0" applyNumberFormat="1" applyFont="1" applyFill="1" applyBorder="1" applyAlignment="1">
      <alignment horizontal="center" vertical="center"/>
    </xf>
    <xf numFmtId="173" fontId="35" fillId="2" borderId="4" xfId="0" applyNumberFormat="1" applyFont="1" applyFill="1" applyBorder="1" applyAlignment="1">
      <alignment vertical="center"/>
    </xf>
    <xf numFmtId="173" fontId="35" fillId="2" borderId="4" xfId="0" applyNumberFormat="1" applyFont="1" applyFill="1" applyBorder="1" applyAlignment="1">
      <alignment horizontal="center" vertical="center"/>
    </xf>
    <xf numFmtId="174" fontId="37" fillId="2" borderId="4" xfId="1" applyNumberFormat="1" applyFont="1" applyFill="1" applyBorder="1" applyAlignment="1">
      <alignment horizontal="left" vertical="center"/>
    </xf>
    <xf numFmtId="171" fontId="37" fillId="0" borderId="0" xfId="0" applyNumberFormat="1" applyFont="1" applyAlignment="1">
      <alignment vertical="center"/>
    </xf>
    <xf numFmtId="171" fontId="35" fillId="4" borderId="0" xfId="0" applyNumberFormat="1" applyFont="1" applyFill="1"/>
    <xf numFmtId="0" fontId="35" fillId="4" borderId="0" xfId="0" applyFont="1" applyFill="1" applyAlignment="1">
      <alignment vertical="center"/>
    </xf>
    <xf numFmtId="0" fontId="35" fillId="4" borderId="0" xfId="0" applyFont="1" applyFill="1"/>
    <xf numFmtId="172" fontId="35" fillId="0" borderId="11" xfId="4" applyNumberFormat="1" applyFont="1" applyBorder="1" applyAlignment="1">
      <alignment horizontal="center"/>
    </xf>
    <xf numFmtId="0" fontId="35" fillId="0" borderId="4" xfId="0" applyFont="1" applyBorder="1" applyAlignment="1">
      <alignment horizontal="center" vertical="center"/>
    </xf>
    <xf numFmtId="1" fontId="36" fillId="0" borderId="11" xfId="4" applyNumberFormat="1" applyFont="1" applyBorder="1" applyAlignment="1">
      <alignment horizontal="center"/>
    </xf>
    <xf numFmtId="0" fontId="62" fillId="0" borderId="15" xfId="0" applyFont="1" applyBorder="1" applyAlignment="1">
      <alignment vertical="center"/>
    </xf>
    <xf numFmtId="174" fontId="36" fillId="0" borderId="6" xfId="1" applyNumberFormat="1" applyFont="1" applyBorder="1" applyAlignment="1">
      <alignment horizontal="left" vertical="center"/>
    </xf>
    <xf numFmtId="176" fontId="62" fillId="0" borderId="6" xfId="0" applyNumberFormat="1" applyFont="1" applyBorder="1" applyAlignment="1">
      <alignment vertical="center"/>
    </xf>
    <xf numFmtId="1" fontId="72" fillId="2" borderId="14" xfId="4" applyNumberFormat="1" applyFont="1" applyFill="1" applyBorder="1" applyAlignment="1">
      <alignment horizontal="center" vertical="center"/>
    </xf>
    <xf numFmtId="171" fontId="72" fillId="2" borderId="5" xfId="6" applyNumberFormat="1" applyFont="1" applyFill="1" applyBorder="1" applyAlignment="1">
      <alignment horizontal="right" vertical="center"/>
    </xf>
    <xf numFmtId="1" fontId="72" fillId="2" borderId="5" xfId="4" applyNumberFormat="1" applyFont="1" applyFill="1" applyBorder="1" applyAlignment="1">
      <alignment horizontal="center" vertical="center"/>
    </xf>
    <xf numFmtId="0" fontId="37" fillId="0" borderId="23" xfId="0" applyFont="1" applyBorder="1" applyAlignment="1">
      <alignment horizontal="center" vertical="center"/>
    </xf>
    <xf numFmtId="1" fontId="36" fillId="0" borderId="11" xfId="4" applyNumberFormat="1" applyFont="1" applyBorder="1" applyAlignment="1">
      <alignment vertical="center"/>
    </xf>
    <xf numFmtId="171" fontId="35" fillId="0" borderId="0" xfId="1" applyNumberFormat="1" applyFont="1" applyAlignment="1">
      <alignment horizontal="center" vertical="center"/>
    </xf>
    <xf numFmtId="171" fontId="35" fillId="0" borderId="0" xfId="3" applyNumberFormat="1" applyFont="1" applyAlignment="1">
      <alignment horizontal="right" vertical="center"/>
    </xf>
    <xf numFmtId="0" fontId="35" fillId="0" borderId="0" xfId="0" applyFont="1" applyAlignment="1">
      <alignment horizontal="left" vertical="center"/>
    </xf>
    <xf numFmtId="0" fontId="35" fillId="0" borderId="0" xfId="0" applyFont="1"/>
    <xf numFmtId="171" fontId="35" fillId="0" borderId="4" xfId="1" applyNumberFormat="1" applyFont="1" applyBorder="1" applyAlignment="1">
      <alignment horizontal="center" vertical="center"/>
    </xf>
    <xf numFmtId="0" fontId="35" fillId="0" borderId="11" xfId="4" applyFont="1" applyBorder="1" applyAlignment="1">
      <alignment horizontal="center"/>
    </xf>
    <xf numFmtId="41" fontId="35" fillId="0" borderId="4" xfId="2" applyFont="1" applyBorder="1" applyAlignment="1">
      <alignment vertical="center"/>
    </xf>
    <xf numFmtId="0" fontId="35" fillId="0" borderId="4" xfId="0" applyFont="1" applyBorder="1" applyAlignment="1">
      <alignment horizontal="left" vertical="center"/>
    </xf>
    <xf numFmtId="171" fontId="36" fillId="9" borderId="6" xfId="0" applyNumberFormat="1" applyFont="1" applyFill="1" applyBorder="1" applyAlignment="1">
      <alignment vertical="center"/>
    </xf>
    <xf numFmtId="0" fontId="62" fillId="0" borderId="6" xfId="0" applyFont="1" applyBorder="1" applyAlignment="1">
      <alignment vertical="center"/>
    </xf>
    <xf numFmtId="0" fontId="57" fillId="0" borderId="6" xfId="0" applyFont="1" applyBorder="1" applyAlignment="1">
      <alignment horizontal="left" vertical="center"/>
    </xf>
    <xf numFmtId="174" fontId="62" fillId="0" borderId="6" xfId="1" applyNumberFormat="1" applyFont="1" applyBorder="1" applyAlignment="1">
      <alignment horizontal="left" vertical="center"/>
    </xf>
    <xf numFmtId="0" fontId="62" fillId="0" borderId="4" xfId="0" applyFont="1" applyBorder="1" applyAlignment="1">
      <alignment vertical="center"/>
    </xf>
    <xf numFmtId="1" fontId="36" fillId="0" borderId="4" xfId="4" applyNumberFormat="1" applyFont="1" applyBorder="1" applyAlignment="1">
      <alignment horizontal="center"/>
    </xf>
    <xf numFmtId="0" fontId="36" fillId="0" borderId="4" xfId="0" applyFont="1" applyBorder="1" applyAlignment="1">
      <alignment horizontal="left" vertical="center"/>
    </xf>
    <xf numFmtId="174" fontId="36" fillId="0" borderId="4" xfId="1" applyNumberFormat="1" applyFont="1" applyBorder="1" applyAlignment="1">
      <alignment horizontal="left" vertical="center"/>
    </xf>
    <xf numFmtId="171" fontId="36" fillId="0" borderId="4" xfId="4" applyNumberFormat="1" applyFont="1" applyBorder="1"/>
    <xf numFmtId="0" fontId="36" fillId="0" borderId="4" xfId="4" applyFont="1" applyBorder="1" applyAlignment="1">
      <alignment horizontal="center"/>
    </xf>
    <xf numFmtId="171" fontId="36" fillId="0" borderId="9" xfId="0" applyNumberFormat="1" applyFont="1" applyBorder="1" applyAlignment="1">
      <alignment vertical="center"/>
    </xf>
    <xf numFmtId="41" fontId="36" fillId="0" borderId="9" xfId="2" applyFont="1" applyBorder="1" applyAlignment="1">
      <alignment vertical="center"/>
    </xf>
    <xf numFmtId="174" fontId="36" fillId="0" borderId="9" xfId="1" applyNumberFormat="1" applyFont="1" applyBorder="1" applyAlignment="1">
      <alignment horizontal="left" vertical="center"/>
    </xf>
    <xf numFmtId="173" fontId="37" fillId="0" borderId="12" xfId="0" applyNumberFormat="1" applyFont="1" applyBorder="1" applyAlignment="1">
      <alignment horizontal="left" vertical="center"/>
    </xf>
    <xf numFmtId="171" fontId="37" fillId="0" borderId="4" xfId="1" applyNumberFormat="1" applyFont="1" applyBorder="1"/>
    <xf numFmtId="1" fontId="37" fillId="0" borderId="5" xfId="4" applyNumberFormat="1" applyFont="1" applyBorder="1" applyAlignment="1">
      <alignment horizontal="center" vertical="center"/>
    </xf>
    <xf numFmtId="171" fontId="36" fillId="0" borderId="4" xfId="1" applyNumberFormat="1" applyFont="1" applyBorder="1"/>
    <xf numFmtId="171" fontId="36" fillId="0" borderId="5" xfId="6" applyNumberFormat="1" applyFont="1" applyBorder="1" applyAlignment="1">
      <alignment horizontal="right" vertical="center"/>
    </xf>
    <xf numFmtId="0" fontId="34" fillId="0" borderId="0" xfId="0" applyFont="1"/>
    <xf numFmtId="0" fontId="34" fillId="0" borderId="0" xfId="0" applyFont="1" applyAlignment="1">
      <alignment horizontal="center" vertical="center"/>
    </xf>
    <xf numFmtId="171" fontId="36" fillId="2" borderId="0" xfId="4" applyNumberFormat="1" applyFont="1" applyFill="1"/>
    <xf numFmtId="0" fontId="36" fillId="2" borderId="0" xfId="4" applyFont="1" applyFill="1" applyAlignment="1">
      <alignment horizontal="center"/>
    </xf>
    <xf numFmtId="171" fontId="72" fillId="2" borderId="0" xfId="1" applyNumberFormat="1" applyFont="1" applyFill="1" applyAlignment="1">
      <alignment horizontal="center" vertical="center"/>
    </xf>
    <xf numFmtId="171" fontId="37" fillId="2" borderId="0" xfId="1" applyNumberFormat="1" applyFont="1" applyFill="1" applyAlignment="1">
      <alignment horizontal="center" vertical="center"/>
    </xf>
    <xf numFmtId="174" fontId="37" fillId="2" borderId="0" xfId="1" applyNumberFormat="1" applyFont="1" applyFill="1" applyAlignment="1">
      <alignment vertical="center"/>
    </xf>
    <xf numFmtId="174" fontId="37" fillId="2" borderId="0" xfId="1" applyNumberFormat="1" applyFont="1" applyFill="1" applyAlignment="1">
      <alignment horizontal="center" vertical="center"/>
    </xf>
    <xf numFmtId="174" fontId="42" fillId="0" borderId="0" xfId="1" applyNumberFormat="1" applyFont="1" applyAlignment="1">
      <alignment horizontal="center" vertical="center"/>
    </xf>
    <xf numFmtId="0" fontId="37" fillId="0" borderId="0" xfId="0" applyFont="1" applyAlignment="1">
      <alignment horizontal="center" vertical="center"/>
    </xf>
    <xf numFmtId="1" fontId="37" fillId="0" borderId="4" xfId="4" applyNumberFormat="1" applyFont="1" applyBorder="1" applyAlignment="1">
      <alignment horizontal="center"/>
    </xf>
    <xf numFmtId="0" fontId="37" fillId="0" borderId="4" xfId="4" applyFont="1" applyBorder="1" applyAlignment="1">
      <alignment horizontal="center"/>
    </xf>
    <xf numFmtId="171" fontId="37" fillId="0" borderId="4" xfId="0" applyNumberFormat="1" applyFont="1" applyBorder="1" applyAlignment="1">
      <alignment vertical="center"/>
    </xf>
    <xf numFmtId="41" fontId="37" fillId="0" borderId="4" xfId="2" applyFont="1" applyBorder="1" applyAlignment="1">
      <alignment vertical="center"/>
    </xf>
    <xf numFmtId="0" fontId="37" fillId="0" borderId="4" xfId="0" applyFont="1" applyBorder="1" applyAlignment="1">
      <alignment horizontal="left" vertical="center"/>
    </xf>
    <xf numFmtId="0" fontId="35" fillId="0" borderId="28" xfId="0" applyFont="1" applyBorder="1" applyAlignment="1">
      <alignment horizontal="center" vertical="center"/>
    </xf>
    <xf numFmtId="1" fontId="36" fillId="2" borderId="11" xfId="4" applyNumberFormat="1" applyFont="1" applyFill="1" applyBorder="1" applyAlignment="1">
      <alignment horizontal="center"/>
    </xf>
    <xf numFmtId="171" fontId="36" fillId="0" borderId="11" xfId="0" applyNumberFormat="1" applyFont="1" applyBorder="1" applyAlignment="1">
      <alignment vertical="center"/>
    </xf>
    <xf numFmtId="0" fontId="36" fillId="0" borderId="4" xfId="0" applyFont="1" applyBorder="1" applyAlignment="1">
      <alignment vertical="center"/>
    </xf>
    <xf numFmtId="0" fontId="36" fillId="5" borderId="4" xfId="0" applyFont="1" applyFill="1" applyBorder="1"/>
    <xf numFmtId="171" fontId="37" fillId="2" borderId="12" xfId="0" applyNumberFormat="1" applyFont="1" applyFill="1" applyBorder="1" applyAlignment="1">
      <alignment vertical="center"/>
    </xf>
    <xf numFmtId="173" fontId="37" fillId="2" borderId="12" xfId="0" applyNumberFormat="1" applyFont="1" applyFill="1" applyBorder="1" applyAlignment="1">
      <alignment vertical="center"/>
    </xf>
    <xf numFmtId="173" fontId="37" fillId="2" borderId="12" xfId="0" applyNumberFormat="1" applyFont="1" applyFill="1" applyBorder="1" applyAlignment="1">
      <alignment horizontal="left" vertical="center"/>
    </xf>
    <xf numFmtId="1" fontId="36" fillId="0" borderId="5" xfId="4" applyNumberFormat="1" applyFont="1" applyBorder="1" applyAlignment="1">
      <alignment horizontal="center" vertical="center"/>
    </xf>
    <xf numFmtId="1" fontId="37" fillId="2" borderId="6" xfId="4" applyNumberFormat="1" applyFont="1" applyFill="1" applyBorder="1" applyAlignment="1">
      <alignment horizontal="center" vertical="center"/>
    </xf>
    <xf numFmtId="16" fontId="37" fillId="0" borderId="28" xfId="0" applyNumberFormat="1" applyFont="1" applyBorder="1" applyAlignment="1">
      <alignment horizontal="center" vertical="center"/>
    </xf>
    <xf numFmtId="171" fontId="36" fillId="0" borderId="4" xfId="0" applyNumberFormat="1" applyFont="1" applyBorder="1" applyAlignment="1">
      <alignment vertical="center"/>
    </xf>
    <xf numFmtId="171" fontId="36" fillId="0" borderId="6" xfId="4" applyNumberFormat="1" applyFont="1" applyBorder="1" applyAlignment="1">
      <alignment horizontal="center"/>
    </xf>
    <xf numFmtId="171" fontId="72" fillId="0" borderId="5" xfId="3" applyNumberFormat="1" applyFont="1" applyBorder="1" applyAlignment="1">
      <alignment horizontal="right" vertical="center"/>
    </xf>
    <xf numFmtId="49" fontId="37" fillId="0" borderId="14" xfId="4" applyNumberFormat="1" applyFont="1" applyBorder="1" applyAlignment="1">
      <alignment horizontal="center" vertical="center"/>
    </xf>
    <xf numFmtId="171" fontId="37" fillId="2" borderId="4" xfId="1" applyNumberFormat="1" applyFont="1" applyFill="1" applyBorder="1" applyAlignment="1">
      <alignment horizontal="center"/>
    </xf>
    <xf numFmtId="0" fontId="37" fillId="0" borderId="25" xfId="0" applyFont="1" applyBorder="1" applyAlignment="1">
      <alignment horizontal="center" vertical="center"/>
    </xf>
    <xf numFmtId="0" fontId="39" fillId="7" borderId="27" xfId="0" applyFont="1" applyFill="1" applyBorder="1" applyAlignment="1">
      <alignment horizontal="center" vertical="center"/>
    </xf>
    <xf numFmtId="1" fontId="72" fillId="2" borderId="6" xfId="4" applyNumberFormat="1" applyFont="1" applyFill="1" applyBorder="1" applyAlignment="1">
      <alignment horizontal="center" vertical="center"/>
    </xf>
    <xf numFmtId="171" fontId="35" fillId="0" borderId="6" xfId="0" applyNumberFormat="1" applyFont="1" applyBorder="1" applyAlignment="1">
      <alignment vertical="center"/>
    </xf>
    <xf numFmtId="0" fontId="35" fillId="0" borderId="6" xfId="0" applyFont="1" applyBorder="1" applyAlignment="1">
      <alignment vertical="center"/>
    </xf>
    <xf numFmtId="168" fontId="35" fillId="0" borderId="6" xfId="0" applyNumberFormat="1" applyFont="1" applyBorder="1" applyAlignment="1">
      <alignment vertical="center"/>
    </xf>
    <xf numFmtId="0" fontId="37" fillId="0" borderId="21" xfId="0" applyFont="1" applyBorder="1" applyAlignment="1">
      <alignment horizontal="center" vertical="center"/>
    </xf>
    <xf numFmtId="171" fontId="62" fillId="9" borderId="4" xfId="6" applyNumberFormat="1" applyFont="1" applyFill="1" applyBorder="1" applyAlignment="1">
      <alignment horizontal="right" vertical="center"/>
    </xf>
    <xf numFmtId="171" fontId="57" fillId="9" borderId="4" xfId="6" applyNumberFormat="1" applyFont="1" applyFill="1" applyBorder="1" applyAlignment="1">
      <alignment horizontal="right" vertical="center"/>
    </xf>
    <xf numFmtId="171" fontId="66" fillId="2" borderId="5" xfId="6" applyNumberFormat="1" applyFont="1" applyFill="1" applyBorder="1" applyAlignment="1">
      <alignment horizontal="right" vertical="center"/>
    </xf>
    <xf numFmtId="171" fontId="36" fillId="2" borderId="4" xfId="6" applyNumberFormat="1" applyFont="1" applyFill="1" applyBorder="1" applyAlignment="1">
      <alignment horizontal="right" vertical="center"/>
    </xf>
    <xf numFmtId="171" fontId="37" fillId="2" borderId="4" xfId="1" applyNumberFormat="1" applyFont="1" applyFill="1" applyBorder="1"/>
    <xf numFmtId="1" fontId="37" fillId="2" borderId="5" xfId="4" applyNumberFormat="1" applyFont="1" applyFill="1" applyBorder="1" applyAlignment="1">
      <alignment horizontal="center" vertical="center"/>
    </xf>
    <xf numFmtId="1" fontId="36" fillId="2" borderId="5" xfId="4" applyNumberFormat="1" applyFont="1" applyFill="1" applyBorder="1" applyAlignment="1">
      <alignment horizontal="center" vertical="center"/>
    </xf>
    <xf numFmtId="1" fontId="36" fillId="2" borderId="4" xfId="4" applyNumberFormat="1" applyFont="1" applyFill="1" applyBorder="1" applyAlignment="1">
      <alignment horizontal="center" vertical="center"/>
    </xf>
    <xf numFmtId="1" fontId="36" fillId="0" borderId="4" xfId="4" applyNumberFormat="1" applyFont="1" applyBorder="1" applyAlignment="1">
      <alignment horizontal="center" vertical="center"/>
    </xf>
    <xf numFmtId="1" fontId="66" fillId="2" borderId="4" xfId="4" applyNumberFormat="1" applyFont="1" applyFill="1" applyBorder="1" applyAlignment="1">
      <alignment horizontal="center" vertical="center"/>
    </xf>
    <xf numFmtId="1" fontId="37" fillId="0" borderId="5" xfId="7" applyNumberFormat="1" applyFont="1" applyBorder="1" applyAlignment="1">
      <alignment horizontal="center" vertical="center"/>
    </xf>
    <xf numFmtId="171" fontId="34" fillId="0" borderId="5" xfId="6" applyNumberFormat="1" applyFont="1" applyBorder="1" applyAlignment="1">
      <alignment horizontal="right" vertical="center"/>
    </xf>
    <xf numFmtId="1" fontId="37" fillId="0" borderId="3" xfId="7" applyNumberFormat="1" applyFont="1" applyBorder="1" applyAlignment="1">
      <alignment horizontal="center" vertical="center"/>
    </xf>
    <xf numFmtId="171" fontId="35" fillId="0" borderId="5" xfId="7" applyNumberFormat="1" applyFont="1" applyBorder="1" applyAlignment="1">
      <alignment vertical="center"/>
    </xf>
    <xf numFmtId="1" fontId="37" fillId="0" borderId="9" xfId="7" applyNumberFormat="1" applyFont="1" applyBorder="1" applyAlignment="1">
      <alignment horizontal="center" vertical="center"/>
    </xf>
    <xf numFmtId="171" fontId="37" fillId="0" borderId="5" xfId="3" applyNumberFormat="1" applyFont="1" applyBorder="1" applyAlignment="1">
      <alignment horizontal="right" vertical="center"/>
    </xf>
    <xf numFmtId="171" fontId="37" fillId="0" borderId="9" xfId="3" applyNumberFormat="1" applyFont="1" applyBorder="1" applyAlignment="1">
      <alignment horizontal="right" vertical="center"/>
    </xf>
    <xf numFmtId="1" fontId="37" fillId="0" borderId="4" xfId="4" applyNumberFormat="1" applyFont="1" applyBorder="1" applyAlignment="1">
      <alignment horizontal="center" vertical="center"/>
    </xf>
    <xf numFmtId="171" fontId="36" fillId="0" borderId="9" xfId="1" applyNumberFormat="1" applyFont="1" applyBorder="1"/>
    <xf numFmtId="1" fontId="36" fillId="0" borderId="9" xfId="7" applyNumberFormat="1" applyFont="1" applyBorder="1" applyAlignment="1">
      <alignment horizontal="center" vertical="center"/>
    </xf>
    <xf numFmtId="171" fontId="36" fillId="0" borderId="14" xfId="6" applyNumberFormat="1" applyFont="1" applyBorder="1" applyAlignment="1">
      <alignment horizontal="right" vertical="center"/>
    </xf>
    <xf numFmtId="4" fontId="36" fillId="0" borderId="5" xfId="4" applyNumberFormat="1" applyFont="1" applyBorder="1" applyAlignment="1">
      <alignment vertical="center"/>
    </xf>
    <xf numFmtId="0" fontId="34" fillId="0" borderId="4" xfId="0" applyFont="1" applyBorder="1" applyAlignment="1">
      <alignment vertical="center"/>
    </xf>
    <xf numFmtId="1" fontId="36" fillId="2" borderId="5" xfId="7" applyNumberFormat="1" applyFont="1" applyFill="1" applyBorder="1" applyAlignment="1">
      <alignment horizontal="center" vertical="center"/>
    </xf>
    <xf numFmtId="4" fontId="36" fillId="2" borderId="4" xfId="4" applyNumberFormat="1" applyFont="1" applyFill="1" applyBorder="1" applyAlignment="1">
      <alignment vertical="center"/>
    </xf>
    <xf numFmtId="0" fontId="36" fillId="2" borderId="4" xfId="4" applyFont="1" applyFill="1" applyBorder="1" applyAlignment="1">
      <alignment horizontal="center" vertical="center"/>
    </xf>
    <xf numFmtId="1" fontId="66" fillId="2" borderId="4" xfId="7" applyNumberFormat="1" applyFont="1" applyFill="1" applyBorder="1" applyAlignment="1">
      <alignment horizontal="center" vertical="center"/>
    </xf>
    <xf numFmtId="3" fontId="37" fillId="0" borderId="11" xfId="4" applyNumberFormat="1" applyFont="1" applyBorder="1" applyAlignment="1">
      <alignment vertical="center"/>
    </xf>
    <xf numFmtId="0" fontId="37" fillId="0" borderId="14" xfId="4" applyFont="1" applyBorder="1" applyAlignment="1">
      <alignment horizontal="center" vertical="center"/>
    </xf>
    <xf numFmtId="0" fontId="35" fillId="0" borderId="5" xfId="0" applyFont="1" applyBorder="1" applyAlignment="1">
      <alignment vertical="center"/>
    </xf>
    <xf numFmtId="171" fontId="37" fillId="2" borderId="6" xfId="6" applyNumberFormat="1" applyFont="1" applyFill="1" applyBorder="1" applyAlignment="1">
      <alignment horizontal="right" vertical="center"/>
    </xf>
    <xf numFmtId="3" fontId="37" fillId="0" borderId="4" xfId="4" applyNumberFormat="1" applyFont="1" applyBorder="1" applyAlignment="1">
      <alignment vertical="center"/>
    </xf>
    <xf numFmtId="3" fontId="36" fillId="0" borderId="4" xfId="4" applyNumberFormat="1" applyFont="1" applyBorder="1" applyAlignment="1">
      <alignment vertical="center"/>
    </xf>
    <xf numFmtId="0" fontId="57" fillId="0" borderId="4" xfId="0" applyFont="1" applyBorder="1" applyAlignment="1">
      <alignment horizontal="center" vertical="center"/>
    </xf>
    <xf numFmtId="171" fontId="36" fillId="2" borderId="9" xfId="1" applyNumberFormat="1" applyFont="1" applyFill="1" applyBorder="1"/>
    <xf numFmtId="1" fontId="37" fillId="0" borderId="4" xfId="4" applyNumberFormat="1" applyFont="1" applyBorder="1" applyAlignment="1">
      <alignment vertical="center"/>
    </xf>
    <xf numFmtId="171" fontId="37" fillId="0" borderId="4" xfId="4" applyNumberFormat="1" applyFont="1" applyBorder="1" applyAlignment="1">
      <alignment horizontal="right" vertical="center"/>
    </xf>
    <xf numFmtId="1" fontId="37" fillId="2" borderId="4" xfId="7" applyNumberFormat="1" applyFont="1" applyFill="1" applyBorder="1" applyAlignment="1">
      <alignment horizontal="center" vertical="center"/>
    </xf>
    <xf numFmtId="171" fontId="37" fillId="2" borderId="4" xfId="6" applyNumberFormat="1" applyFont="1" applyFill="1" applyBorder="1" applyAlignment="1">
      <alignment horizontal="right" vertical="center"/>
    </xf>
    <xf numFmtId="171" fontId="37" fillId="0" borderId="4" xfId="6" applyNumberFormat="1" applyFont="1" applyBorder="1" applyAlignment="1">
      <alignment horizontal="right" vertical="center"/>
    </xf>
    <xf numFmtId="4" fontId="37" fillId="0" borderId="4" xfId="4" applyNumberFormat="1" applyFont="1" applyBorder="1" applyAlignment="1">
      <alignment vertical="center"/>
    </xf>
    <xf numFmtId="0" fontId="37" fillId="0" borderId="4" xfId="4" applyFont="1" applyBorder="1" applyAlignment="1">
      <alignment horizontal="center" vertical="center"/>
    </xf>
    <xf numFmtId="0" fontId="57" fillId="0" borderId="4" xfId="0" applyFont="1" applyBorder="1" applyAlignment="1">
      <alignment horizontal="left" vertical="center"/>
    </xf>
    <xf numFmtId="171" fontId="36" fillId="2" borderId="5" xfId="6" applyNumberFormat="1" applyFont="1" applyFill="1" applyBorder="1" applyAlignment="1">
      <alignment horizontal="right" vertical="center"/>
    </xf>
    <xf numFmtId="4" fontId="36" fillId="0" borderId="4" xfId="4" applyNumberFormat="1" applyFont="1" applyBorder="1" applyAlignment="1">
      <alignment vertical="center"/>
    </xf>
    <xf numFmtId="171" fontId="36" fillId="2" borderId="4" xfId="1" applyNumberFormat="1" applyFont="1" applyFill="1" applyBorder="1"/>
    <xf numFmtId="1" fontId="36" fillId="2" borderId="4" xfId="7" applyNumberFormat="1" applyFont="1" applyFill="1" applyBorder="1" applyAlignment="1">
      <alignment horizontal="center" vertical="center"/>
    </xf>
    <xf numFmtId="180" fontId="35" fillId="0" borderId="2" xfId="2" applyNumberFormat="1" applyFont="1" applyBorder="1"/>
    <xf numFmtId="171" fontId="37" fillId="2" borderId="4" xfId="4" applyNumberFormat="1" applyFont="1" applyFill="1" applyBorder="1"/>
    <xf numFmtId="171" fontId="37" fillId="0" borderId="9" xfId="0" applyNumberFormat="1" applyFont="1" applyBorder="1"/>
    <xf numFmtId="171" fontId="34" fillId="0" borderId="9" xfId="0" applyNumberFormat="1" applyFont="1" applyBorder="1"/>
    <xf numFmtId="41" fontId="37" fillId="0" borderId="9" xfId="2" applyFont="1" applyBorder="1" applyAlignment="1">
      <alignment vertical="center"/>
    </xf>
    <xf numFmtId="0" fontId="35" fillId="0" borderId="9" xfId="0" applyFont="1" applyBorder="1"/>
    <xf numFmtId="0" fontId="35" fillId="5" borderId="9" xfId="0" applyFont="1" applyFill="1" applyBorder="1"/>
    <xf numFmtId="0" fontId="36" fillId="0" borderId="4" xfId="0" applyFont="1" applyBorder="1"/>
    <xf numFmtId="171" fontId="36" fillId="9" borderId="4" xfId="0" applyNumberFormat="1" applyFont="1" applyFill="1" applyBorder="1" applyAlignment="1">
      <alignment vertical="center"/>
    </xf>
    <xf numFmtId="176" fontId="36" fillId="0" borderId="4" xfId="0" applyNumberFormat="1" applyFont="1" applyBorder="1" applyAlignment="1">
      <alignment vertical="center"/>
    </xf>
    <xf numFmtId="0" fontId="62" fillId="0" borderId="0" xfId="0" applyFont="1"/>
    <xf numFmtId="2" fontId="36" fillId="0" borderId="4" xfId="0" applyNumberFormat="1" applyFont="1" applyBorder="1" applyAlignment="1">
      <alignment vertical="center"/>
    </xf>
    <xf numFmtId="0" fontId="36" fillId="0" borderId="4" xfId="4" applyFont="1" applyBorder="1" applyAlignment="1">
      <alignment horizontal="center" vertical="center"/>
    </xf>
    <xf numFmtId="0" fontId="37" fillId="0" borderId="19" xfId="0" applyFont="1" applyBorder="1" applyAlignment="1">
      <alignment horizontal="center" vertical="center"/>
    </xf>
    <xf numFmtId="171" fontId="36" fillId="9" borderId="9" xfId="0" applyNumberFormat="1" applyFont="1" applyFill="1" applyBorder="1" applyAlignment="1">
      <alignment vertical="center"/>
    </xf>
    <xf numFmtId="0" fontId="62" fillId="0" borderId="18" xfId="0" applyFont="1" applyBorder="1" applyAlignment="1">
      <alignment vertical="center"/>
    </xf>
    <xf numFmtId="0" fontId="62" fillId="0" borderId="18" xfId="0" applyFont="1" applyBorder="1"/>
    <xf numFmtId="0" fontId="62" fillId="5" borderId="18" xfId="0" applyFont="1" applyFill="1" applyBorder="1"/>
    <xf numFmtId="0" fontId="36" fillId="2" borderId="11" xfId="4" applyFont="1" applyFill="1" applyBorder="1" applyAlignment="1">
      <alignment horizontal="center"/>
    </xf>
    <xf numFmtId="171" fontId="36" fillId="2" borderId="4" xfId="1" applyNumberFormat="1" applyFont="1" applyFill="1" applyBorder="1" applyAlignment="1">
      <alignment horizontal="center" vertical="center"/>
    </xf>
    <xf numFmtId="171" fontId="36" fillId="9" borderId="4" xfId="1" applyNumberFormat="1" applyFont="1" applyFill="1" applyBorder="1" applyAlignment="1">
      <alignment horizontal="center" vertical="center"/>
    </xf>
    <xf numFmtId="0" fontId="62" fillId="0" borderId="11" xfId="0" applyFont="1" applyBorder="1" applyAlignment="1">
      <alignment vertical="center"/>
    </xf>
    <xf numFmtId="0" fontId="62" fillId="0" borderId="11" xfId="0" applyFont="1" applyBorder="1"/>
    <xf numFmtId="0" fontId="37" fillId="0" borderId="29" xfId="0" applyFont="1" applyBorder="1" applyAlignment="1">
      <alignment horizontal="center" vertical="center"/>
    </xf>
    <xf numFmtId="0" fontId="72" fillId="2" borderId="3" xfId="4" applyFont="1" applyFill="1" applyBorder="1" applyAlignment="1">
      <alignment horizontal="center"/>
    </xf>
    <xf numFmtId="0" fontId="57" fillId="3" borderId="4" xfId="0" applyFont="1" applyFill="1" applyBorder="1" applyAlignment="1">
      <alignment horizontal="left" vertical="center"/>
    </xf>
    <xf numFmtId="0" fontId="62" fillId="0" borderId="3" xfId="0" applyFont="1" applyBorder="1" applyAlignment="1">
      <alignment vertical="center"/>
    </xf>
    <xf numFmtId="0" fontId="62" fillId="5" borderId="12" xfId="0" applyFont="1" applyFill="1" applyBorder="1"/>
    <xf numFmtId="0" fontId="57" fillId="0" borderId="4" xfId="0" applyFont="1" applyBorder="1" applyAlignment="1">
      <alignment vertical="center"/>
    </xf>
    <xf numFmtId="170" fontId="62" fillId="0" borderId="9" xfId="0" applyNumberFormat="1" applyFont="1" applyBorder="1" applyAlignment="1">
      <alignment vertical="center"/>
    </xf>
    <xf numFmtId="0" fontId="62" fillId="5" borderId="9" xfId="0" applyFont="1" applyFill="1" applyBorder="1"/>
    <xf numFmtId="1" fontId="36" fillId="2" borderId="4" xfId="4" applyNumberFormat="1" applyFont="1" applyFill="1" applyBorder="1" applyAlignment="1">
      <alignment horizontal="center"/>
    </xf>
    <xf numFmtId="1" fontId="35" fillId="0" borderId="14" xfId="7" applyNumberFormat="1" applyFont="1" applyBorder="1" applyAlignment="1">
      <alignment horizontal="center" vertical="center"/>
    </xf>
    <xf numFmtId="171" fontId="37" fillId="0" borderId="14" xfId="6" applyNumberFormat="1" applyFont="1" applyBorder="1" applyAlignment="1">
      <alignment horizontal="right" vertical="center"/>
    </xf>
    <xf numFmtId="1" fontId="62" fillId="0" borderId="4" xfId="4" applyNumberFormat="1" applyFont="1" applyBorder="1" applyAlignment="1">
      <alignment horizontal="center" vertical="center"/>
    </xf>
    <xf numFmtId="171" fontId="37" fillId="0" borderId="4" xfId="3" applyNumberFormat="1" applyFont="1" applyBorder="1" applyAlignment="1">
      <alignment horizontal="right" vertical="center"/>
    </xf>
    <xf numFmtId="171" fontId="35" fillId="0" borderId="4" xfId="3" applyNumberFormat="1" applyFont="1" applyBorder="1" applyAlignment="1">
      <alignment horizontal="right" vertical="center"/>
    </xf>
    <xf numFmtId="0" fontId="35" fillId="0" borderId="4" xfId="0" applyFont="1" applyBorder="1" applyAlignment="1">
      <alignment vertical="center"/>
    </xf>
    <xf numFmtId="0" fontId="37" fillId="0" borderId="4" xfId="0" applyFont="1" applyBorder="1" applyAlignment="1">
      <alignment horizontal="center" vertical="center"/>
    </xf>
    <xf numFmtId="171" fontId="37" fillId="0" borderId="6" xfId="0" applyNumberFormat="1" applyFont="1" applyBorder="1" applyAlignment="1">
      <alignment vertical="center"/>
    </xf>
    <xf numFmtId="0" fontId="37" fillId="0" borderId="16" xfId="0" applyFont="1" applyBorder="1" applyAlignment="1">
      <alignment horizontal="center" vertical="center"/>
    </xf>
    <xf numFmtId="0" fontId="39" fillId="7" borderId="20" xfId="0" applyFont="1" applyFill="1" applyBorder="1" applyAlignment="1">
      <alignment horizontal="center" vertical="center"/>
    </xf>
    <xf numFmtId="171" fontId="37" fillId="0" borderId="9" xfId="4" applyNumberFormat="1" applyFont="1" applyBorder="1"/>
    <xf numFmtId="0" fontId="37" fillId="2" borderId="9" xfId="4" applyFont="1" applyFill="1" applyBorder="1" applyAlignment="1">
      <alignment horizontal="center"/>
    </xf>
    <xf numFmtId="171" fontId="37" fillId="0" borderId="3" xfId="0" applyNumberFormat="1" applyFont="1" applyBorder="1"/>
    <xf numFmtId="171" fontId="34" fillId="0" borderId="3" xfId="0" applyNumberFormat="1" applyFont="1" applyBorder="1"/>
    <xf numFmtId="0" fontId="36" fillId="2" borderId="9" xfId="4" applyFont="1" applyFill="1" applyBorder="1" applyAlignment="1">
      <alignment horizontal="center"/>
    </xf>
    <xf numFmtId="2" fontId="62" fillId="5" borderId="2" xfId="0" applyNumberFormat="1" applyFont="1" applyFill="1" applyBorder="1" applyAlignment="1">
      <alignment vertical="center"/>
    </xf>
    <xf numFmtId="171" fontId="36" fillId="2" borderId="60" xfId="4" applyNumberFormat="1" applyFont="1" applyFill="1" applyBorder="1"/>
    <xf numFmtId="171" fontId="62" fillId="9" borderId="13" xfId="0" applyNumberFormat="1" applyFont="1" applyFill="1" applyBorder="1"/>
    <xf numFmtId="2" fontId="62" fillId="5" borderId="10" xfId="0" applyNumberFormat="1" applyFont="1" applyFill="1" applyBorder="1" applyAlignment="1">
      <alignment vertical="center"/>
    </xf>
    <xf numFmtId="174" fontId="39" fillId="7" borderId="9" xfId="1" applyNumberFormat="1" applyFont="1" applyFill="1" applyBorder="1" applyAlignment="1">
      <alignment horizontal="left" vertical="center"/>
    </xf>
    <xf numFmtId="171" fontId="36" fillId="2" borderId="4" xfId="4" applyNumberFormat="1" applyFont="1" applyFill="1" applyBorder="1"/>
    <xf numFmtId="0" fontId="36" fillId="2" borderId="4" xfId="4" applyFont="1" applyFill="1" applyBorder="1" applyAlignment="1">
      <alignment horizontal="center"/>
    </xf>
    <xf numFmtId="171" fontId="36" fillId="0" borderId="11" xfId="0" applyNumberFormat="1" applyFont="1" applyBorder="1"/>
    <xf numFmtId="171" fontId="62" fillId="9" borderId="11" xfId="0" applyNumberFormat="1" applyFont="1" applyFill="1" applyBorder="1"/>
    <xf numFmtId="0" fontId="62" fillId="0" borderId="9" xfId="0" applyFont="1" applyBorder="1" applyAlignment="1">
      <alignment vertical="center"/>
    </xf>
    <xf numFmtId="0" fontId="62" fillId="0" borderId="4" xfId="0" applyFont="1" applyBorder="1" applyAlignment="1">
      <alignment horizontal="center"/>
    </xf>
    <xf numFmtId="0" fontId="62" fillId="5" borderId="4" xfId="0" applyFont="1" applyFill="1" applyBorder="1"/>
    <xf numFmtId="171" fontId="35" fillId="0" borderId="5" xfId="6" applyNumberFormat="1" applyFont="1" applyBorder="1" applyAlignment="1">
      <alignment horizontal="right" vertical="center"/>
    </xf>
    <xf numFmtId="1" fontId="35" fillId="0" borderId="5" xfId="7" applyNumberFormat="1" applyFont="1" applyBorder="1" applyAlignment="1">
      <alignment horizontal="center" vertical="center"/>
    </xf>
    <xf numFmtId="171" fontId="37" fillId="0" borderId="5" xfId="6" applyNumberFormat="1" applyFont="1" applyBorder="1" applyAlignment="1">
      <alignment horizontal="right" vertical="center"/>
    </xf>
    <xf numFmtId="0" fontId="35" fillId="0" borderId="11" xfId="0" applyFont="1" applyBorder="1" applyAlignment="1">
      <alignment vertical="center"/>
    </xf>
    <xf numFmtId="0" fontId="35" fillId="0" borderId="14" xfId="0" applyFont="1" applyBorder="1" applyAlignment="1">
      <alignment horizontal="left" vertical="center"/>
    </xf>
    <xf numFmtId="0" fontId="35" fillId="0" borderId="5" xfId="0" applyFont="1" applyBorder="1" applyAlignment="1">
      <alignment horizontal="left" vertical="center"/>
    </xf>
    <xf numFmtId="171" fontId="35" fillId="2" borderId="5" xfId="6" applyNumberFormat="1" applyFont="1" applyFill="1" applyBorder="1" applyAlignment="1">
      <alignment horizontal="right" vertical="center"/>
    </xf>
    <xf numFmtId="171" fontId="34" fillId="4" borderId="13" xfId="0" applyNumberFormat="1" applyFont="1" applyFill="1" applyBorder="1"/>
    <xf numFmtId="0" fontId="35" fillId="4" borderId="13" xfId="0" applyFont="1" applyFill="1" applyBorder="1"/>
    <xf numFmtId="171" fontId="35" fillId="2" borderId="4" xfId="6" applyNumberFormat="1" applyFont="1" applyFill="1" applyBorder="1" applyAlignment="1">
      <alignment horizontal="right" vertical="center"/>
    </xf>
    <xf numFmtId="171" fontId="34" fillId="4" borderId="18" xfId="0" applyNumberFormat="1" applyFont="1" applyFill="1" applyBorder="1"/>
    <xf numFmtId="171" fontId="35" fillId="4" borderId="18" xfId="0" applyNumberFormat="1" applyFont="1" applyFill="1" applyBorder="1"/>
    <xf numFmtId="0" fontId="35" fillId="4" borderId="18" xfId="0" applyFont="1" applyFill="1" applyBorder="1" applyAlignment="1">
      <alignment vertical="center"/>
    </xf>
    <xf numFmtId="0" fontId="35" fillId="4" borderId="18" xfId="0" applyFont="1" applyFill="1" applyBorder="1"/>
    <xf numFmtId="171" fontId="62" fillId="2" borderId="4" xfId="6" applyNumberFormat="1" applyFont="1" applyFill="1" applyBorder="1" applyAlignment="1">
      <alignment horizontal="right" vertical="center"/>
    </xf>
    <xf numFmtId="181" fontId="35" fillId="0" borderId="2" xfId="2" applyNumberFormat="1" applyFont="1" applyBorder="1"/>
    <xf numFmtId="174" fontId="39" fillId="7" borderId="6" xfId="1" applyNumberFormat="1" applyFont="1" applyFill="1" applyBorder="1" applyAlignment="1">
      <alignment horizontal="left" vertical="center"/>
    </xf>
    <xf numFmtId="0" fontId="37" fillId="2" borderId="12" xfId="4" applyFont="1" applyFill="1" applyBorder="1" applyAlignment="1">
      <alignment horizontal="center"/>
    </xf>
    <xf numFmtId="171" fontId="34" fillId="0" borderId="1" xfId="0" applyNumberFormat="1" applyFont="1" applyBorder="1"/>
    <xf numFmtId="175" fontId="37" fillId="0" borderId="1" xfId="2" applyNumberFormat="1" applyFont="1" applyBorder="1" applyAlignment="1">
      <alignment vertical="center"/>
    </xf>
    <xf numFmtId="0" fontId="35" fillId="0" borderId="15" xfId="0" applyFont="1" applyBorder="1"/>
    <xf numFmtId="0" fontId="35" fillId="5" borderId="12" xfId="0" applyFont="1" applyFill="1" applyBorder="1"/>
    <xf numFmtId="0" fontId="37" fillId="2" borderId="20" xfId="0" applyFont="1" applyFill="1" applyBorder="1" applyAlignment="1">
      <alignment horizontal="center" vertical="center"/>
    </xf>
    <xf numFmtId="0" fontId="36" fillId="2" borderId="2" xfId="4" applyFont="1" applyFill="1" applyBorder="1" applyAlignment="1">
      <alignment horizontal="center"/>
    </xf>
    <xf numFmtId="171" fontId="36" fillId="0" borderId="5" xfId="0" applyNumberFormat="1" applyFont="1" applyBorder="1"/>
    <xf numFmtId="0" fontId="62" fillId="0" borderId="4" xfId="0" applyFont="1" applyBorder="1"/>
    <xf numFmtId="171" fontId="36" fillId="2" borderId="6" xfId="4" applyNumberFormat="1" applyFont="1" applyFill="1" applyBorder="1"/>
    <xf numFmtId="0" fontId="36" fillId="2" borderId="6" xfId="4" applyFont="1" applyFill="1" applyBorder="1" applyAlignment="1">
      <alignment horizontal="center"/>
    </xf>
    <xf numFmtId="171" fontId="36" fillId="0" borderId="4" xfId="0" applyNumberFormat="1" applyFont="1" applyBorder="1"/>
    <xf numFmtId="171" fontId="62" fillId="9" borderId="4" xfId="0" applyNumberFormat="1" applyFont="1" applyFill="1" applyBorder="1"/>
    <xf numFmtId="0" fontId="62" fillId="0" borderId="6" xfId="0" applyFont="1" applyBorder="1"/>
    <xf numFmtId="0" fontId="37" fillId="2" borderId="28" xfId="0" applyFont="1" applyFill="1" applyBorder="1" applyAlignment="1">
      <alignment horizontal="center" vertical="center"/>
    </xf>
    <xf numFmtId="174" fontId="39" fillId="7" borderId="4" xfId="1" applyNumberFormat="1" applyFont="1" applyFill="1" applyBorder="1" applyAlignment="1">
      <alignment horizontal="left" vertical="center"/>
    </xf>
    <xf numFmtId="0" fontId="39" fillId="7" borderId="28" xfId="0" applyFont="1" applyFill="1" applyBorder="1" applyAlignment="1">
      <alignment horizontal="center" vertical="center"/>
    </xf>
    <xf numFmtId="0" fontId="37" fillId="2" borderId="25" xfId="0" applyFont="1" applyFill="1" applyBorder="1" applyAlignment="1">
      <alignment horizontal="center" vertical="center"/>
    </xf>
    <xf numFmtId="0" fontId="57" fillId="0" borderId="0" xfId="0" applyFont="1" applyAlignment="1">
      <alignment horizontal="justify"/>
    </xf>
    <xf numFmtId="0" fontId="57" fillId="0" borderId="0" xfId="0" applyFont="1" applyAlignment="1">
      <alignment vertical="center"/>
    </xf>
    <xf numFmtId="0" fontId="39" fillId="7" borderId="2" xfId="0" applyFont="1" applyFill="1" applyBorder="1" applyAlignment="1">
      <alignment horizontal="center" vertical="center" wrapText="1"/>
    </xf>
    <xf numFmtId="0" fontId="39" fillId="7" borderId="31" xfId="0" applyFont="1" applyFill="1" applyBorder="1" applyAlignment="1">
      <alignment horizontal="center" vertical="center"/>
    </xf>
    <xf numFmtId="0" fontId="39" fillId="7" borderId="12" xfId="0" applyFont="1" applyFill="1" applyBorder="1" applyAlignment="1">
      <alignment horizontal="justify" vertical="center"/>
    </xf>
    <xf numFmtId="0" fontId="39" fillId="7" borderId="12" xfId="0" applyFont="1" applyFill="1" applyBorder="1" applyAlignment="1">
      <alignment horizontal="center" vertical="center" wrapText="1"/>
    </xf>
    <xf numFmtId="0" fontId="39" fillId="7" borderId="12" xfId="4" applyFont="1" applyFill="1" applyBorder="1" applyAlignment="1">
      <alignment horizontal="center" vertical="center" wrapText="1"/>
    </xf>
    <xf numFmtId="0" fontId="39" fillId="7" borderId="26" xfId="0" applyFont="1" applyFill="1" applyBorder="1" applyAlignment="1">
      <alignment horizontal="center" vertical="center" wrapText="1"/>
    </xf>
    <xf numFmtId="0" fontId="39" fillId="7" borderId="63" xfId="0" applyFont="1" applyFill="1" applyBorder="1" applyAlignment="1">
      <alignment horizontal="center" vertical="center"/>
    </xf>
    <xf numFmtId="0" fontId="39" fillId="7" borderId="64" xfId="0" applyFont="1" applyFill="1" applyBorder="1" applyAlignment="1">
      <alignment horizontal="justify" vertical="center"/>
    </xf>
    <xf numFmtId="0" fontId="39" fillId="7" borderId="64" xfId="0" applyFont="1" applyFill="1" applyBorder="1" applyAlignment="1">
      <alignment vertical="center"/>
    </xf>
    <xf numFmtId="0" fontId="39" fillId="7" borderId="65" xfId="0" applyFont="1" applyFill="1" applyBorder="1" applyAlignment="1">
      <alignment vertical="center" wrapText="1"/>
    </xf>
    <xf numFmtId="0" fontId="39" fillId="7" borderId="65" xfId="0" applyFont="1" applyFill="1" applyBorder="1" applyAlignment="1">
      <alignment horizontal="center" vertical="center" wrapText="1"/>
    </xf>
    <xf numFmtId="0" fontId="39" fillId="7" borderId="65" xfId="4" applyFont="1" applyFill="1" applyBorder="1" applyAlignment="1">
      <alignment horizontal="center" vertical="center"/>
    </xf>
    <xf numFmtId="0" fontId="74" fillId="7" borderId="66" xfId="0" applyFont="1" applyFill="1" applyBorder="1"/>
    <xf numFmtId="0" fontId="35" fillId="2" borderId="21" xfId="0" applyFont="1" applyFill="1" applyBorder="1" applyAlignment="1">
      <alignment horizontal="center" vertical="center"/>
    </xf>
    <xf numFmtId="0" fontId="64" fillId="0" borderId="8" xfId="0" applyFont="1" applyBorder="1" applyAlignment="1">
      <alignment vertical="center" wrapText="1"/>
    </xf>
    <xf numFmtId="9" fontId="62" fillId="2" borderId="4" xfId="0" applyNumberFormat="1" applyFont="1" applyFill="1" applyBorder="1" applyAlignment="1">
      <alignment horizontal="center" vertical="center" wrapText="1"/>
    </xf>
    <xf numFmtId="165" fontId="57" fillId="13" borderId="4" xfId="3" applyFont="1" applyFill="1" applyBorder="1" applyAlignment="1">
      <alignment horizontal="center" vertical="center" wrapText="1"/>
    </xf>
    <xf numFmtId="170" fontId="36" fillId="0" borderId="4" xfId="4" applyNumberFormat="1" applyFont="1" applyBorder="1" applyAlignment="1">
      <alignment horizontal="center" vertical="center"/>
    </xf>
    <xf numFmtId="0" fontId="62" fillId="0" borderId="10" xfId="3" applyNumberFormat="1" applyFont="1" applyBorder="1" applyAlignment="1">
      <alignment horizontal="center" vertical="center" wrapText="1"/>
    </xf>
    <xf numFmtId="9" fontId="62" fillId="0" borderId="4" xfId="3" applyNumberFormat="1" applyFont="1" applyBorder="1" applyAlignment="1">
      <alignment horizontal="center" vertical="center" wrapText="1"/>
    </xf>
    <xf numFmtId="0" fontId="57" fillId="2" borderId="4" xfId="3" applyNumberFormat="1" applyFont="1" applyFill="1" applyBorder="1" applyAlignment="1">
      <alignment horizontal="center" vertical="center" wrapText="1"/>
    </xf>
    <xf numFmtId="165" fontId="57" fillId="13" borderId="4" xfId="3" applyFont="1" applyFill="1" applyBorder="1" applyAlignment="1">
      <alignment horizontal="left" vertical="center"/>
    </xf>
    <xf numFmtId="165" fontId="34" fillId="2" borderId="6" xfId="3" applyFont="1" applyFill="1" applyBorder="1" applyAlignment="1">
      <alignment horizontal="center" vertical="center"/>
    </xf>
    <xf numFmtId="43" fontId="57" fillId="0" borderId="0" xfId="0" applyNumberFormat="1" applyFont="1"/>
    <xf numFmtId="0" fontId="39" fillId="7" borderId="52" xfId="0" applyFont="1" applyFill="1" applyBorder="1" applyAlignment="1">
      <alignment horizontal="center" vertical="center"/>
    </xf>
    <xf numFmtId="0" fontId="39" fillId="7" borderId="40" xfId="0" applyFont="1" applyFill="1" applyBorder="1" applyAlignment="1">
      <alignment horizontal="justify" vertical="center" wrapText="1"/>
    </xf>
    <xf numFmtId="0" fontId="39" fillId="7" borderId="43" xfId="0" applyFont="1" applyFill="1" applyBorder="1" applyAlignment="1">
      <alignment horizontal="center" vertical="center" wrapText="1"/>
    </xf>
    <xf numFmtId="0" fontId="39" fillId="7" borderId="43" xfId="4" applyFont="1" applyFill="1" applyBorder="1" applyAlignment="1">
      <alignment horizontal="center" vertical="center" wrapText="1"/>
    </xf>
    <xf numFmtId="0" fontId="39" fillId="7" borderId="53" xfId="0" applyFont="1" applyFill="1" applyBorder="1" applyAlignment="1">
      <alignment horizontal="center" vertical="center" wrapText="1"/>
    </xf>
    <xf numFmtId="165" fontId="57" fillId="9" borderId="4" xfId="3" applyFont="1" applyFill="1" applyBorder="1" applyAlignment="1">
      <alignment horizontal="left" vertical="center"/>
    </xf>
    <xf numFmtId="0" fontId="35" fillId="2" borderId="75" xfId="0" applyFont="1" applyFill="1" applyBorder="1" applyAlignment="1">
      <alignment horizontal="center" vertical="center"/>
    </xf>
    <xf numFmtId="9" fontId="62" fillId="2" borderId="6" xfId="3" applyNumberFormat="1" applyFont="1" applyFill="1" applyBorder="1" applyAlignment="1">
      <alignment horizontal="center" vertical="center" wrapText="1"/>
    </xf>
    <xf numFmtId="0" fontId="57" fillId="2" borderId="6" xfId="3" applyNumberFormat="1" applyFont="1" applyFill="1" applyBorder="1" applyAlignment="1">
      <alignment horizontal="center" vertical="center" wrapText="1"/>
    </xf>
    <xf numFmtId="165" fontId="57" fillId="9" borderId="6" xfId="3" applyFont="1" applyFill="1" applyBorder="1" applyAlignment="1">
      <alignment horizontal="left" vertical="center"/>
    </xf>
    <xf numFmtId="170" fontId="57" fillId="0" borderId="6" xfId="3" applyNumberFormat="1" applyFont="1" applyBorder="1" applyAlignment="1">
      <alignment horizontal="center" vertical="center" wrapText="1"/>
    </xf>
    <xf numFmtId="0" fontId="62" fillId="2" borderId="5" xfId="0" applyFont="1" applyFill="1" applyBorder="1" applyAlignment="1">
      <alignment horizontal="center" vertical="center" wrapText="1"/>
    </xf>
    <xf numFmtId="0" fontId="57" fillId="2" borderId="5" xfId="3" applyNumberFormat="1" applyFont="1" applyFill="1" applyBorder="1" applyAlignment="1">
      <alignment horizontal="center" vertical="center" wrapText="1"/>
    </xf>
    <xf numFmtId="0" fontId="39" fillId="7" borderId="12" xfId="0" applyFont="1" applyFill="1" applyBorder="1" applyAlignment="1">
      <alignment horizontal="justify" vertical="center" wrapText="1"/>
    </xf>
    <xf numFmtId="170" fontId="39" fillId="7" borderId="12" xfId="4" applyNumberFormat="1" applyFont="1" applyFill="1" applyBorder="1" applyAlignment="1">
      <alignment horizontal="center" vertical="center" wrapText="1"/>
    </xf>
    <xf numFmtId="0" fontId="35" fillId="2" borderId="68" xfId="0" applyFont="1" applyFill="1" applyBorder="1" applyAlignment="1">
      <alignment horizontal="center" vertical="center" wrapText="1"/>
    </xf>
    <xf numFmtId="0" fontId="35" fillId="2" borderId="69" xfId="0" applyFont="1" applyFill="1" applyBorder="1" applyAlignment="1">
      <alignment horizontal="center" vertical="center"/>
    </xf>
    <xf numFmtId="0" fontId="62" fillId="2" borderId="30" xfId="0" applyFont="1" applyFill="1" applyBorder="1" applyAlignment="1">
      <alignment horizontal="center" vertical="center" wrapText="1"/>
    </xf>
    <xf numFmtId="9" fontId="62" fillId="2" borderId="16" xfId="3" applyNumberFormat="1" applyFont="1" applyFill="1" applyBorder="1" applyAlignment="1">
      <alignment horizontal="center" vertical="center" wrapText="1"/>
    </xf>
    <xf numFmtId="170" fontId="57" fillId="0" borderId="5" xfId="3" applyNumberFormat="1" applyFont="1" applyBorder="1" applyAlignment="1">
      <alignment horizontal="center" vertical="center" wrapText="1"/>
    </xf>
    <xf numFmtId="165" fontId="34" fillId="2" borderId="12" xfId="3" applyFont="1" applyFill="1" applyBorder="1" applyAlignment="1">
      <alignment horizontal="center" vertical="center"/>
    </xf>
    <xf numFmtId="170" fontId="39" fillId="7" borderId="43" xfId="4" applyNumberFormat="1" applyFont="1" applyFill="1" applyBorder="1" applyAlignment="1">
      <alignment horizontal="center" vertical="center" wrapText="1"/>
    </xf>
    <xf numFmtId="3" fontId="57" fillId="0" borderId="0" xfId="0" applyNumberFormat="1" applyFont="1"/>
    <xf numFmtId="165" fontId="34" fillId="2" borderId="72" xfId="3" applyFont="1" applyFill="1" applyBorder="1" applyAlignment="1">
      <alignment horizontal="center" vertical="center"/>
    </xf>
    <xf numFmtId="169" fontId="57" fillId="0" borderId="0" xfId="1" applyNumberFormat="1" applyFont="1"/>
    <xf numFmtId="165" fontId="37" fillId="2" borderId="44" xfId="3" applyFont="1" applyFill="1" applyBorder="1" applyAlignment="1">
      <alignment horizontal="center" vertical="center"/>
    </xf>
    <xf numFmtId="0" fontId="0" fillId="0" borderId="0" xfId="0" applyAlignment="1">
      <alignment horizontal="justify"/>
    </xf>
    <xf numFmtId="0" fontId="29" fillId="0" borderId="11" xfId="4" applyFont="1" applyBorder="1" applyAlignment="1">
      <alignment horizontal="left" vertical="center"/>
    </xf>
    <xf numFmtId="1" fontId="39" fillId="7" borderId="16" xfId="4" applyNumberFormat="1" applyFont="1" applyFill="1" applyBorder="1" applyAlignment="1">
      <alignment horizontal="center" vertical="center" wrapText="1"/>
    </xf>
    <xf numFmtId="0" fontId="36" fillId="0" borderId="16" xfId="4" applyFont="1" applyBorder="1" applyAlignment="1">
      <alignment vertical="top" wrapText="1"/>
    </xf>
    <xf numFmtId="0" fontId="37" fillId="0" borderId="11" xfId="4" applyFont="1" applyBorder="1" applyAlignment="1">
      <alignment horizontal="left" vertical="center"/>
    </xf>
    <xf numFmtId="0" fontId="19" fillId="0" borderId="4" xfId="0" applyFont="1" applyBorder="1" applyAlignment="1">
      <alignment wrapText="1"/>
    </xf>
    <xf numFmtId="0" fontId="37" fillId="0" borderId="16" xfId="4" applyFont="1" applyBorder="1" applyAlignment="1">
      <alignment horizontal="left" vertical="center"/>
    </xf>
    <xf numFmtId="0" fontId="37" fillId="0" borderId="6" xfId="4" applyFont="1" applyBorder="1" applyAlignment="1">
      <alignment horizontal="left" vertical="center"/>
    </xf>
    <xf numFmtId="182" fontId="37" fillId="0" borderId="6" xfId="4" applyNumberFormat="1" applyFont="1" applyBorder="1" applyAlignment="1">
      <alignment vertical="center"/>
    </xf>
    <xf numFmtId="0" fontId="37" fillId="0" borderId="6" xfId="4" applyFont="1" applyBorder="1" applyAlignment="1">
      <alignment vertical="center"/>
    </xf>
    <xf numFmtId="0" fontId="64" fillId="0" borderId="7" xfId="0" applyFont="1" applyBorder="1" applyAlignment="1">
      <alignment vertical="center" wrapText="1"/>
    </xf>
    <xf numFmtId="3" fontId="39" fillId="7" borderId="2" xfId="0" applyNumberFormat="1" applyFont="1" applyFill="1" applyBorder="1" applyAlignment="1">
      <alignment horizontal="center" vertical="center" wrapText="1"/>
    </xf>
    <xf numFmtId="0" fontId="57" fillId="0" borderId="2" xfId="0" applyFont="1" applyBorder="1" applyAlignment="1">
      <alignment horizontal="left"/>
    </xf>
    <xf numFmtId="0" fontId="57" fillId="0" borderId="2" xfId="0" applyFont="1" applyBorder="1"/>
    <xf numFmtId="0" fontId="57" fillId="0" borderId="2" xfId="0" applyFont="1" applyBorder="1" applyAlignment="1">
      <alignment horizontal="right"/>
    </xf>
    <xf numFmtId="0" fontId="57" fillId="0" borderId="2" xfId="0" applyFont="1" applyBorder="1" applyAlignment="1">
      <alignment vertical="center"/>
    </xf>
    <xf numFmtId="0" fontId="57" fillId="0" borderId="2" xfId="0" applyFont="1" applyBorder="1" applyAlignment="1">
      <alignment horizontal="right" vertical="center"/>
    </xf>
    <xf numFmtId="0" fontId="62" fillId="0" borderId="0" xfId="0" applyFont="1" applyAlignment="1">
      <alignment wrapText="1"/>
    </xf>
    <xf numFmtId="171" fontId="51" fillId="0" borderId="9" xfId="0" applyNumberFormat="1" applyFont="1" applyBorder="1" applyAlignment="1">
      <alignment wrapText="1"/>
    </xf>
    <xf numFmtId="0" fontId="30" fillId="0" borderId="0" xfId="0" applyFont="1"/>
    <xf numFmtId="0" fontId="27" fillId="2" borderId="0" xfId="0" applyFont="1" applyFill="1"/>
    <xf numFmtId="171" fontId="27" fillId="2" borderId="0" xfId="0" applyNumberFormat="1" applyFont="1" applyFill="1"/>
    <xf numFmtId="0" fontId="76" fillId="0" borderId="0" xfId="0" applyFont="1"/>
    <xf numFmtId="177" fontId="57" fillId="0" borderId="2" xfId="3" applyNumberFormat="1" applyFont="1" applyBorder="1"/>
    <xf numFmtId="177" fontId="34" fillId="0" borderId="2" xfId="3" applyNumberFormat="1" applyFont="1" applyBorder="1"/>
    <xf numFmtId="177" fontId="57" fillId="0" borderId="0" xfId="0" applyNumberFormat="1" applyFont="1"/>
    <xf numFmtId="177" fontId="62" fillId="0" borderId="2" xfId="0" applyNumberFormat="1" applyFont="1" applyBorder="1"/>
    <xf numFmtId="177" fontId="57" fillId="0" borderId="2" xfId="0" applyNumberFormat="1" applyFont="1" applyBorder="1" applyAlignment="1">
      <alignment vertical="center"/>
    </xf>
    <xf numFmtId="177" fontId="35" fillId="0" borderId="4" xfId="0" applyNumberFormat="1" applyFont="1" applyBorder="1"/>
    <xf numFmtId="177" fontId="35" fillId="0" borderId="30" xfId="0" applyNumberFormat="1" applyFont="1" applyBorder="1"/>
    <xf numFmtId="177" fontId="35" fillId="0" borderId="77" xfId="0" applyNumberFormat="1" applyFont="1" applyBorder="1"/>
    <xf numFmtId="43" fontId="39" fillId="7" borderId="28" xfId="0" applyNumberFormat="1" applyFont="1" applyFill="1" applyBorder="1" applyAlignment="1">
      <alignment horizontal="center" vertical="center"/>
    </xf>
    <xf numFmtId="43" fontId="39" fillId="7" borderId="2" xfId="0" applyNumberFormat="1" applyFont="1" applyFill="1" applyBorder="1" applyAlignment="1">
      <alignment horizontal="right"/>
    </xf>
    <xf numFmtId="165" fontId="34" fillId="2" borderId="42" xfId="3" applyFont="1" applyFill="1" applyBorder="1" applyAlignment="1">
      <alignment horizontal="center" vertical="center"/>
    </xf>
    <xf numFmtId="43" fontId="39" fillId="7" borderId="2" xfId="0" applyNumberFormat="1" applyFont="1" applyFill="1" applyBorder="1" applyAlignment="1">
      <alignment horizontal="center" vertical="center"/>
    </xf>
    <xf numFmtId="0" fontId="39" fillId="7" borderId="2" xfId="0" applyFont="1" applyFill="1" applyBorder="1" applyAlignment="1">
      <alignment horizontal="center"/>
    </xf>
    <xf numFmtId="0" fontId="29" fillId="0" borderId="0" xfId="0" applyFont="1" applyAlignment="1">
      <alignment horizontal="right"/>
    </xf>
    <xf numFmtId="171" fontId="22" fillId="2" borderId="14" xfId="6" applyNumberFormat="1" applyFont="1" applyFill="1" applyBorder="1" applyAlignment="1">
      <alignment horizontal="right" vertical="center"/>
    </xf>
    <xf numFmtId="0" fontId="29" fillId="0" borderId="21" xfId="0" applyFont="1" applyBorder="1" applyAlignment="1">
      <alignment horizontal="center" vertical="center"/>
    </xf>
    <xf numFmtId="0" fontId="19" fillId="4" borderId="15" xfId="0" applyFont="1" applyFill="1" applyBorder="1"/>
    <xf numFmtId="0" fontId="29" fillId="0" borderId="79" xfId="0" applyFont="1" applyBorder="1" applyAlignment="1">
      <alignment horizontal="center" vertical="center"/>
    </xf>
    <xf numFmtId="0" fontId="19" fillId="4" borderId="7" xfId="0" applyFont="1" applyFill="1" applyBorder="1"/>
    <xf numFmtId="0" fontId="19" fillId="4" borderId="7" xfId="0" applyFont="1" applyFill="1" applyBorder="1" applyAlignment="1">
      <alignment vertical="center"/>
    </xf>
    <xf numFmtId="171" fontId="19" fillId="4" borderId="17" xfId="0" applyNumberFormat="1" applyFont="1" applyFill="1" applyBorder="1"/>
    <xf numFmtId="0" fontId="19" fillId="0" borderId="8" xfId="0" applyFont="1" applyBorder="1"/>
    <xf numFmtId="0" fontId="27" fillId="0" borderId="4" xfId="0" applyFont="1" applyBorder="1" applyAlignment="1">
      <alignment horizontal="center"/>
    </xf>
    <xf numFmtId="0" fontId="19" fillId="0" borderId="10" xfId="0" applyFont="1" applyBorder="1" applyAlignment="1">
      <alignment horizontal="center" vertical="center"/>
    </xf>
    <xf numFmtId="49" fontId="29" fillId="2" borderId="9" xfId="5" applyNumberFormat="1" applyFont="1" applyFill="1" applyBorder="1" applyAlignment="1" applyProtection="1">
      <alignment horizontal="center" vertical="center"/>
    </xf>
    <xf numFmtId="49" fontId="21" fillId="7" borderId="4" xfId="5" applyNumberFormat="1" applyFont="1" applyFill="1" applyBorder="1" applyAlignment="1" applyProtection="1">
      <alignment horizontal="center" vertical="center"/>
    </xf>
    <xf numFmtId="49" fontId="29" fillId="2" borderId="4" xfId="5" applyNumberFormat="1" applyFont="1" applyFill="1" applyBorder="1" applyAlignment="1" applyProtection="1">
      <alignment horizontal="center" vertical="center"/>
    </xf>
    <xf numFmtId="49" fontId="37" fillId="2" borderId="4" xfId="5" applyNumberFormat="1" applyFont="1" applyFill="1" applyBorder="1" applyAlignment="1">
      <alignment horizontal="center" vertical="center"/>
    </xf>
    <xf numFmtId="49" fontId="29" fillId="2" borderId="5" xfId="5" applyNumberFormat="1" applyFont="1" applyFill="1" applyBorder="1" applyAlignment="1" applyProtection="1">
      <alignment horizontal="center" vertical="center"/>
    </xf>
    <xf numFmtId="0" fontId="29" fillId="2" borderId="4" xfId="4" applyFont="1" applyFill="1" applyBorder="1" applyAlignment="1">
      <alignment horizontal="center" vertical="center"/>
    </xf>
    <xf numFmtId="0" fontId="29" fillId="2" borderId="5" xfId="4" applyFont="1" applyFill="1" applyBorder="1" applyAlignment="1">
      <alignment horizontal="center" vertical="center"/>
    </xf>
    <xf numFmtId="0" fontId="21" fillId="7" borderId="28" xfId="0" applyFont="1" applyFill="1" applyBorder="1" applyAlignment="1">
      <alignment horizontal="center" vertical="center" wrapText="1"/>
    </xf>
    <xf numFmtId="0" fontId="22" fillId="0" borderId="12" xfId="4" applyFont="1" applyBorder="1" applyAlignment="1">
      <alignment horizontal="center" vertical="center"/>
    </xf>
    <xf numFmtId="0" fontId="22" fillId="0" borderId="9" xfId="4" applyFont="1" applyBorder="1" applyAlignment="1">
      <alignment horizontal="center" vertical="center"/>
    </xf>
    <xf numFmtId="49" fontId="19" fillId="0" borderId="4" xfId="8" applyNumberFormat="1" applyFont="1" applyBorder="1" applyAlignment="1">
      <alignment horizontal="center" vertical="center" wrapText="1"/>
    </xf>
    <xf numFmtId="0" fontId="21" fillId="7" borderId="21" xfId="0" applyFont="1" applyFill="1" applyBorder="1" applyAlignment="1">
      <alignment horizontal="center" vertical="center" wrapText="1"/>
    </xf>
    <xf numFmtId="0" fontId="29" fillId="0" borderId="4"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12" xfId="4" applyFont="1" applyBorder="1" applyAlignment="1">
      <alignment horizontal="center" vertical="center"/>
    </xf>
    <xf numFmtId="0" fontId="22" fillId="0" borderId="5" xfId="4" applyFont="1" applyBorder="1" applyAlignment="1">
      <alignment horizontal="center" vertical="center"/>
    </xf>
    <xf numFmtId="0" fontId="69" fillId="0" borderId="23" xfId="0" applyFont="1" applyBorder="1" applyAlignment="1">
      <alignment horizontal="center" vertical="center"/>
    </xf>
    <xf numFmtId="0" fontId="22" fillId="0" borderId="4" xfId="0" applyFont="1" applyBorder="1" applyAlignment="1">
      <alignment horizontal="center" vertical="center" wrapText="1"/>
    </xf>
    <xf numFmtId="0" fontId="29" fillId="0" borderId="6" xfId="0" applyFont="1" applyBorder="1" applyAlignment="1">
      <alignment horizontal="center" vertical="center" wrapText="1"/>
    </xf>
    <xf numFmtId="0" fontId="22" fillId="0" borderId="0" xfId="4" applyFont="1" applyAlignment="1">
      <alignment horizontal="center" vertical="center"/>
    </xf>
    <xf numFmtId="0" fontId="21" fillId="7" borderId="6" xfId="4" applyFont="1" applyFill="1" applyBorder="1" applyAlignment="1">
      <alignment horizontal="center" vertical="center"/>
    </xf>
    <xf numFmtId="49" fontId="21" fillId="7" borderId="6" xfId="4" applyNumberFormat="1" applyFont="1" applyFill="1" applyBorder="1" applyAlignment="1">
      <alignment horizontal="center" vertical="center"/>
    </xf>
    <xf numFmtId="49" fontId="22" fillId="0" borderId="4" xfId="4" applyNumberFormat="1" applyFont="1" applyBorder="1" applyAlignment="1">
      <alignment horizontal="center" vertical="center"/>
    </xf>
    <xf numFmtId="0" fontId="27" fillId="0" borderId="0" xfId="0" applyFont="1" applyAlignment="1">
      <alignment horizontal="center" vertical="center" wrapText="1"/>
    </xf>
    <xf numFmtId="0" fontId="27" fillId="0" borderId="0" xfId="0" applyFont="1" applyAlignment="1">
      <alignment horizontal="center" vertical="center"/>
    </xf>
    <xf numFmtId="0" fontId="29" fillId="0" borderId="14" xfId="0" applyFont="1" applyBorder="1" applyAlignment="1">
      <alignment horizontal="center" vertical="center"/>
    </xf>
    <xf numFmtId="0" fontId="57" fillId="0" borderId="0" xfId="0" applyFont="1" applyAlignment="1">
      <alignment horizontal="center"/>
    </xf>
    <xf numFmtId="0" fontId="43" fillId="0" borderId="0" xfId="0" applyFont="1" applyAlignment="1">
      <alignment horizontal="center"/>
    </xf>
    <xf numFmtId="0" fontId="27" fillId="0" borderId="0" xfId="0" applyFont="1" applyAlignment="1">
      <alignment horizontal="center"/>
    </xf>
    <xf numFmtId="0" fontId="35" fillId="0" borderId="0" xfId="0" applyFont="1" applyAlignment="1">
      <alignment horizontal="center"/>
    </xf>
    <xf numFmtId="0" fontId="62" fillId="0" borderId="0" xfId="0" applyFont="1" applyAlignment="1">
      <alignment horizontal="center" wrapText="1"/>
    </xf>
    <xf numFmtId="4" fontId="68" fillId="0" borderId="4" xfId="0" applyNumberFormat="1" applyFont="1" applyBorder="1" applyAlignment="1">
      <alignment horizontal="center" vertical="center" wrapText="1"/>
    </xf>
    <xf numFmtId="169" fontId="21" fillId="7" borderId="10" xfId="0" applyNumberFormat="1" applyFont="1" applyFill="1" applyBorder="1" applyAlignment="1">
      <alignment horizontal="center" vertical="center" wrapText="1"/>
    </xf>
    <xf numFmtId="10" fontId="21" fillId="7" borderId="4" xfId="55" applyNumberFormat="1" applyFont="1" applyFill="1" applyBorder="1" applyAlignment="1">
      <alignment horizontal="center" vertical="center" wrapText="1"/>
    </xf>
    <xf numFmtId="2" fontId="22" fillId="2" borderId="4" xfId="55" applyNumberFormat="1" applyFont="1" applyFill="1" applyBorder="1" applyAlignment="1">
      <alignment horizontal="center" wrapText="1"/>
    </xf>
    <xf numFmtId="2" fontId="31" fillId="2" borderId="4" xfId="55" applyNumberFormat="1" applyFont="1" applyFill="1" applyBorder="1" applyAlignment="1">
      <alignment horizontal="center" wrapText="1"/>
    </xf>
    <xf numFmtId="2" fontId="22" fillId="0" borderId="4" xfId="55" applyNumberFormat="1" applyFont="1" applyFill="1" applyBorder="1" applyAlignment="1">
      <alignment horizontal="center" wrapText="1"/>
    </xf>
    <xf numFmtId="1" fontId="29" fillId="2" borderId="0" xfId="55" applyNumberFormat="1" applyFont="1" applyFill="1" applyBorder="1" applyAlignment="1">
      <alignment horizontal="center" wrapText="1"/>
    </xf>
    <xf numFmtId="2" fontId="22" fillId="0" borderId="5" xfId="55" applyNumberFormat="1" applyFont="1" applyFill="1" applyBorder="1" applyAlignment="1">
      <alignment horizontal="center" wrapText="1"/>
    </xf>
    <xf numFmtId="10" fontId="28" fillId="2" borderId="4" xfId="55" applyNumberFormat="1" applyFont="1" applyFill="1" applyBorder="1" applyAlignment="1">
      <alignment wrapText="1"/>
    </xf>
    <xf numFmtId="2" fontId="22" fillId="0" borderId="6" xfId="55" applyNumberFormat="1" applyFont="1" applyFill="1" applyBorder="1" applyAlignment="1">
      <alignment horizontal="center" wrapText="1"/>
    </xf>
    <xf numFmtId="2" fontId="22" fillId="0" borderId="9" xfId="55" applyNumberFormat="1" applyFont="1" applyFill="1" applyBorder="1" applyAlignment="1">
      <alignment horizontal="center" wrapText="1"/>
    </xf>
    <xf numFmtId="1" fontId="28" fillId="2" borderId="4" xfId="7" applyNumberFormat="1" applyFont="1" applyFill="1" applyBorder="1" applyAlignment="1">
      <alignment horizontal="center" vertical="center" wrapText="1"/>
    </xf>
    <xf numFmtId="2" fontId="22" fillId="2" borderId="4" xfId="7" applyNumberFormat="1" applyFont="1" applyFill="1" applyBorder="1" applyAlignment="1">
      <alignment horizontal="center" vertical="center" wrapText="1"/>
    </xf>
    <xf numFmtId="2" fontId="29" fillId="2" borderId="4" xfId="7" applyNumberFormat="1" applyFont="1" applyFill="1" applyBorder="1" applyAlignment="1">
      <alignment horizontal="center" vertical="center" wrapText="1"/>
    </xf>
    <xf numFmtId="2" fontId="22" fillId="2" borderId="11" xfId="7" applyNumberFormat="1" applyFont="1" applyFill="1" applyBorder="1" applyAlignment="1">
      <alignment horizontal="center" vertical="center" wrapText="1"/>
    </xf>
    <xf numFmtId="10" fontId="28" fillId="2" borderId="11" xfId="55" applyNumberFormat="1" applyFont="1" applyFill="1" applyBorder="1" applyAlignment="1">
      <alignment wrapText="1"/>
    </xf>
    <xf numFmtId="2" fontId="22" fillId="0" borderId="11" xfId="55" applyNumberFormat="1" applyFont="1" applyFill="1" applyBorder="1" applyAlignment="1">
      <alignment horizontal="center" wrapText="1"/>
    </xf>
    <xf numFmtId="1" fontId="19" fillId="0" borderId="5" xfId="7" applyNumberFormat="1" applyFont="1" applyFill="1" applyBorder="1" applyAlignment="1">
      <alignment horizontal="center" vertical="center" wrapText="1"/>
    </xf>
    <xf numFmtId="43" fontId="22" fillId="0" borderId="4" xfId="4" applyNumberFormat="1" applyFont="1" applyBorder="1" applyAlignment="1">
      <alignment vertical="center" wrapText="1"/>
    </xf>
    <xf numFmtId="0" fontId="22" fillId="0" borderId="6" xfId="4" applyFont="1" applyBorder="1" applyAlignment="1">
      <alignment vertical="center" wrapText="1"/>
    </xf>
    <xf numFmtId="169" fontId="22" fillId="0" borderId="4" xfId="4" applyNumberFormat="1" applyFont="1" applyBorder="1" applyAlignment="1">
      <alignment vertical="center" wrapText="1"/>
    </xf>
    <xf numFmtId="0" fontId="22" fillId="0" borderId="0" xfId="4" applyFont="1" applyAlignment="1">
      <alignment vertical="center" wrapText="1"/>
    </xf>
    <xf numFmtId="1" fontId="28" fillId="2" borderId="6" xfId="7" applyNumberFormat="1" applyFont="1" applyFill="1" applyBorder="1" applyAlignment="1">
      <alignment horizontal="center" vertical="center" wrapText="1"/>
    </xf>
    <xf numFmtId="0" fontId="29" fillId="0" borderId="4" xfId="4" applyFont="1" applyBorder="1" applyAlignment="1">
      <alignment vertical="center" wrapText="1"/>
    </xf>
    <xf numFmtId="1" fontId="31" fillId="2" borderId="14" xfId="4" applyNumberFormat="1" applyFont="1" applyFill="1" applyBorder="1" applyAlignment="1">
      <alignment horizontal="center" vertical="center" wrapText="1"/>
    </xf>
    <xf numFmtId="1" fontId="22" fillId="2" borderId="4" xfId="4" applyNumberFormat="1" applyFont="1" applyFill="1" applyBorder="1" applyAlignment="1">
      <alignment horizontal="center" vertical="center" wrapText="1"/>
    </xf>
    <xf numFmtId="1" fontId="22" fillId="2" borderId="11" xfId="4" applyNumberFormat="1" applyFont="1" applyFill="1" applyBorder="1" applyAlignment="1">
      <alignment horizontal="center" vertical="center" wrapText="1"/>
    </xf>
    <xf numFmtId="1" fontId="31" fillId="2" borderId="5" xfId="4" applyNumberFormat="1" applyFont="1" applyFill="1" applyBorder="1" applyAlignment="1">
      <alignment horizontal="center" vertical="center" wrapText="1"/>
    </xf>
    <xf numFmtId="1" fontId="22" fillId="2" borderId="11" xfId="4" applyNumberFormat="1" applyFont="1" applyFill="1" applyBorder="1" applyAlignment="1">
      <alignment horizontal="center" wrapText="1"/>
    </xf>
    <xf numFmtId="0" fontId="27" fillId="0" borderId="2" xfId="0" applyFont="1" applyBorder="1" applyAlignment="1">
      <alignment horizontal="right" vertical="center"/>
    </xf>
    <xf numFmtId="0" fontId="30" fillId="0" borderId="4" xfId="0" applyFont="1" applyBorder="1" applyAlignment="1">
      <alignment horizontal="justify" vertical="center"/>
    </xf>
    <xf numFmtId="1" fontId="21" fillId="7" borderId="10" xfId="4" applyNumberFormat="1" applyFont="1" applyFill="1" applyBorder="1" applyAlignment="1">
      <alignment horizontal="center" vertical="center"/>
    </xf>
    <xf numFmtId="0" fontId="30" fillId="0" borderId="9" xfId="0" applyFont="1" applyBorder="1" applyAlignment="1">
      <alignment horizontal="justify" vertical="center"/>
    </xf>
    <xf numFmtId="0" fontId="20" fillId="0" borderId="14" xfId="0" applyFont="1" applyBorder="1"/>
    <xf numFmtId="0" fontId="19" fillId="0" borderId="5" xfId="0" applyFont="1" applyBorder="1" applyAlignment="1">
      <alignment horizontal="left" vertical="center"/>
    </xf>
    <xf numFmtId="1" fontId="21" fillId="7" borderId="5" xfId="4" applyNumberFormat="1" applyFont="1" applyFill="1" applyBorder="1" applyAlignment="1">
      <alignment horizontal="center" vertical="center"/>
    </xf>
    <xf numFmtId="0" fontId="30" fillId="0" borderId="3" xfId="0" applyFont="1" applyBorder="1" applyAlignment="1">
      <alignment horizontal="justify" vertical="center"/>
    </xf>
    <xf numFmtId="174" fontId="21" fillId="7" borderId="0" xfId="1" applyNumberFormat="1" applyFont="1" applyFill="1" applyBorder="1" applyAlignment="1">
      <alignment horizontal="left" vertical="center"/>
    </xf>
    <xf numFmtId="0" fontId="30" fillId="0" borderId="5" xfId="0" applyFont="1" applyBorder="1" applyAlignment="1">
      <alignment horizontal="justify" vertical="center"/>
    </xf>
    <xf numFmtId="0" fontId="19" fillId="0" borderId="4" xfId="0" applyFont="1" applyBorder="1" applyAlignment="1">
      <alignment horizontal="justify" vertical="center"/>
    </xf>
    <xf numFmtId="0" fontId="19" fillId="0" borderId="14" xfId="0" applyFont="1" applyBorder="1" applyAlignment="1">
      <alignment horizontal="left" vertical="center"/>
    </xf>
    <xf numFmtId="1" fontId="21" fillId="7" borderId="3" xfId="4" applyNumberFormat="1" applyFont="1" applyFill="1" applyBorder="1" applyAlignment="1">
      <alignment horizontal="center" vertical="center"/>
    </xf>
    <xf numFmtId="0" fontId="20" fillId="0" borderId="4" xfId="0" applyFont="1" applyBorder="1"/>
    <xf numFmtId="0" fontId="22" fillId="0" borderId="6" xfId="4" applyFont="1" applyBorder="1" applyAlignment="1">
      <alignment vertical="top"/>
    </xf>
    <xf numFmtId="0" fontId="19" fillId="0" borderId="7" xfId="0" applyFont="1" applyBorder="1"/>
    <xf numFmtId="0" fontId="22" fillId="0" borderId="6" xfId="4" applyFont="1" applyBorder="1" applyAlignment="1">
      <alignment horizontal="center" vertical="center" wrapText="1"/>
    </xf>
    <xf numFmtId="0" fontId="29" fillId="0" borderId="4" xfId="4" applyFont="1" applyBorder="1" applyAlignment="1">
      <alignment horizontal="center" vertical="center" wrapText="1"/>
    </xf>
    <xf numFmtId="183" fontId="33" fillId="0" borderId="4" xfId="0" applyNumberFormat="1" applyFont="1" applyBorder="1" applyAlignment="1">
      <alignment horizontal="center" vertical="center"/>
    </xf>
    <xf numFmtId="0" fontId="62" fillId="0" borderId="11" xfId="6" applyNumberFormat="1" applyFont="1" applyBorder="1" applyAlignment="1">
      <alignment horizontal="center" vertical="center"/>
    </xf>
    <xf numFmtId="0" fontId="35" fillId="0" borderId="4" xfId="6" applyNumberFormat="1" applyFont="1" applyBorder="1" applyAlignment="1">
      <alignment horizontal="center" vertical="center"/>
    </xf>
    <xf numFmtId="0" fontId="35" fillId="0" borderId="5" xfId="6" applyNumberFormat="1" applyFont="1" applyBorder="1" applyAlignment="1">
      <alignment horizontal="center" vertical="center"/>
    </xf>
    <xf numFmtId="10" fontId="39" fillId="7" borderId="2" xfId="55" applyNumberFormat="1" applyFont="1" applyFill="1" applyBorder="1" applyAlignment="1">
      <alignment horizontal="center" vertical="center"/>
    </xf>
    <xf numFmtId="0" fontId="21" fillId="7" borderId="31" xfId="0" applyFont="1" applyFill="1" applyBorder="1" applyAlignment="1">
      <alignment horizontal="center" vertical="center"/>
    </xf>
    <xf numFmtId="0" fontId="21" fillId="7" borderId="12" xfId="0" applyFont="1" applyFill="1" applyBorder="1" applyAlignment="1">
      <alignment horizontal="justify" vertical="center"/>
    </xf>
    <xf numFmtId="0" fontId="21" fillId="7" borderId="12" xfId="0" applyFont="1" applyFill="1" applyBorder="1" applyAlignment="1">
      <alignment horizontal="center" vertical="center" wrapText="1"/>
    </xf>
    <xf numFmtId="0" fontId="21" fillId="7" borderId="12" xfId="4" applyFont="1" applyFill="1" applyBorder="1" applyAlignment="1">
      <alignment horizontal="center" vertical="center" wrapText="1"/>
    </xf>
    <xf numFmtId="0" fontId="21" fillId="7" borderId="26" xfId="0" applyFont="1" applyFill="1" applyBorder="1" applyAlignment="1">
      <alignment horizontal="center" vertical="center" wrapText="1"/>
    </xf>
    <xf numFmtId="0" fontId="21" fillId="7" borderId="63" xfId="0" applyFont="1" applyFill="1" applyBorder="1" applyAlignment="1">
      <alignment horizontal="center" vertical="center"/>
    </xf>
    <xf numFmtId="0" fontId="21" fillId="7" borderId="64" xfId="0" applyFont="1" applyFill="1" applyBorder="1" applyAlignment="1">
      <alignment horizontal="justify" vertical="center"/>
    </xf>
    <xf numFmtId="0" fontId="21" fillId="7" borderId="64" xfId="0" applyFont="1" applyFill="1" applyBorder="1" applyAlignment="1">
      <alignment vertical="center"/>
    </xf>
    <xf numFmtId="0" fontId="21" fillId="7" borderId="65" xfId="0" applyFont="1" applyFill="1" applyBorder="1" applyAlignment="1">
      <alignment vertical="center" wrapText="1"/>
    </xf>
    <xf numFmtId="0" fontId="21" fillId="7" borderId="65" xfId="0" applyFont="1" applyFill="1" applyBorder="1" applyAlignment="1">
      <alignment horizontal="center" vertical="center" wrapText="1"/>
    </xf>
    <xf numFmtId="0" fontId="21" fillId="7" borderId="65" xfId="4" applyFont="1" applyFill="1" applyBorder="1" applyAlignment="1">
      <alignment horizontal="center" vertical="center" wrapText="1"/>
    </xf>
    <xf numFmtId="0" fontId="84" fillId="7" borderId="66" xfId="0" applyFont="1" applyFill="1" applyBorder="1"/>
    <xf numFmtId="0" fontId="19" fillId="2" borderId="21" xfId="0" applyFont="1" applyFill="1" applyBorder="1" applyAlignment="1">
      <alignment horizontal="center" vertical="center"/>
    </xf>
    <xf numFmtId="0" fontId="85" fillId="0" borderId="8" xfId="0" applyFont="1" applyBorder="1" applyAlignment="1">
      <alignment vertical="center"/>
    </xf>
    <xf numFmtId="0" fontId="20" fillId="2" borderId="10" xfId="0" applyFont="1" applyFill="1" applyBorder="1" applyAlignment="1">
      <alignment horizontal="center" vertical="center" wrapText="1"/>
    </xf>
    <xf numFmtId="9" fontId="20" fillId="2" borderId="4" xfId="0" applyNumberFormat="1" applyFont="1" applyFill="1" applyBorder="1" applyAlignment="1">
      <alignment horizontal="center" vertical="center" wrapText="1"/>
    </xf>
    <xf numFmtId="189" fontId="27" fillId="9" borderId="4" xfId="0" applyNumberFormat="1" applyFont="1" applyFill="1" applyBorder="1" applyAlignment="1">
      <alignment horizontal="center" vertical="center" wrapText="1"/>
    </xf>
    <xf numFmtId="170" fontId="22" fillId="0" borderId="4" xfId="4" applyNumberFormat="1" applyFont="1" applyBorder="1" applyAlignment="1">
      <alignment horizontal="center" vertical="center" wrapText="1"/>
    </xf>
    <xf numFmtId="165" fontId="27" fillId="2" borderId="4" xfId="3" applyFont="1" applyFill="1" applyBorder="1" applyAlignment="1">
      <alignment horizontal="center" vertical="center"/>
    </xf>
    <xf numFmtId="0" fontId="20" fillId="0" borderId="10" xfId="3" applyNumberFormat="1" applyFont="1" applyBorder="1" applyAlignment="1">
      <alignment horizontal="center" vertical="center" wrapText="1"/>
    </xf>
    <xf numFmtId="9" fontId="20" fillId="0" borderId="4" xfId="3" applyNumberFormat="1" applyFont="1" applyBorder="1" applyAlignment="1">
      <alignment horizontal="center" vertical="center" wrapText="1"/>
    </xf>
    <xf numFmtId="0" fontId="27" fillId="2" borderId="4" xfId="3" applyNumberFormat="1" applyFont="1" applyFill="1" applyBorder="1" applyAlignment="1">
      <alignment horizontal="center" vertical="center" wrapText="1"/>
    </xf>
    <xf numFmtId="189" fontId="27" fillId="9" borderId="4" xfId="0" applyNumberFormat="1" applyFont="1" applyFill="1" applyBorder="1" applyAlignment="1">
      <alignment horizontal="left" vertical="center"/>
    </xf>
    <xf numFmtId="170" fontId="27" fillId="0" borderId="4" xfId="3" applyNumberFormat="1" applyFont="1" applyBorder="1" applyAlignment="1">
      <alignment horizontal="center" vertical="center" wrapText="1"/>
    </xf>
    <xf numFmtId="165" fontId="30" fillId="2" borderId="6" xfId="3" applyFont="1" applyFill="1" applyBorder="1" applyAlignment="1">
      <alignment horizontal="center" vertical="center"/>
    </xf>
    <xf numFmtId="43" fontId="27" fillId="0" borderId="0" xfId="0" applyNumberFormat="1" applyFont="1"/>
    <xf numFmtId="0" fontId="21" fillId="7" borderId="52" xfId="0" applyFont="1" applyFill="1" applyBorder="1" applyAlignment="1">
      <alignment horizontal="center" vertical="center"/>
    </xf>
    <xf numFmtId="0" fontId="21" fillId="7" borderId="40" xfId="0" applyFont="1" applyFill="1" applyBorder="1" applyAlignment="1">
      <alignment horizontal="justify" vertical="center"/>
    </xf>
    <xf numFmtId="0" fontId="21" fillId="7" borderId="43" xfId="0" applyFont="1" applyFill="1" applyBorder="1" applyAlignment="1">
      <alignment horizontal="center" vertical="center" wrapText="1"/>
    </xf>
    <xf numFmtId="0" fontId="21" fillId="7" borderId="43" xfId="4" applyFont="1" applyFill="1" applyBorder="1" applyAlignment="1">
      <alignment horizontal="center" vertical="center" wrapText="1"/>
    </xf>
    <xf numFmtId="0" fontId="21" fillId="7" borderId="53" xfId="0" applyFont="1" applyFill="1" applyBorder="1" applyAlignment="1">
      <alignment horizontal="center" vertical="center" wrapText="1"/>
    </xf>
    <xf numFmtId="0" fontId="19" fillId="2" borderId="55" xfId="0" applyFont="1" applyFill="1" applyBorder="1" applyAlignment="1">
      <alignment horizontal="center" vertical="center"/>
    </xf>
    <xf numFmtId="9" fontId="20" fillId="2" borderId="4" xfId="3" applyNumberFormat="1" applyFont="1" applyFill="1" applyBorder="1" applyAlignment="1">
      <alignment horizontal="center" vertical="center" wrapText="1"/>
    </xf>
    <xf numFmtId="165" fontId="27" fillId="9" borderId="4" xfId="3" applyFont="1" applyFill="1" applyBorder="1" applyAlignment="1">
      <alignment horizontal="left" vertical="center"/>
    </xf>
    <xf numFmtId="0" fontId="19" fillId="2" borderId="75" xfId="0" applyFont="1" applyFill="1" applyBorder="1" applyAlignment="1">
      <alignment horizontal="center" vertical="center"/>
    </xf>
    <xf numFmtId="9" fontId="20" fillId="2" borderId="6" xfId="3" applyNumberFormat="1" applyFont="1" applyFill="1" applyBorder="1" applyAlignment="1">
      <alignment horizontal="center" vertical="center" wrapText="1"/>
    </xf>
    <xf numFmtId="0" fontId="27" fillId="2" borderId="6" xfId="3" applyNumberFormat="1" applyFont="1" applyFill="1" applyBorder="1" applyAlignment="1">
      <alignment horizontal="center" vertical="center" wrapText="1"/>
    </xf>
    <xf numFmtId="165" fontId="27" fillId="9" borderId="6" xfId="3" applyFont="1" applyFill="1" applyBorder="1" applyAlignment="1">
      <alignment horizontal="left" vertical="center"/>
    </xf>
    <xf numFmtId="170" fontId="27" fillId="0" borderId="6" xfId="3" applyNumberFormat="1" applyFont="1" applyBorder="1" applyAlignment="1">
      <alignment horizontal="center" vertical="center" wrapText="1"/>
    </xf>
    <xf numFmtId="0" fontId="20" fillId="2" borderId="5" xfId="0" applyFont="1" applyFill="1" applyBorder="1" applyAlignment="1">
      <alignment horizontal="center" vertical="center" wrapText="1"/>
    </xf>
    <xf numFmtId="0" fontId="27" fillId="2" borderId="5" xfId="3" applyNumberFormat="1" applyFont="1" applyFill="1" applyBorder="1" applyAlignment="1">
      <alignment horizontal="center" vertical="center" wrapText="1"/>
    </xf>
    <xf numFmtId="165" fontId="30" fillId="2" borderId="42" xfId="3" applyFont="1" applyFill="1" applyBorder="1" applyAlignment="1">
      <alignment horizontal="center" vertical="center"/>
    </xf>
    <xf numFmtId="170" fontId="21" fillId="7" borderId="12" xfId="4" applyNumberFormat="1" applyFont="1" applyFill="1" applyBorder="1" applyAlignment="1">
      <alignment horizontal="center" vertical="center" wrapText="1"/>
    </xf>
    <xf numFmtId="0" fontId="19" fillId="2" borderId="68" xfId="0" applyFont="1" applyFill="1" applyBorder="1" applyAlignment="1">
      <alignment horizontal="center" vertical="center" wrapText="1"/>
    </xf>
    <xf numFmtId="0" fontId="19" fillId="2" borderId="69" xfId="0" applyFont="1" applyFill="1" applyBorder="1" applyAlignment="1">
      <alignment horizontal="center" vertical="center"/>
    </xf>
    <xf numFmtId="0" fontId="20" fillId="2" borderId="30" xfId="0" applyFont="1" applyFill="1" applyBorder="1" applyAlignment="1">
      <alignment horizontal="center" vertical="center" wrapText="1"/>
    </xf>
    <xf numFmtId="9" fontId="20" fillId="2" borderId="16" xfId="3" applyNumberFormat="1" applyFont="1" applyFill="1" applyBorder="1" applyAlignment="1">
      <alignment horizontal="center" vertical="center" wrapText="1"/>
    </xf>
    <xf numFmtId="165" fontId="27" fillId="2" borderId="6" xfId="3" applyFont="1" applyFill="1" applyBorder="1" applyAlignment="1">
      <alignment horizontal="center" vertical="center"/>
    </xf>
    <xf numFmtId="0" fontId="85" fillId="0" borderId="7" xfId="0" applyFont="1" applyBorder="1" applyAlignment="1">
      <alignment vertical="center"/>
    </xf>
    <xf numFmtId="170" fontId="27" fillId="0" borderId="5" xfId="3" applyNumberFormat="1" applyFont="1" applyBorder="1" applyAlignment="1">
      <alignment horizontal="center" vertical="center" wrapText="1"/>
    </xf>
    <xf numFmtId="165" fontId="30" fillId="2" borderId="12" xfId="3" applyFont="1" applyFill="1" applyBorder="1" applyAlignment="1">
      <alignment horizontal="center" vertical="center"/>
    </xf>
    <xf numFmtId="170" fontId="21" fillId="7" borderId="43" xfId="4" applyNumberFormat="1" applyFont="1" applyFill="1" applyBorder="1" applyAlignment="1">
      <alignment horizontal="center" vertical="center" wrapText="1"/>
    </xf>
    <xf numFmtId="0" fontId="85" fillId="0" borderId="4" xfId="0" applyFont="1" applyBorder="1" applyAlignment="1">
      <alignment vertical="center"/>
    </xf>
    <xf numFmtId="169" fontId="27" fillId="2" borderId="4" xfId="3" applyNumberFormat="1" applyFont="1" applyFill="1" applyBorder="1" applyAlignment="1">
      <alignment horizontal="center" vertical="center" wrapText="1" indent="1"/>
    </xf>
    <xf numFmtId="165" fontId="20" fillId="9" borderId="4" xfId="3" applyFont="1" applyFill="1" applyBorder="1" applyAlignment="1">
      <alignment horizontal="center" vertical="center"/>
    </xf>
    <xf numFmtId="170" fontId="27" fillId="2" borderId="6" xfId="3" applyNumberFormat="1" applyFont="1" applyFill="1" applyBorder="1" applyAlignment="1">
      <alignment horizontal="center" vertical="center" wrapText="1"/>
    </xf>
    <xf numFmtId="3" fontId="27" fillId="0" borderId="0" xfId="0" applyNumberFormat="1" applyFont="1"/>
    <xf numFmtId="165" fontId="30" fillId="2" borderId="72" xfId="3" applyFont="1" applyFill="1" applyBorder="1" applyAlignment="1">
      <alignment horizontal="center" vertical="center"/>
    </xf>
    <xf numFmtId="169" fontId="27" fillId="0" borderId="0" xfId="1" applyNumberFormat="1" applyFont="1"/>
    <xf numFmtId="165" fontId="29" fillId="2" borderId="44" xfId="3" applyFont="1" applyFill="1" applyBorder="1" applyAlignment="1">
      <alignment horizontal="center" vertical="center"/>
    </xf>
    <xf numFmtId="0" fontId="27" fillId="0" borderId="0" xfId="0" applyFont="1" applyAlignment="1">
      <alignment horizontal="justify"/>
    </xf>
    <xf numFmtId="43" fontId="21" fillId="7" borderId="2" xfId="0" applyNumberFormat="1" applyFont="1" applyFill="1" applyBorder="1" applyAlignment="1">
      <alignment horizontal="center" vertical="center"/>
    </xf>
    <xf numFmtId="0" fontId="27" fillId="0" borderId="0" xfId="0" applyFont="1" applyAlignment="1">
      <alignment vertical="center"/>
    </xf>
    <xf numFmtId="0" fontId="22" fillId="2" borderId="4" xfId="0" applyFont="1" applyFill="1" applyBorder="1" applyAlignment="1">
      <alignment horizontal="center" vertical="center" wrapText="1"/>
    </xf>
    <xf numFmtId="182" fontId="22" fillId="11" borderId="4" xfId="0" applyNumberFormat="1" applyFont="1" applyFill="1" applyBorder="1" applyAlignment="1">
      <alignment horizontal="right" vertical="center" wrapText="1"/>
    </xf>
    <xf numFmtId="171" fontId="22" fillId="2" borderId="4" xfId="0" applyNumberFormat="1" applyFont="1" applyFill="1" applyBorder="1" applyAlignment="1">
      <alignment horizontal="center" vertical="center" wrapText="1"/>
    </xf>
    <xf numFmtId="171" fontId="29" fillId="2" borderId="4" xfId="0" applyNumberFormat="1" applyFont="1" applyFill="1" applyBorder="1" applyAlignment="1">
      <alignment horizontal="center" vertical="center" wrapText="1"/>
    </xf>
    <xf numFmtId="0" fontId="88" fillId="0" borderId="4" xfId="0" applyFont="1" applyBorder="1" applyAlignment="1">
      <alignment horizontal="center" vertical="center" wrapText="1"/>
    </xf>
    <xf numFmtId="0" fontId="27" fillId="0" borderId="4" xfId="0" applyFont="1" applyBorder="1" applyAlignment="1">
      <alignment horizontal="left" vertical="center"/>
    </xf>
    <xf numFmtId="182" fontId="89" fillId="11" borderId="4" xfId="0" applyNumberFormat="1" applyFont="1" applyFill="1" applyBorder="1"/>
    <xf numFmtId="171" fontId="19" fillId="0" borderId="4" xfId="0" applyNumberFormat="1" applyFont="1" applyBorder="1" applyAlignment="1">
      <alignment wrapText="1"/>
    </xf>
    <xf numFmtId="171" fontId="20" fillId="2" borderId="4" xfId="0" applyNumberFormat="1" applyFont="1" applyFill="1" applyBorder="1" applyAlignment="1">
      <alignment horizontal="right" vertical="center" wrapText="1"/>
    </xf>
    <xf numFmtId="171" fontId="19" fillId="0" borderId="4" xfId="0" applyNumberFormat="1" applyFont="1" applyBorder="1" applyAlignment="1">
      <alignment horizontal="center" vertical="center" wrapText="1"/>
    </xf>
    <xf numFmtId="182" fontId="27" fillId="11" borderId="4" xfId="0" applyNumberFormat="1" applyFont="1" applyFill="1" applyBorder="1" applyAlignment="1">
      <alignment vertical="center"/>
    </xf>
    <xf numFmtId="43" fontId="20" fillId="0" borderId="4" xfId="0" applyNumberFormat="1" applyFont="1" applyBorder="1" applyAlignment="1">
      <alignment vertical="center" wrapText="1"/>
    </xf>
    <xf numFmtId="43" fontId="19" fillId="0" borderId="4" xfId="0" applyNumberFormat="1" applyFont="1" applyBorder="1" applyAlignment="1">
      <alignment vertical="center" wrapText="1"/>
    </xf>
    <xf numFmtId="43" fontId="20" fillId="2" borderId="4" xfId="0" applyNumberFormat="1" applyFont="1" applyFill="1" applyBorder="1" applyAlignment="1">
      <alignment vertical="center" wrapText="1"/>
    </xf>
    <xf numFmtId="43" fontId="19" fillId="2" borderId="4" xfId="0" applyNumberFormat="1" applyFont="1" applyFill="1" applyBorder="1" applyAlignment="1">
      <alignment vertical="center" wrapText="1"/>
    </xf>
    <xf numFmtId="171" fontId="19" fillId="2" borderId="4" xfId="0" applyNumberFormat="1" applyFont="1" applyFill="1" applyBorder="1" applyAlignment="1">
      <alignment vertical="center" wrapText="1"/>
    </xf>
    <xf numFmtId="0" fontId="27" fillId="2" borderId="4" xfId="0" applyFont="1" applyFill="1" applyBorder="1" applyAlignment="1">
      <alignment horizontal="left" vertical="center" indent="6"/>
    </xf>
    <xf numFmtId="182" fontId="20" fillId="11" borderId="4" xfId="0" applyNumberFormat="1" applyFont="1" applyFill="1" applyBorder="1" applyAlignment="1">
      <alignment vertical="center" wrapText="1"/>
    </xf>
    <xf numFmtId="171" fontId="20" fillId="2" borderId="4" xfId="0" applyNumberFormat="1" applyFont="1" applyFill="1" applyBorder="1" applyAlignment="1">
      <alignment vertical="center" wrapText="1"/>
    </xf>
    <xf numFmtId="0" fontId="27" fillId="0" borderId="4" xfId="0" applyFont="1" applyBorder="1" applyAlignment="1">
      <alignment vertical="center"/>
    </xf>
    <xf numFmtId="0" fontId="22" fillId="0" borderId="4" xfId="0" applyFont="1" applyBorder="1" applyAlignment="1">
      <alignment horizontal="center" wrapText="1"/>
    </xf>
    <xf numFmtId="182" fontId="20" fillId="11" borderId="4" xfId="0" applyNumberFormat="1" applyFont="1" applyFill="1" applyBorder="1" applyAlignment="1">
      <alignment horizontal="right" vertical="center" wrapText="1"/>
    </xf>
    <xf numFmtId="171" fontId="20" fillId="0" borderId="4" xfId="0" applyNumberFormat="1" applyFont="1" applyBorder="1" applyAlignment="1">
      <alignment wrapText="1"/>
    </xf>
    <xf numFmtId="182" fontId="20" fillId="9" borderId="4" xfId="0" applyNumberFormat="1" applyFont="1" applyFill="1" applyBorder="1" applyAlignment="1">
      <alignment horizontal="left" vertical="center" wrapText="1" indent="6"/>
    </xf>
    <xf numFmtId="171" fontId="20" fillId="0" borderId="4" xfId="0" applyNumberFormat="1" applyFont="1" applyBorder="1" applyAlignment="1">
      <alignment vertical="center" wrapText="1"/>
    </xf>
    <xf numFmtId="171" fontId="19" fillId="0" borderId="4" xfId="0" applyNumberFormat="1" applyFont="1" applyBorder="1" applyAlignment="1">
      <alignment vertical="center" wrapText="1"/>
    </xf>
    <xf numFmtId="182" fontId="20" fillId="11" borderId="4" xfId="0" applyNumberFormat="1" applyFont="1" applyFill="1" applyBorder="1" applyAlignment="1">
      <alignment horizontal="left" vertical="center" wrapText="1" indent="6"/>
    </xf>
    <xf numFmtId="2" fontId="20" fillId="11" borderId="4" xfId="0" applyNumberFormat="1" applyFont="1" applyFill="1" applyBorder="1" applyAlignment="1">
      <alignment horizontal="left" vertical="center" wrapText="1" indent="6"/>
    </xf>
    <xf numFmtId="0" fontId="20" fillId="0" borderId="4" xfId="0" applyFont="1" applyBorder="1" applyAlignment="1">
      <alignment horizontal="center" wrapText="1"/>
    </xf>
    <xf numFmtId="182" fontId="20" fillId="11" borderId="4" xfId="0" applyNumberFormat="1" applyFont="1" applyFill="1" applyBorder="1" applyAlignment="1">
      <alignment horizontal="right" wrapText="1"/>
    </xf>
    <xf numFmtId="182" fontId="20" fillId="9" borderId="4" xfId="0" applyNumberFormat="1" applyFont="1" applyFill="1" applyBorder="1" applyAlignment="1">
      <alignment horizontal="right" wrapText="1"/>
    </xf>
    <xf numFmtId="182" fontId="20" fillId="9" borderId="4" xfId="0" applyNumberFormat="1" applyFont="1" applyFill="1" applyBorder="1" applyAlignment="1">
      <alignment horizontal="right" vertical="center" wrapText="1"/>
    </xf>
    <xf numFmtId="171" fontId="19" fillId="0" borderId="9" xfId="0" applyNumberFormat="1" applyFont="1" applyBorder="1" applyAlignment="1">
      <alignment wrapText="1"/>
    </xf>
    <xf numFmtId="0" fontId="88" fillId="5" borderId="5" xfId="0" applyFont="1" applyFill="1" applyBorder="1"/>
    <xf numFmtId="0" fontId="88" fillId="0" borderId="11" xfId="0" applyFont="1" applyBorder="1" applyAlignment="1">
      <alignment wrapText="1"/>
    </xf>
    <xf numFmtId="170" fontId="88" fillId="0" borderId="4" xfId="0" applyNumberFormat="1" applyFont="1" applyBorder="1" applyAlignment="1">
      <alignment wrapText="1"/>
    </xf>
    <xf numFmtId="0" fontId="88" fillId="5" borderId="3" xfId="0" applyFont="1" applyFill="1" applyBorder="1"/>
    <xf numFmtId="0" fontId="88" fillId="0" borderId="4" xfId="0" applyFont="1" applyBorder="1" applyAlignment="1">
      <alignment wrapText="1"/>
    </xf>
    <xf numFmtId="0" fontId="90" fillId="0" borderId="5" xfId="0" applyFont="1" applyBorder="1"/>
    <xf numFmtId="49" fontId="29" fillId="2" borderId="4" xfId="5" applyNumberFormat="1" applyFont="1" applyFill="1" applyBorder="1" applyAlignment="1">
      <alignment horizontal="center" vertical="center"/>
    </xf>
    <xf numFmtId="0" fontId="90" fillId="2" borderId="4" xfId="0" applyFont="1" applyFill="1" applyBorder="1"/>
    <xf numFmtId="0" fontId="90" fillId="0" borderId="4" xfId="0" applyFont="1" applyBorder="1"/>
    <xf numFmtId="170" fontId="90" fillId="0" borderId="4" xfId="0" applyNumberFormat="1" applyFont="1" applyBorder="1"/>
    <xf numFmtId="170" fontId="90" fillId="0" borderId="4" xfId="0" applyNumberFormat="1" applyFont="1" applyBorder="1" applyAlignment="1">
      <alignment vertical="center"/>
    </xf>
    <xf numFmtId="0" fontId="88" fillId="0" borderId="4" xfId="0" applyFont="1" applyBorder="1"/>
    <xf numFmtId="2" fontId="22" fillId="0" borderId="4" xfId="55" applyNumberFormat="1" applyFont="1" applyBorder="1" applyAlignment="1">
      <alignment horizontal="center" wrapText="1"/>
    </xf>
    <xf numFmtId="0" fontId="88" fillId="0" borderId="5" xfId="0" applyFont="1" applyBorder="1" applyAlignment="1">
      <alignment vertical="center"/>
    </xf>
    <xf numFmtId="185" fontId="88" fillId="0" borderId="9" xfId="0" applyNumberFormat="1" applyFont="1" applyBorder="1" applyAlignment="1">
      <alignment horizontal="left" vertical="center" wrapText="1"/>
    </xf>
    <xf numFmtId="170" fontId="88" fillId="0" borderId="18" xfId="0" applyNumberFormat="1" applyFont="1" applyBorder="1" applyAlignment="1">
      <alignment wrapText="1"/>
    </xf>
    <xf numFmtId="185" fontId="88" fillId="0" borderId="4" xfId="0" applyNumberFormat="1" applyFont="1" applyBorder="1" applyAlignment="1">
      <alignment horizontal="left" vertical="center" wrapText="1"/>
    </xf>
    <xf numFmtId="170" fontId="88" fillId="0" borderId="11" xfId="0" applyNumberFormat="1" applyFont="1" applyBorder="1" applyAlignment="1">
      <alignment wrapText="1"/>
    </xf>
    <xf numFmtId="0" fontId="88" fillId="0" borderId="18" xfId="0" applyFont="1" applyBorder="1" applyAlignment="1">
      <alignment wrapText="1"/>
    </xf>
    <xf numFmtId="0" fontId="88" fillId="0" borderId="4" xfId="0" applyFont="1" applyBorder="1" applyAlignment="1">
      <alignment vertical="center"/>
    </xf>
    <xf numFmtId="0" fontId="90" fillId="0" borderId="4" xfId="0" applyFont="1" applyBorder="1" applyAlignment="1">
      <alignment vertical="center"/>
    </xf>
    <xf numFmtId="1" fontId="88" fillId="0" borderId="4" xfId="0" applyNumberFormat="1" applyFont="1" applyBorder="1" applyAlignment="1">
      <alignment vertical="center"/>
    </xf>
    <xf numFmtId="0" fontId="91" fillId="0" borderId="4" xfId="0" applyFont="1" applyBorder="1" applyAlignment="1">
      <alignment vertical="center"/>
    </xf>
    <xf numFmtId="0" fontId="90" fillId="0" borderId="4" xfId="0" applyFont="1" applyBorder="1" applyAlignment="1">
      <alignment horizontal="center"/>
    </xf>
    <xf numFmtId="4" fontId="27" fillId="0" borderId="4" xfId="0" applyNumberFormat="1" applyFont="1" applyBorder="1" applyAlignment="1">
      <alignment horizontal="center" vertical="center" wrapText="1"/>
    </xf>
    <xf numFmtId="179" fontId="92" fillId="3" borderId="4" xfId="0" applyNumberFormat="1" applyFont="1" applyFill="1" applyBorder="1" applyAlignment="1">
      <alignment vertical="center"/>
    </xf>
    <xf numFmtId="179" fontId="92" fillId="3" borderId="4" xfId="0" applyNumberFormat="1" applyFont="1" applyFill="1" applyBorder="1" applyAlignment="1">
      <alignment vertical="center" wrapText="1"/>
    </xf>
    <xf numFmtId="0" fontId="21" fillId="7" borderId="4" xfId="4" applyFont="1" applyFill="1" applyBorder="1" applyAlignment="1">
      <alignment horizontal="center" vertical="center" wrapText="1"/>
    </xf>
    <xf numFmtId="1" fontId="88" fillId="0" borderId="4" xfId="0" applyNumberFormat="1" applyFont="1" applyBorder="1" applyAlignment="1">
      <alignment horizontal="center" vertical="center"/>
    </xf>
    <xf numFmtId="3" fontId="88" fillId="0" borderId="4" xfId="0" applyNumberFormat="1" applyFont="1" applyBorder="1" applyAlignment="1">
      <alignment horizontal="center" vertical="center"/>
    </xf>
    <xf numFmtId="0" fontId="88" fillId="3" borderId="4" xfId="0" applyFont="1" applyFill="1" applyBorder="1" applyAlignment="1">
      <alignment vertical="center"/>
    </xf>
    <xf numFmtId="0" fontId="88" fillId="5" borderId="4" xfId="0" applyFont="1" applyFill="1" applyBorder="1"/>
    <xf numFmtId="0" fontId="90" fillId="0" borderId="5" xfId="0" applyFont="1" applyBorder="1" applyAlignment="1">
      <alignment horizontal="left"/>
    </xf>
    <xf numFmtId="1" fontId="90" fillId="0" borderId="4" xfId="0" applyNumberFormat="1" applyFont="1" applyBorder="1" applyAlignment="1">
      <alignment vertical="center"/>
    </xf>
    <xf numFmtId="1" fontId="88" fillId="0" borderId="4" xfId="0" applyNumberFormat="1" applyFont="1" applyBorder="1"/>
    <xf numFmtId="0" fontId="88" fillId="0" borderId="5" xfId="0" applyFont="1" applyBorder="1"/>
    <xf numFmtId="0" fontId="88" fillId="3" borderId="4" xfId="0" applyFont="1" applyFill="1" applyBorder="1" applyAlignment="1">
      <alignment vertical="center" wrapText="1"/>
    </xf>
    <xf numFmtId="170" fontId="88" fillId="0" borderId="4" xfId="0" applyNumberFormat="1" applyFont="1" applyBorder="1" applyAlignment="1">
      <alignment vertical="center"/>
    </xf>
    <xf numFmtId="0" fontId="88" fillId="0" borderId="4" xfId="0" applyFont="1" applyBorder="1" applyAlignment="1">
      <alignment vertical="center" wrapText="1"/>
    </xf>
    <xf numFmtId="0" fontId="85" fillId="0" borderId="2" xfId="0" applyFont="1" applyBorder="1" applyAlignment="1">
      <alignment horizontal="center" vertical="center"/>
    </xf>
    <xf numFmtId="0" fontId="85" fillId="0" borderId="30" xfId="0" applyFont="1" applyBorder="1" applyAlignment="1">
      <alignment horizontal="center" vertical="center"/>
    </xf>
    <xf numFmtId="0" fontId="90" fillId="0" borderId="14" xfId="0" applyFont="1" applyBorder="1"/>
    <xf numFmtId="0" fontId="88" fillId="3" borderId="4" xfId="0" applyFont="1" applyFill="1" applyBorder="1" applyAlignment="1">
      <alignment horizontal="center" vertical="center" wrapText="1"/>
    </xf>
    <xf numFmtId="170" fontId="88" fillId="0" borderId="4" xfId="0" applyNumberFormat="1" applyFont="1" applyBorder="1" applyAlignment="1">
      <alignment horizontal="center" vertical="center"/>
    </xf>
    <xf numFmtId="0" fontId="91" fillId="0" borderId="4" xfId="0" applyFont="1" applyBorder="1" applyAlignment="1">
      <alignment horizontal="center" vertical="center"/>
    </xf>
    <xf numFmtId="0" fontId="85" fillId="0" borderId="7" xfId="0" applyFont="1" applyBorder="1" applyAlignment="1">
      <alignment horizontal="center" vertical="center"/>
    </xf>
    <xf numFmtId="0" fontId="88" fillId="0" borderId="4" xfId="0" applyFont="1" applyBorder="1" applyAlignment="1">
      <alignment horizontal="center" vertical="center"/>
    </xf>
    <xf numFmtId="188" fontId="85" fillId="0" borderId="2" xfId="0" applyNumberFormat="1" applyFont="1" applyBorder="1" applyAlignment="1">
      <alignment horizontal="left" vertical="center"/>
    </xf>
    <xf numFmtId="0" fontId="90" fillId="0" borderId="11" xfId="0" applyFont="1" applyBorder="1"/>
    <xf numFmtId="0" fontId="88" fillId="0" borderId="6" xfId="0" applyFont="1" applyBorder="1" applyAlignment="1">
      <alignment vertical="center"/>
    </xf>
    <xf numFmtId="0" fontId="88" fillId="0" borderId="22" xfId="0" applyFont="1" applyBorder="1" applyAlignment="1">
      <alignment horizontal="center" vertical="center"/>
    </xf>
    <xf numFmtId="0" fontId="88" fillId="3" borderId="5" xfId="0" applyFont="1" applyFill="1" applyBorder="1" applyAlignment="1">
      <alignment vertical="center"/>
    </xf>
    <xf numFmtId="0" fontId="88" fillId="0" borderId="11" xfId="0" applyFont="1" applyBorder="1" applyAlignment="1">
      <alignment vertical="center" wrapText="1"/>
    </xf>
    <xf numFmtId="0" fontId="88" fillId="2" borderId="4" xfId="0" applyFont="1" applyFill="1" applyBorder="1" applyAlignment="1">
      <alignment horizontal="center" vertical="center"/>
    </xf>
    <xf numFmtId="0" fontId="92" fillId="0" borderId="23" xfId="0" applyFont="1" applyBorder="1" applyAlignment="1">
      <alignment horizontal="center" vertical="center"/>
    </xf>
    <xf numFmtId="1" fontId="85" fillId="0" borderId="11" xfId="4" applyNumberFormat="1" applyFont="1" applyBorder="1" applyAlignment="1">
      <alignment horizontal="center" vertical="center"/>
    </xf>
    <xf numFmtId="183" fontId="88" fillId="0" borderId="4" xfId="0" applyNumberFormat="1" applyFont="1" applyBorder="1" applyAlignment="1">
      <alignment vertical="center"/>
    </xf>
    <xf numFmtId="183" fontId="88" fillId="0" borderId="4" xfId="0" applyNumberFormat="1" applyFont="1" applyBorder="1" applyAlignment="1">
      <alignment vertical="center" wrapText="1"/>
    </xf>
    <xf numFmtId="1" fontId="85" fillId="0" borderId="11" xfId="4" applyNumberFormat="1" applyFont="1" applyBorder="1" applyAlignment="1">
      <alignment vertical="center"/>
    </xf>
    <xf numFmtId="1" fontId="85" fillId="0" borderId="5" xfId="4" applyNumberFormat="1" applyFont="1" applyBorder="1" applyAlignment="1">
      <alignment horizontal="center" vertical="center" wrapText="1"/>
    </xf>
    <xf numFmtId="3" fontId="85" fillId="0" borderId="5" xfId="4" applyNumberFormat="1" applyFont="1" applyBorder="1" applyAlignment="1">
      <alignment horizontal="center" vertical="center"/>
    </xf>
    <xf numFmtId="1" fontId="21" fillId="7" borderId="16" xfId="4" applyNumberFormat="1" applyFont="1" applyFill="1" applyBorder="1" applyAlignment="1">
      <alignment horizontal="center" vertical="center"/>
    </xf>
    <xf numFmtId="1" fontId="29" fillId="0" borderId="14" xfId="4" applyNumberFormat="1" applyFont="1" applyBorder="1" applyAlignment="1">
      <alignment horizontal="left" vertical="center"/>
    </xf>
    <xf numFmtId="1" fontId="29" fillId="0" borderId="14" xfId="4" applyNumberFormat="1" applyFont="1" applyBorder="1" applyAlignment="1">
      <alignment horizontal="left" vertical="center" wrapText="1"/>
    </xf>
    <xf numFmtId="1" fontId="29" fillId="0" borderId="11" xfId="4" applyNumberFormat="1" applyFont="1" applyBorder="1" applyAlignment="1">
      <alignment horizontal="left" vertical="center" wrapText="1"/>
    </xf>
    <xf numFmtId="0" fontId="22" fillId="0" borderId="16" xfId="4" applyFont="1" applyBorder="1" applyAlignment="1">
      <alignment vertical="top"/>
    </xf>
    <xf numFmtId="0" fontId="29" fillId="0" borderId="16" xfId="4" applyFont="1" applyBorder="1" applyAlignment="1">
      <alignment horizontal="left" vertical="center"/>
    </xf>
    <xf numFmtId="0" fontId="29" fillId="0" borderId="6" xfId="4" applyFont="1" applyBorder="1" applyAlignment="1">
      <alignment horizontal="left" vertical="center"/>
    </xf>
    <xf numFmtId="182" fontId="29" fillId="0" borderId="6" xfId="4" applyNumberFormat="1" applyFont="1" applyBorder="1" applyAlignment="1">
      <alignment vertical="center"/>
    </xf>
    <xf numFmtId="0" fontId="29" fillId="0" borderId="6" xfId="4" applyFont="1" applyBorder="1" applyAlignment="1">
      <alignment vertical="center" wrapText="1"/>
    </xf>
    <xf numFmtId="43" fontId="21" fillId="7" borderId="28" xfId="0" applyNumberFormat="1" applyFont="1" applyFill="1" applyBorder="1" applyAlignment="1">
      <alignment horizontal="center" vertical="center"/>
    </xf>
    <xf numFmtId="0" fontId="93" fillId="0" borderId="0" xfId="0" applyFont="1"/>
    <xf numFmtId="0" fontId="29" fillId="2" borderId="25" xfId="0" applyFont="1" applyFill="1" applyBorder="1" applyAlignment="1">
      <alignment horizontal="center" vertical="center"/>
    </xf>
    <xf numFmtId="0" fontId="21" fillId="7" borderId="28" xfId="0" applyFont="1" applyFill="1" applyBorder="1" applyAlignment="1">
      <alignment horizontal="center" vertical="center"/>
    </xf>
    <xf numFmtId="174" fontId="21" fillId="7" borderId="4" xfId="1" applyNumberFormat="1" applyFont="1" applyFill="1" applyBorder="1" applyAlignment="1">
      <alignment horizontal="left" vertical="center"/>
    </xf>
    <xf numFmtId="0" fontId="29" fillId="2" borderId="28" xfId="0" applyFont="1" applyFill="1" applyBorder="1" applyAlignment="1">
      <alignment horizontal="center" vertical="center"/>
    </xf>
    <xf numFmtId="171" fontId="20" fillId="9" borderId="4" xfId="0" applyNumberFormat="1" applyFont="1" applyFill="1" applyBorder="1"/>
    <xf numFmtId="171" fontId="22" fillId="0" borderId="4" xfId="0" applyNumberFormat="1" applyFont="1" applyBorder="1"/>
    <xf numFmtId="0" fontId="22" fillId="2" borderId="6" xfId="4" applyFont="1" applyFill="1" applyBorder="1" applyAlignment="1">
      <alignment horizontal="center" wrapText="1"/>
    </xf>
    <xf numFmtId="171" fontId="22" fillId="2" borderId="6" xfId="4" applyNumberFormat="1" applyFont="1" applyFill="1" applyBorder="1"/>
    <xf numFmtId="171" fontId="22" fillId="0" borderId="5" xfId="0" applyNumberFormat="1" applyFont="1" applyBorder="1"/>
    <xf numFmtId="0" fontId="22" fillId="2" borderId="2" xfId="4" applyFont="1" applyFill="1" applyBorder="1" applyAlignment="1">
      <alignment horizontal="center" wrapText="1"/>
    </xf>
    <xf numFmtId="0" fontId="29" fillId="2" borderId="20" xfId="0" applyFont="1" applyFill="1" applyBorder="1" applyAlignment="1">
      <alignment horizontal="center" vertical="center"/>
    </xf>
    <xf numFmtId="0" fontId="19" fillId="5" borderId="12" xfId="0" applyFont="1" applyFill="1" applyBorder="1"/>
    <xf numFmtId="0" fontId="19" fillId="0" borderId="15" xfId="0" applyFont="1" applyBorder="1"/>
    <xf numFmtId="175" fontId="29" fillId="0" borderId="1" xfId="2" applyNumberFormat="1" applyFont="1" applyBorder="1" applyAlignment="1">
      <alignment vertical="center"/>
    </xf>
    <xf numFmtId="171" fontId="30" fillId="0" borderId="1" xfId="0" applyNumberFormat="1" applyFont="1" applyBorder="1"/>
    <xf numFmtId="0" fontId="29" fillId="2" borderId="12" xfId="4" applyFont="1" applyFill="1" applyBorder="1" applyAlignment="1">
      <alignment horizontal="center" wrapText="1"/>
    </xf>
    <xf numFmtId="181" fontId="19" fillId="0" borderId="2" xfId="2" applyNumberFormat="1" applyFont="1" applyBorder="1"/>
    <xf numFmtId="171" fontId="20" fillId="2" borderId="4" xfId="6" applyNumberFormat="1" applyFont="1" applyFill="1" applyBorder="1" applyAlignment="1">
      <alignment horizontal="right" vertical="center"/>
    </xf>
    <xf numFmtId="171" fontId="19" fillId="2" borderId="6" xfId="6" applyNumberFormat="1" applyFont="1" applyFill="1" applyBorder="1" applyAlignment="1">
      <alignment horizontal="right" vertical="center"/>
    </xf>
    <xf numFmtId="0" fontId="22" fillId="2" borderId="10" xfId="4" applyFont="1" applyFill="1" applyBorder="1" applyAlignment="1">
      <alignment horizontal="center" wrapText="1"/>
    </xf>
    <xf numFmtId="171" fontId="19" fillId="2" borderId="2" xfId="6" applyNumberFormat="1" applyFont="1" applyFill="1" applyBorder="1" applyAlignment="1">
      <alignment horizontal="right" vertical="center"/>
    </xf>
    <xf numFmtId="0" fontId="19" fillId="0" borderId="11" xfId="0" applyFont="1" applyBorder="1" applyAlignment="1">
      <alignment vertical="center"/>
    </xf>
    <xf numFmtId="171" fontId="19" fillId="0" borderId="4" xfId="6" applyNumberFormat="1" applyFont="1" applyBorder="1" applyAlignment="1">
      <alignment horizontal="right" vertical="center"/>
    </xf>
    <xf numFmtId="171" fontId="29" fillId="0" borderId="5" xfId="6" applyNumberFormat="1" applyFont="1" applyBorder="1" applyAlignment="1">
      <alignment horizontal="right" vertical="center"/>
    </xf>
    <xf numFmtId="171" fontId="19" fillId="0" borderId="2" xfId="6" applyNumberFormat="1" applyFont="1" applyBorder="1" applyAlignment="1">
      <alignment horizontal="right" vertical="center"/>
    </xf>
    <xf numFmtId="1" fontId="22" fillId="2" borderId="6" xfId="4" applyNumberFormat="1" applyFont="1" applyFill="1" applyBorder="1" applyAlignment="1">
      <alignment horizontal="center" wrapText="1"/>
    </xf>
    <xf numFmtId="171" fontId="19" fillId="2" borderId="4" xfId="6" applyNumberFormat="1" applyFont="1" applyFill="1" applyBorder="1" applyAlignment="1">
      <alignment horizontal="right" vertical="center"/>
    </xf>
    <xf numFmtId="171" fontId="19" fillId="2" borderId="10" xfId="6" applyNumberFormat="1" applyFont="1" applyFill="1" applyBorder="1" applyAlignment="1">
      <alignment horizontal="right" vertical="center"/>
    </xf>
    <xf numFmtId="1" fontId="19" fillId="0" borderId="5" xfId="7" applyNumberFormat="1" applyFont="1" applyBorder="1" applyAlignment="1">
      <alignment horizontal="center" vertical="center" wrapText="1"/>
    </xf>
    <xf numFmtId="0" fontId="20" fillId="5" borderId="4" xfId="0" applyFont="1" applyFill="1" applyBorder="1"/>
    <xf numFmtId="0" fontId="20" fillId="0" borderId="4" xfId="0" applyFont="1" applyBorder="1" applyAlignment="1">
      <alignment horizontal="center"/>
    </xf>
    <xf numFmtId="0" fontId="20" fillId="0" borderId="9" xfId="0" applyFont="1" applyBorder="1" applyAlignment="1">
      <alignment vertical="center"/>
    </xf>
    <xf numFmtId="171" fontId="20" fillId="9" borderId="11" xfId="0" applyNumberFormat="1" applyFont="1" applyFill="1" applyBorder="1"/>
    <xf numFmtId="171" fontId="22" fillId="0" borderId="11" xfId="0" applyNumberFormat="1" applyFont="1" applyBorder="1"/>
    <xf numFmtId="0" fontId="22" fillId="2" borderId="4" xfId="4" applyFont="1" applyFill="1" applyBorder="1" applyAlignment="1">
      <alignment horizontal="center" wrapText="1"/>
    </xf>
    <xf numFmtId="174" fontId="21" fillId="7" borderId="9" xfId="1" applyNumberFormat="1" applyFont="1" applyFill="1" applyBorder="1" applyAlignment="1">
      <alignment horizontal="left" vertical="center"/>
    </xf>
    <xf numFmtId="2" fontId="20" fillId="5" borderId="10" xfId="0" applyNumberFormat="1" applyFont="1" applyFill="1" applyBorder="1" applyAlignment="1">
      <alignment vertical="center"/>
    </xf>
    <xf numFmtId="171" fontId="20" fillId="9" borderId="13" xfId="0" applyNumberFormat="1" applyFont="1" applyFill="1" applyBorder="1"/>
    <xf numFmtId="171" fontId="22" fillId="2" borderId="60" xfId="4" applyNumberFormat="1" applyFont="1" applyFill="1" applyBorder="1"/>
    <xf numFmtId="2" fontId="20" fillId="5" borderId="2" xfId="0" applyNumberFormat="1" applyFont="1" applyFill="1" applyBorder="1" applyAlignment="1">
      <alignment vertical="center"/>
    </xf>
    <xf numFmtId="0" fontId="22" fillId="2" borderId="9" xfId="4" applyFont="1" applyFill="1" applyBorder="1" applyAlignment="1">
      <alignment horizontal="center" wrapText="1"/>
    </xf>
    <xf numFmtId="171" fontId="30" fillId="0" borderId="3" xfId="0" applyNumberFormat="1" applyFont="1" applyBorder="1"/>
    <xf numFmtId="171" fontId="29" fillId="0" borderId="3" xfId="0" applyNumberFormat="1" applyFont="1" applyBorder="1"/>
    <xf numFmtId="0" fontId="29" fillId="2" borderId="9" xfId="4" applyFont="1" applyFill="1" applyBorder="1" applyAlignment="1">
      <alignment horizontal="center" wrapText="1"/>
    </xf>
    <xf numFmtId="171" fontId="29" fillId="0" borderId="9" xfId="4" applyNumberFormat="1" applyFont="1" applyBorder="1"/>
    <xf numFmtId="0" fontId="29" fillId="0" borderId="16" xfId="0" applyFont="1" applyBorder="1" applyAlignment="1">
      <alignment horizontal="center" vertical="center"/>
    </xf>
    <xf numFmtId="171" fontId="29" fillId="0" borderId="6" xfId="0" applyNumberFormat="1" applyFont="1" applyBorder="1" applyAlignment="1">
      <alignment vertical="center"/>
    </xf>
    <xf numFmtId="1" fontId="30" fillId="2" borderId="6" xfId="4" applyNumberFormat="1" applyFont="1" applyFill="1" applyBorder="1" applyAlignment="1">
      <alignment horizontal="center" vertical="center" wrapText="1"/>
    </xf>
    <xf numFmtId="171" fontId="19" fillId="0" borderId="6" xfId="6" applyNumberFormat="1" applyFont="1" applyBorder="1" applyAlignment="1">
      <alignment horizontal="right" vertical="center"/>
    </xf>
    <xf numFmtId="0" fontId="29" fillId="0" borderId="4" xfId="0" applyFont="1" applyBorder="1" applyAlignment="1">
      <alignment horizontal="center" vertical="center"/>
    </xf>
    <xf numFmtId="0" fontId="19" fillId="0" borderId="4" xfId="0" applyFont="1" applyBorder="1" applyAlignment="1">
      <alignment vertical="center"/>
    </xf>
    <xf numFmtId="171" fontId="19" fillId="0" borderId="4" xfId="3" applyNumberFormat="1" applyFont="1" applyBorder="1" applyAlignment="1">
      <alignment horizontal="right" vertical="center"/>
    </xf>
    <xf numFmtId="171" fontId="29" fillId="0" borderId="4" xfId="3" applyNumberFormat="1" applyFont="1" applyBorder="1" applyAlignment="1">
      <alignment horizontal="right" vertical="center"/>
    </xf>
    <xf numFmtId="1" fontId="20" fillId="0" borderId="4" xfId="4" applyNumberFormat="1" applyFont="1" applyBorder="1" applyAlignment="1">
      <alignment horizontal="center" vertical="center" wrapText="1"/>
    </xf>
    <xf numFmtId="171" fontId="19" fillId="0" borderId="14" xfId="6" applyNumberFormat="1" applyFont="1" applyBorder="1" applyAlignment="1">
      <alignment horizontal="right" vertical="center"/>
    </xf>
    <xf numFmtId="171" fontId="29" fillId="0" borderId="14" xfId="6" applyNumberFormat="1" applyFont="1" applyBorder="1" applyAlignment="1">
      <alignment horizontal="right" vertical="center"/>
    </xf>
    <xf numFmtId="1" fontId="19" fillId="0" borderId="14" xfId="7" applyNumberFormat="1" applyFont="1" applyBorder="1" applyAlignment="1">
      <alignment horizontal="center" vertical="center" wrapText="1"/>
    </xf>
    <xf numFmtId="1" fontId="22" fillId="2" borderId="4" xfId="4" applyNumberFormat="1" applyFont="1" applyFill="1" applyBorder="1" applyAlignment="1">
      <alignment horizontal="center" wrapText="1"/>
    </xf>
    <xf numFmtId="0" fontId="20" fillId="5" borderId="9" xfId="0" applyFont="1" applyFill="1" applyBorder="1"/>
    <xf numFmtId="170" fontId="20" fillId="0" borderId="9" xfId="0" applyNumberFormat="1" applyFont="1" applyBorder="1" applyAlignment="1">
      <alignment vertical="center"/>
    </xf>
    <xf numFmtId="0" fontId="20" fillId="5" borderId="12" xfId="0" applyFont="1" applyFill="1" applyBorder="1"/>
    <xf numFmtId="0" fontId="20" fillId="0" borderId="3" xfId="0" applyFont="1" applyBorder="1" applyAlignment="1">
      <alignment vertical="center"/>
    </xf>
    <xf numFmtId="0" fontId="27" fillId="3" borderId="4" xfId="0" applyFont="1" applyFill="1" applyBorder="1" applyAlignment="1">
      <alignment horizontal="left" vertical="center"/>
    </xf>
    <xf numFmtId="0" fontId="31" fillId="2" borderId="3" xfId="4" applyFont="1" applyFill="1" applyBorder="1" applyAlignment="1">
      <alignment horizontal="center" wrapText="1"/>
    </xf>
    <xf numFmtId="0" fontId="29" fillId="0" borderId="29" xfId="0" applyFont="1" applyBorder="1" applyAlignment="1">
      <alignment horizontal="center" vertical="center"/>
    </xf>
    <xf numFmtId="0" fontId="20" fillId="0" borderId="11" xfId="0" applyFont="1" applyBorder="1" applyAlignment="1">
      <alignment vertical="center"/>
    </xf>
    <xf numFmtId="171" fontId="22" fillId="9" borderId="4" xfId="1" applyNumberFormat="1" applyFont="1" applyFill="1" applyBorder="1" applyAlignment="1">
      <alignment horizontal="center" vertical="center"/>
    </xf>
    <xf numFmtId="171" fontId="22" fillId="2" borderId="4" xfId="1" applyNumberFormat="1" applyFont="1" applyFill="1" applyBorder="1" applyAlignment="1">
      <alignment horizontal="center" vertical="center"/>
    </xf>
    <xf numFmtId="0" fontId="22" fillId="2" borderId="11" xfId="4" applyFont="1" applyFill="1" applyBorder="1" applyAlignment="1">
      <alignment horizontal="center" wrapText="1"/>
    </xf>
    <xf numFmtId="0" fontId="20" fillId="5" borderId="18" xfId="0" applyFont="1" applyFill="1" applyBorder="1"/>
    <xf numFmtId="0" fontId="20" fillId="0" borderId="18" xfId="0" applyFont="1" applyBorder="1"/>
    <xf numFmtId="0" fontId="20" fillId="0" borderId="18" xfId="0" applyFont="1" applyBorder="1" applyAlignment="1">
      <alignment vertical="center"/>
    </xf>
    <xf numFmtId="171" fontId="22" fillId="9" borderId="9" xfId="0" applyNumberFormat="1" applyFont="1" applyFill="1" applyBorder="1" applyAlignment="1">
      <alignment vertical="center"/>
    </xf>
    <xf numFmtId="0" fontId="29" fillId="0" borderId="19" xfId="0" applyFont="1" applyBorder="1" applyAlignment="1">
      <alignment horizontal="center" vertical="center"/>
    </xf>
    <xf numFmtId="2" fontId="22" fillId="0" borderId="4" xfId="0" applyNumberFormat="1" applyFont="1" applyBorder="1" applyAlignment="1">
      <alignment vertical="center"/>
    </xf>
    <xf numFmtId="0" fontId="20" fillId="0" borderId="0" xfId="0" applyFont="1"/>
    <xf numFmtId="176" fontId="22" fillId="0" borderId="4" xfId="0" applyNumberFormat="1" applyFont="1" applyBorder="1" applyAlignment="1">
      <alignment vertical="center"/>
    </xf>
    <xf numFmtId="171" fontId="22" fillId="9" borderId="4" xfId="0" applyNumberFormat="1" applyFont="1" applyFill="1" applyBorder="1" applyAlignment="1">
      <alignment vertical="center"/>
    </xf>
    <xf numFmtId="0" fontId="22" fillId="0" borderId="4" xfId="0" applyFont="1" applyBorder="1"/>
    <xf numFmtId="0" fontId="19" fillId="5" borderId="9" xfId="0" applyFont="1" applyFill="1" applyBorder="1"/>
    <xf numFmtId="0" fontId="19" fillId="0" borderId="9" xfId="0" applyFont="1" applyBorder="1"/>
    <xf numFmtId="41" fontId="29" fillId="0" borderId="9" xfId="2" applyFont="1" applyBorder="1" applyAlignment="1">
      <alignment vertical="center"/>
    </xf>
    <xf numFmtId="171" fontId="30" fillId="0" borderId="9" xfId="0" applyNumberFormat="1" applyFont="1" applyBorder="1"/>
    <xf numFmtId="171" fontId="29" fillId="0" borderId="9" xfId="0" applyNumberFormat="1" applyFont="1" applyBorder="1"/>
    <xf numFmtId="180" fontId="19" fillId="0" borderId="2" xfId="2" applyNumberFormat="1" applyFont="1" applyBorder="1"/>
    <xf numFmtId="0" fontId="20" fillId="0" borderId="11" xfId="6" applyNumberFormat="1" applyFont="1" applyBorder="1" applyAlignment="1">
      <alignment horizontal="center" vertical="center" wrapText="1"/>
    </xf>
    <xf numFmtId="0" fontId="19" fillId="0" borderId="4" xfId="6" applyNumberFormat="1" applyFont="1" applyBorder="1" applyAlignment="1">
      <alignment horizontal="center" vertical="center" wrapText="1"/>
    </xf>
    <xf numFmtId="0" fontId="19" fillId="0" borderId="5" xfId="6" applyNumberFormat="1" applyFont="1" applyBorder="1" applyAlignment="1">
      <alignment horizontal="center" vertical="center" wrapText="1"/>
    </xf>
    <xf numFmtId="1" fontId="22" fillId="2" borderId="4" xfId="7" applyNumberFormat="1" applyFont="1" applyFill="1" applyBorder="1" applyAlignment="1">
      <alignment horizontal="center" vertical="center" wrapText="1"/>
    </xf>
    <xf numFmtId="171" fontId="22" fillId="2" borderId="4" xfId="1" applyNumberFormat="1" applyFont="1" applyFill="1" applyBorder="1"/>
    <xf numFmtId="4" fontId="22" fillId="0" borderId="4" xfId="4" applyNumberFormat="1" applyFont="1" applyBorder="1" applyAlignment="1">
      <alignment vertical="center"/>
    </xf>
    <xf numFmtId="4" fontId="29" fillId="0" borderId="4" xfId="4" applyNumberFormat="1" applyFont="1" applyBorder="1" applyAlignment="1">
      <alignment vertical="center"/>
    </xf>
    <xf numFmtId="171" fontId="29" fillId="0" borderId="4" xfId="6" applyNumberFormat="1" applyFont="1" applyBorder="1" applyAlignment="1">
      <alignment horizontal="right" vertical="center"/>
    </xf>
    <xf numFmtId="1" fontId="29" fillId="2" borderId="4" xfId="7" applyNumberFormat="1" applyFont="1" applyFill="1" applyBorder="1" applyAlignment="1">
      <alignment horizontal="center" vertical="center" wrapText="1"/>
    </xf>
    <xf numFmtId="171" fontId="29" fillId="0" borderId="4" xfId="4" applyNumberFormat="1" applyFont="1" applyBorder="1" applyAlignment="1">
      <alignment horizontal="right" vertical="center"/>
    </xf>
    <xf numFmtId="1" fontId="29" fillId="0" borderId="4" xfId="4" applyNumberFormat="1" applyFont="1" applyBorder="1" applyAlignment="1">
      <alignment vertical="center"/>
    </xf>
    <xf numFmtId="171" fontId="22" fillId="2" borderId="9" xfId="1" applyNumberFormat="1" applyFont="1" applyFill="1" applyBorder="1"/>
    <xf numFmtId="3" fontId="22" fillId="0" borderId="4" xfId="4" applyNumberFormat="1" applyFont="1" applyBorder="1" applyAlignment="1">
      <alignment vertical="center"/>
    </xf>
    <xf numFmtId="1" fontId="29" fillId="2" borderId="5" xfId="7" applyNumberFormat="1" applyFont="1" applyFill="1" applyBorder="1" applyAlignment="1">
      <alignment horizontal="center" vertical="center" wrapText="1"/>
    </xf>
    <xf numFmtId="171" fontId="29" fillId="2" borderId="6" xfId="6" applyNumberFormat="1" applyFont="1" applyFill="1" applyBorder="1" applyAlignment="1">
      <alignment horizontal="right" vertical="center"/>
    </xf>
    <xf numFmtId="0" fontId="19" fillId="0" borderId="5" xfId="0" applyFont="1" applyBorder="1" applyAlignment="1">
      <alignment vertical="center"/>
    </xf>
    <xf numFmtId="0" fontId="29" fillId="0" borderId="14" xfId="4" applyFont="1" applyBorder="1" applyAlignment="1">
      <alignment horizontal="center" vertical="center"/>
    </xf>
    <xf numFmtId="3" fontId="29" fillId="0" borderId="11" xfId="4" applyNumberFormat="1" applyFont="1" applyBorder="1" applyAlignment="1">
      <alignment vertical="center"/>
    </xf>
    <xf numFmtId="0" fontId="22" fillId="2" borderId="4" xfId="4" applyFont="1" applyFill="1" applyBorder="1" applyAlignment="1">
      <alignment horizontal="center" vertical="center"/>
    </xf>
    <xf numFmtId="4" fontId="22" fillId="2" borderId="4" xfId="4" applyNumberFormat="1" applyFont="1" applyFill="1" applyBorder="1" applyAlignment="1">
      <alignment vertical="center"/>
    </xf>
    <xf numFmtId="1" fontId="22" fillId="2" borderId="5" xfId="7" applyNumberFormat="1" applyFont="1" applyFill="1" applyBorder="1" applyAlignment="1">
      <alignment horizontal="center" vertical="center" wrapText="1"/>
    </xf>
    <xf numFmtId="0" fontId="30" fillId="0" borderId="4" xfId="0" applyFont="1" applyBorder="1" applyAlignment="1">
      <alignment vertical="center"/>
    </xf>
    <xf numFmtId="4" fontId="22" fillId="0" borderId="5" xfId="4" applyNumberFormat="1" applyFont="1" applyBorder="1" applyAlignment="1">
      <alignment vertical="center"/>
    </xf>
    <xf numFmtId="171" fontId="22" fillId="0" borderId="14" xfId="6" applyNumberFormat="1" applyFont="1" applyBorder="1" applyAlignment="1">
      <alignment horizontal="right" vertical="center"/>
    </xf>
    <xf numFmtId="1" fontId="22" fillId="0" borderId="9" xfId="7" applyNumberFormat="1" applyFont="1" applyBorder="1" applyAlignment="1">
      <alignment horizontal="center" vertical="center" wrapText="1"/>
    </xf>
    <xf numFmtId="171" fontId="22" fillId="0" borderId="9" xfId="1" applyNumberFormat="1" applyFont="1" applyBorder="1"/>
    <xf numFmtId="171" fontId="22" fillId="0" borderId="12" xfId="1" applyNumberFormat="1" applyFont="1" applyBorder="1"/>
    <xf numFmtId="171" fontId="29" fillId="0" borderId="9" xfId="3" applyNumberFormat="1" applyFont="1" applyBorder="1" applyAlignment="1">
      <alignment horizontal="right" vertical="center"/>
    </xf>
    <xf numFmtId="171" fontId="29" fillId="0" borderId="5" xfId="3" applyNumberFormat="1" applyFont="1" applyBorder="1" applyAlignment="1">
      <alignment horizontal="right" vertical="center"/>
    </xf>
    <xf numFmtId="1" fontId="29" fillId="0" borderId="3" xfId="7" applyNumberFormat="1" applyFont="1" applyBorder="1" applyAlignment="1">
      <alignment horizontal="center" vertical="center" wrapText="1"/>
    </xf>
    <xf numFmtId="171" fontId="19" fillId="0" borderId="2" xfId="7" applyNumberFormat="1" applyFont="1" applyBorder="1" applyAlignment="1">
      <alignment vertical="center"/>
    </xf>
    <xf numFmtId="171" fontId="19" fillId="0" borderId="5" xfId="7" applyNumberFormat="1" applyFont="1" applyBorder="1" applyAlignment="1">
      <alignment vertical="center"/>
    </xf>
    <xf numFmtId="171" fontId="30" fillId="0" borderId="5" xfId="6" applyNumberFormat="1" applyFont="1" applyBorder="1" applyAlignment="1">
      <alignment horizontal="right" vertical="center"/>
    </xf>
    <xf numFmtId="1" fontId="29" fillId="0" borderId="5" xfId="7" applyNumberFormat="1" applyFont="1" applyBorder="1" applyAlignment="1">
      <alignment horizontal="center" vertical="center" wrapText="1"/>
    </xf>
    <xf numFmtId="1" fontId="28" fillId="2" borderId="4" xfId="4" applyNumberFormat="1" applyFont="1" applyFill="1" applyBorder="1" applyAlignment="1">
      <alignment horizontal="center" vertical="center" wrapText="1"/>
    </xf>
    <xf numFmtId="1" fontId="22" fillId="0" borderId="4" xfId="4" applyNumberFormat="1" applyFont="1" applyBorder="1" applyAlignment="1">
      <alignment vertical="center"/>
    </xf>
    <xf numFmtId="1" fontId="22" fillId="0" borderId="4" xfId="4" applyNumberFormat="1" applyFont="1" applyBorder="1" applyAlignment="1">
      <alignment horizontal="center" vertical="center"/>
    </xf>
    <xf numFmtId="1" fontId="22" fillId="2" borderId="5" xfId="4" applyNumberFormat="1" applyFont="1" applyFill="1" applyBorder="1" applyAlignment="1">
      <alignment horizontal="center" vertical="center" wrapText="1"/>
    </xf>
    <xf numFmtId="1" fontId="29" fillId="2" borderId="5" xfId="4" applyNumberFormat="1" applyFont="1" applyFill="1" applyBorder="1" applyAlignment="1">
      <alignment horizontal="center" vertical="center" wrapText="1"/>
    </xf>
    <xf numFmtId="171" fontId="29" fillId="2" borderId="4" xfId="1" applyNumberFormat="1" applyFont="1" applyFill="1" applyBorder="1"/>
    <xf numFmtId="171" fontId="28" fillId="2" borderId="5" xfId="6" applyNumberFormat="1" applyFont="1" applyFill="1" applyBorder="1" applyAlignment="1">
      <alignment horizontal="right" vertical="center"/>
    </xf>
    <xf numFmtId="0" fontId="88" fillId="0" borderId="4" xfId="9" applyFont="1" applyBorder="1" applyAlignment="1">
      <alignment horizontal="center" vertical="center"/>
    </xf>
    <xf numFmtId="171" fontId="27" fillId="9" borderId="4" xfId="6" applyNumberFormat="1" applyFont="1" applyFill="1" applyBorder="1" applyAlignment="1">
      <alignment horizontal="right" vertical="center"/>
    </xf>
    <xf numFmtId="171" fontId="20" fillId="9" borderId="4" xfId="6" applyNumberFormat="1" applyFont="1" applyFill="1" applyBorder="1" applyAlignment="1">
      <alignment horizontal="right" vertical="center"/>
    </xf>
    <xf numFmtId="0" fontId="88" fillId="0" borderId="11" xfId="9" applyFont="1" applyBorder="1" applyAlignment="1">
      <alignment horizontal="center" vertical="center"/>
    </xf>
    <xf numFmtId="0" fontId="88" fillId="0" borderId="13" xfId="9" applyFont="1" applyBorder="1" applyAlignment="1">
      <alignment horizontal="center" vertical="center"/>
    </xf>
    <xf numFmtId="168" fontId="19" fillId="0" borderId="6" xfId="0" applyNumberFormat="1" applyFont="1" applyBorder="1" applyAlignment="1">
      <alignment vertical="center"/>
    </xf>
    <xf numFmtId="0" fontId="19" fillId="0" borderId="6" xfId="0" applyFont="1" applyBorder="1" applyAlignment="1">
      <alignment vertical="center"/>
    </xf>
    <xf numFmtId="171" fontId="19" fillId="0" borderId="6" xfId="0" applyNumberFormat="1" applyFont="1" applyBorder="1" applyAlignment="1">
      <alignment vertical="center"/>
    </xf>
    <xf numFmtId="1" fontId="31" fillId="2" borderId="6" xfId="4" applyNumberFormat="1" applyFont="1" applyFill="1" applyBorder="1" applyAlignment="1">
      <alignment horizontal="center" vertical="center" wrapText="1"/>
    </xf>
    <xf numFmtId="1" fontId="30" fillId="2" borderId="10" xfId="4" applyNumberFormat="1" applyFont="1" applyFill="1" applyBorder="1" applyAlignment="1">
      <alignment horizontal="center" vertical="center" wrapText="1"/>
    </xf>
    <xf numFmtId="171" fontId="29" fillId="0" borderId="6" xfId="3" applyNumberFormat="1" applyFont="1" applyBorder="1" applyAlignment="1">
      <alignment horizontal="right" vertical="center"/>
    </xf>
    <xf numFmtId="1" fontId="20" fillId="0" borderId="5" xfId="4" applyNumberFormat="1" applyFont="1" applyBorder="1" applyAlignment="1">
      <alignment horizontal="center" vertical="center" wrapText="1"/>
    </xf>
    <xf numFmtId="171" fontId="29" fillId="0" borderId="2" xfId="6" applyNumberFormat="1" applyFont="1" applyBorder="1" applyAlignment="1">
      <alignment horizontal="right" vertical="center"/>
    </xf>
    <xf numFmtId="171" fontId="19" fillId="0" borderId="9" xfId="6" applyNumberFormat="1" applyFont="1" applyBorder="1" applyAlignment="1">
      <alignment horizontal="right" vertical="center"/>
    </xf>
    <xf numFmtId="0" fontId="21" fillId="7" borderId="27" xfId="0" applyFont="1" applyFill="1" applyBorder="1" applyAlignment="1">
      <alignment horizontal="center" vertical="center"/>
    </xf>
    <xf numFmtId="0" fontId="29" fillId="0" borderId="25" xfId="0" applyFont="1" applyBorder="1" applyAlignment="1">
      <alignment horizontal="center" vertical="center"/>
    </xf>
    <xf numFmtId="0" fontId="90" fillId="5" borderId="4" xfId="0" applyFont="1" applyFill="1" applyBorder="1"/>
    <xf numFmtId="0" fontId="88" fillId="0" borderId="9" xfId="9" applyFont="1" applyBorder="1" applyAlignment="1">
      <alignment horizontal="left" vertical="center"/>
    </xf>
    <xf numFmtId="0" fontId="88" fillId="0" borderId="4" xfId="9" applyFont="1" applyBorder="1" applyAlignment="1">
      <alignment horizontal="left" vertical="center"/>
    </xf>
    <xf numFmtId="171" fontId="29" fillId="2" borderId="4" xfId="1" applyNumberFormat="1" applyFont="1" applyFill="1" applyBorder="1" applyAlignment="1">
      <alignment horizontal="center"/>
    </xf>
    <xf numFmtId="49" fontId="29" fillId="0" borderId="14" xfId="4" applyNumberFormat="1" applyFont="1" applyBorder="1" applyAlignment="1">
      <alignment horizontal="center" vertical="center"/>
    </xf>
    <xf numFmtId="171" fontId="31" fillId="0" borderId="5" xfId="3" applyNumberFormat="1" applyFont="1" applyBorder="1" applyAlignment="1">
      <alignment horizontal="right" vertical="center"/>
    </xf>
    <xf numFmtId="0" fontId="22" fillId="0" borderId="4" xfId="4" applyFont="1" applyBorder="1" applyAlignment="1">
      <alignment horizontal="center" vertical="center" wrapText="1"/>
    </xf>
    <xf numFmtId="171" fontId="22" fillId="0" borderId="6" xfId="4" applyNumberFormat="1" applyFont="1" applyBorder="1" applyAlignment="1">
      <alignment horizontal="center"/>
    </xf>
    <xf numFmtId="171" fontId="22" fillId="0" borderId="4" xfId="0" applyNumberFormat="1" applyFont="1" applyBorder="1" applyAlignment="1">
      <alignment vertical="center"/>
    </xf>
    <xf numFmtId="16" fontId="29" fillId="0" borderId="28" xfId="0" applyNumberFormat="1" applyFont="1" applyBorder="1" applyAlignment="1">
      <alignment horizontal="center" vertical="center"/>
    </xf>
    <xf numFmtId="1" fontId="29" fillId="2" borderId="6" xfId="4" applyNumberFormat="1" applyFont="1" applyFill="1" applyBorder="1" applyAlignment="1">
      <alignment horizontal="center" vertical="center" wrapText="1"/>
    </xf>
    <xf numFmtId="1" fontId="22" fillId="0" borderId="5" xfId="4" applyNumberFormat="1" applyFont="1" applyBorder="1" applyAlignment="1">
      <alignment horizontal="center" vertical="center" wrapText="1"/>
    </xf>
    <xf numFmtId="173" fontId="29" fillId="2" borderId="12" xfId="0" applyNumberFormat="1" applyFont="1" applyFill="1" applyBorder="1" applyAlignment="1">
      <alignment horizontal="left" vertical="center"/>
    </xf>
    <xf numFmtId="173" fontId="29" fillId="2" borderId="12" xfId="0" applyNumberFormat="1" applyFont="1" applyFill="1" applyBorder="1" applyAlignment="1">
      <alignment vertical="center"/>
    </xf>
    <xf numFmtId="171" fontId="29" fillId="2" borderId="12" xfId="0" applyNumberFormat="1" applyFont="1" applyFill="1" applyBorder="1" applyAlignment="1">
      <alignment vertical="center"/>
    </xf>
    <xf numFmtId="0" fontId="22" fillId="5" borderId="4" xfId="0" applyFont="1" applyFill="1" applyBorder="1"/>
    <xf numFmtId="0" fontId="22" fillId="0" borderId="4" xfId="0" applyFont="1" applyBorder="1" applyAlignment="1">
      <alignment vertical="center"/>
    </xf>
    <xf numFmtId="171" fontId="22" fillId="0" borderId="11" xfId="0" applyNumberFormat="1" applyFont="1" applyBorder="1" applyAlignment="1">
      <alignment vertical="center"/>
    </xf>
    <xf numFmtId="0" fontId="19" fillId="0" borderId="28" xfId="0" applyFont="1" applyBorder="1" applyAlignment="1">
      <alignment horizontal="center" vertical="center"/>
    </xf>
    <xf numFmtId="0" fontId="29" fillId="0" borderId="4" xfId="0" applyFont="1" applyBorder="1" applyAlignment="1">
      <alignment horizontal="left" vertical="center"/>
    </xf>
    <xf numFmtId="41" fontId="29" fillId="0" borderId="4" xfId="2" applyFont="1" applyBorder="1" applyAlignment="1">
      <alignment vertical="center"/>
    </xf>
    <xf numFmtId="171" fontId="29" fillId="0" borderId="4" xfId="0" applyNumberFormat="1" applyFont="1" applyBorder="1" applyAlignment="1">
      <alignment vertical="center"/>
    </xf>
    <xf numFmtId="0" fontId="29" fillId="0" borderId="4" xfId="4" applyFont="1" applyBorder="1" applyAlignment="1">
      <alignment horizontal="center" wrapText="1"/>
    </xf>
    <xf numFmtId="171" fontId="19" fillId="0" borderId="4" xfId="0" applyNumberFormat="1" applyFont="1" applyBorder="1" applyAlignment="1">
      <alignment vertical="center"/>
    </xf>
    <xf numFmtId="1" fontId="29" fillId="0" borderId="4" xfId="4" applyNumberFormat="1" applyFont="1" applyBorder="1" applyAlignment="1">
      <alignment horizontal="center" wrapText="1"/>
    </xf>
    <xf numFmtId="0" fontId="29" fillId="0" borderId="0" xfId="0" applyFont="1" applyAlignment="1">
      <alignment horizontal="center" vertical="center"/>
    </xf>
    <xf numFmtId="174" fontId="94" fillId="0" borderId="0" xfId="1" applyNumberFormat="1" applyFont="1" applyAlignment="1">
      <alignment horizontal="center" vertical="center"/>
    </xf>
    <xf numFmtId="174" fontId="29" fillId="2" borderId="0" xfId="1" applyNumberFormat="1" applyFont="1" applyFill="1" applyAlignment="1">
      <alignment horizontal="center" vertical="center"/>
    </xf>
    <xf numFmtId="174" fontId="29" fillId="2" borderId="0" xfId="1" applyNumberFormat="1" applyFont="1" applyFill="1" applyAlignment="1">
      <alignment vertical="center"/>
    </xf>
    <xf numFmtId="171" fontId="29" fillId="2" borderId="0" xfId="1" applyNumberFormat="1" applyFont="1" applyFill="1" applyAlignment="1">
      <alignment horizontal="center" vertical="center"/>
    </xf>
    <xf numFmtId="171" fontId="31" fillId="2" borderId="0" xfId="1" applyNumberFormat="1" applyFont="1" applyFill="1" applyAlignment="1">
      <alignment horizontal="center" vertical="center"/>
    </xf>
    <xf numFmtId="0" fontId="22" fillId="2" borderId="0" xfId="4" applyFont="1" applyFill="1" applyAlignment="1">
      <alignment horizontal="center" wrapText="1"/>
    </xf>
    <xf numFmtId="171" fontId="22" fillId="2" borderId="0" xfId="4" applyNumberFormat="1" applyFont="1" applyFill="1"/>
    <xf numFmtId="0" fontId="30" fillId="0" borderId="0" xfId="0" applyFont="1" applyAlignment="1">
      <alignment horizontal="center" vertical="center"/>
    </xf>
    <xf numFmtId="171" fontId="22" fillId="0" borderId="5" xfId="6" applyNumberFormat="1" applyFont="1" applyBorder="1" applyAlignment="1">
      <alignment horizontal="right" vertical="center"/>
    </xf>
    <xf numFmtId="1" fontId="22" fillId="0" borderId="4" xfId="4" applyNumberFormat="1" applyFont="1" applyBorder="1" applyAlignment="1">
      <alignment horizontal="center" vertical="center" wrapText="1"/>
    </xf>
    <xf numFmtId="171" fontId="22" fillId="0" borderId="4" xfId="1" applyNumberFormat="1" applyFont="1" applyBorder="1"/>
    <xf numFmtId="1" fontId="29" fillId="0" borderId="5" xfId="4" applyNumberFormat="1" applyFont="1" applyBorder="1" applyAlignment="1">
      <alignment horizontal="center" vertical="center" wrapText="1"/>
    </xf>
    <xf numFmtId="171" fontId="29" fillId="0" borderId="4" xfId="1" applyNumberFormat="1" applyFont="1" applyBorder="1"/>
    <xf numFmtId="173" fontId="29" fillId="0" borderId="12" xfId="0" applyNumberFormat="1" applyFont="1" applyBorder="1" applyAlignment="1">
      <alignment horizontal="left" vertical="center"/>
    </xf>
    <xf numFmtId="174" fontId="22" fillId="0" borderId="9" xfId="1" applyNumberFormat="1" applyFont="1" applyBorder="1" applyAlignment="1">
      <alignment horizontal="left" vertical="center"/>
    </xf>
    <xf numFmtId="41" fontId="22" fillId="0" borderId="9" xfId="2" applyFont="1" applyBorder="1" applyAlignment="1">
      <alignment vertical="center"/>
    </xf>
    <xf numFmtId="171" fontId="22" fillId="0" borderId="9" xfId="0" applyNumberFormat="1" applyFont="1" applyBorder="1" applyAlignment="1">
      <alignment vertical="center"/>
    </xf>
    <xf numFmtId="0" fontId="22" fillId="0" borderId="4" xfId="4" applyFont="1" applyBorder="1" applyAlignment="1">
      <alignment horizontal="center" wrapText="1"/>
    </xf>
    <xf numFmtId="171" fontId="22" fillId="0" borderId="4" xfId="4" applyNumberFormat="1" applyFont="1" applyBorder="1"/>
    <xf numFmtId="174" fontId="22" fillId="0" borderId="4" xfId="1" applyNumberFormat="1" applyFont="1" applyBorder="1" applyAlignment="1">
      <alignment horizontal="left" vertical="center"/>
    </xf>
    <xf numFmtId="0" fontId="22" fillId="0" borderId="4" xfId="0" applyFont="1" applyBorder="1" applyAlignment="1">
      <alignment horizontal="left" vertical="center"/>
    </xf>
    <xf numFmtId="1" fontId="22" fillId="0" borderId="4" xfId="4" applyNumberFormat="1" applyFont="1" applyBorder="1" applyAlignment="1">
      <alignment horizontal="center" wrapText="1"/>
    </xf>
    <xf numFmtId="0" fontId="20" fillId="0" borderId="4" xfId="0" applyFont="1" applyBorder="1" applyAlignment="1">
      <alignment vertical="center"/>
    </xf>
    <xf numFmtId="174" fontId="20" fillId="0" borderId="6" xfId="1" applyNumberFormat="1" applyFont="1" applyBorder="1" applyAlignment="1">
      <alignment horizontal="left" vertical="center"/>
    </xf>
    <xf numFmtId="0" fontId="27" fillId="0" borderId="6" xfId="0" applyFont="1" applyBorder="1" applyAlignment="1">
      <alignment horizontal="left" vertical="center"/>
    </xf>
    <xf numFmtId="0" fontId="20" fillId="0" borderId="6" xfId="0" applyFont="1" applyBorder="1" applyAlignment="1">
      <alignment vertical="center"/>
    </xf>
    <xf numFmtId="171" fontId="22" fillId="9" borderId="6" xfId="0" applyNumberFormat="1" applyFont="1" applyFill="1" applyBorder="1" applyAlignment="1">
      <alignment vertical="center"/>
    </xf>
    <xf numFmtId="0" fontId="19" fillId="0" borderId="4" xfId="0" applyFont="1" applyBorder="1" applyAlignment="1">
      <alignment horizontal="left" vertical="center"/>
    </xf>
    <xf numFmtId="41" fontId="19" fillId="0" borderId="4" xfId="2" applyFont="1" applyBorder="1" applyAlignment="1">
      <alignment vertical="center"/>
    </xf>
    <xf numFmtId="0" fontId="19" fillId="0" borderId="11" xfId="4" applyFont="1" applyBorder="1" applyAlignment="1">
      <alignment horizontal="center" wrapText="1"/>
    </xf>
    <xf numFmtId="171" fontId="19" fillId="0" borderId="4" xfId="1" applyNumberFormat="1" applyFont="1" applyBorder="1" applyAlignment="1">
      <alignment horizontal="center" vertical="center"/>
    </xf>
    <xf numFmtId="0" fontId="19" fillId="0" borderId="0" xfId="0" applyFont="1" applyAlignment="1">
      <alignment horizontal="left" vertical="center"/>
    </xf>
    <xf numFmtId="171" fontId="19" fillId="0" borderId="0" xfId="3" applyNumberFormat="1" applyFont="1" applyAlignment="1">
      <alignment horizontal="right" vertical="center"/>
    </xf>
    <xf numFmtId="171" fontId="19" fillId="0" borderId="0" xfId="1" applyNumberFormat="1" applyFont="1" applyAlignment="1">
      <alignment horizontal="center" vertical="center"/>
    </xf>
    <xf numFmtId="0" fontId="19" fillId="0" borderId="0" xfId="0" applyFont="1" applyAlignment="1">
      <alignment horizontal="center" vertical="center"/>
    </xf>
    <xf numFmtId="1" fontId="22" fillId="0" borderId="11" xfId="4" applyNumberFormat="1" applyFont="1" applyBorder="1" applyAlignment="1">
      <alignment vertical="center"/>
    </xf>
    <xf numFmtId="0" fontId="29" fillId="0" borderId="23" xfId="0" applyFont="1" applyBorder="1" applyAlignment="1">
      <alignment horizontal="center" vertical="center"/>
    </xf>
    <xf numFmtId="176" fontId="20" fillId="0" borderId="6" xfId="0" applyNumberFormat="1" applyFont="1" applyBorder="1" applyAlignment="1">
      <alignment vertical="center"/>
    </xf>
    <xf numFmtId="174" fontId="22" fillId="0" borderId="6" xfId="1" applyNumberFormat="1" applyFont="1" applyBorder="1" applyAlignment="1">
      <alignment horizontal="left" vertical="center"/>
    </xf>
    <xf numFmtId="0" fontId="20" fillId="0" borderId="15" xfId="0" applyFont="1" applyBorder="1" applyAlignment="1">
      <alignment vertical="center"/>
    </xf>
    <xf numFmtId="1" fontId="22" fillId="0" borderId="11" xfId="4" applyNumberFormat="1" applyFont="1" applyBorder="1" applyAlignment="1">
      <alignment horizontal="center" wrapText="1"/>
    </xf>
    <xf numFmtId="172" fontId="19" fillId="0" borderId="11" xfId="4" applyNumberFormat="1" applyFont="1" applyBorder="1" applyAlignment="1">
      <alignment horizontal="center" wrapText="1"/>
    </xf>
    <xf numFmtId="171" fontId="29" fillId="0" borderId="2" xfId="0" applyNumberFormat="1" applyFont="1" applyBorder="1" applyAlignment="1">
      <alignment vertical="center"/>
    </xf>
    <xf numFmtId="1" fontId="29" fillId="0" borderId="11" xfId="4" applyNumberFormat="1" applyFont="1" applyBorder="1" applyAlignment="1">
      <alignment horizontal="center" wrapText="1"/>
    </xf>
    <xf numFmtId="174" fontId="29" fillId="2" borderId="4" xfId="1" applyNumberFormat="1" applyFont="1" applyFill="1" applyBorder="1" applyAlignment="1">
      <alignment horizontal="left" vertical="center"/>
    </xf>
    <xf numFmtId="173" fontId="19" fillId="2" borderId="4" xfId="0" applyNumberFormat="1" applyFont="1" applyFill="1" applyBorder="1" applyAlignment="1">
      <alignment horizontal="center" vertical="center"/>
    </xf>
    <xf numFmtId="173" fontId="19" fillId="2" borderId="4" xfId="0" applyNumberFormat="1" applyFont="1" applyFill="1" applyBorder="1" applyAlignment="1">
      <alignment vertical="center"/>
    </xf>
    <xf numFmtId="171" fontId="19" fillId="2" borderId="4" xfId="0" applyNumberFormat="1" applyFont="1" applyFill="1" applyBorder="1" applyAlignment="1">
      <alignment horizontal="center" vertical="center"/>
    </xf>
    <xf numFmtId="171" fontId="31" fillId="2" borderId="4" xfId="0" applyNumberFormat="1" applyFont="1" applyFill="1" applyBorder="1" applyAlignment="1">
      <alignment horizontal="center" vertical="center"/>
    </xf>
    <xf numFmtId="173" fontId="20" fillId="2" borderId="6" xfId="0" applyNumberFormat="1" applyFont="1" applyFill="1" applyBorder="1" applyAlignment="1">
      <alignment horizontal="left" vertical="center"/>
    </xf>
    <xf numFmtId="173" fontId="22" fillId="0" borderId="6" xfId="0" applyNumberFormat="1" applyFont="1" applyBorder="1" applyAlignment="1">
      <alignment horizontal="left" vertical="center"/>
    </xf>
    <xf numFmtId="0" fontId="20" fillId="0" borderId="11" xfId="0" applyFont="1" applyBorder="1" applyAlignment="1">
      <alignment horizontal="center" vertical="center"/>
    </xf>
    <xf numFmtId="171" fontId="29" fillId="9" borderId="6" xfId="0" applyNumberFormat="1" applyFont="1" applyFill="1" applyBorder="1" applyAlignment="1">
      <alignment vertical="center"/>
    </xf>
    <xf numFmtId="171" fontId="29" fillId="2" borderId="6" xfId="0" applyNumberFormat="1" applyFont="1" applyFill="1" applyBorder="1" applyAlignment="1">
      <alignment vertical="center"/>
    </xf>
    <xf numFmtId="1" fontId="29" fillId="2" borderId="6" xfId="4" applyNumberFormat="1" applyFont="1" applyFill="1" applyBorder="1" applyAlignment="1">
      <alignment horizontal="center" wrapText="1"/>
    </xf>
    <xf numFmtId="0" fontId="19" fillId="0" borderId="29" xfId="0" applyFont="1" applyBorder="1" applyAlignment="1">
      <alignment horizontal="center" vertical="center"/>
    </xf>
    <xf numFmtId="2" fontId="19" fillId="0" borderId="4" xfId="0" applyNumberFormat="1" applyFont="1" applyBorder="1" applyAlignment="1">
      <alignment horizontal="left" vertical="center"/>
    </xf>
    <xf numFmtId="2" fontId="19" fillId="0" borderId="4" xfId="0" applyNumberFormat="1" applyFont="1" applyBorder="1" applyAlignment="1">
      <alignment vertical="center"/>
    </xf>
    <xf numFmtId="0" fontId="20" fillId="0" borderId="4" xfId="4" applyFont="1" applyBorder="1" applyAlignment="1">
      <alignment horizontal="center" wrapText="1"/>
    </xf>
    <xf numFmtId="43" fontId="21" fillId="7" borderId="2" xfId="0" applyNumberFormat="1" applyFont="1" applyFill="1" applyBorder="1" applyAlignment="1">
      <alignment horizontal="right"/>
    </xf>
    <xf numFmtId="43" fontId="21" fillId="7" borderId="2" xfId="0" applyNumberFormat="1" applyFont="1" applyFill="1" applyBorder="1" applyAlignment="1">
      <alignment horizontal="right" wrapText="1"/>
    </xf>
    <xf numFmtId="0" fontId="21" fillId="7" borderId="2" xfId="0" applyFont="1" applyFill="1" applyBorder="1" applyAlignment="1">
      <alignment horizontal="center" vertical="center" wrapText="1"/>
    </xf>
    <xf numFmtId="0" fontId="21" fillId="7" borderId="2" xfId="0" applyFont="1" applyFill="1" applyBorder="1" applyAlignment="1">
      <alignment horizontal="center" vertical="center"/>
    </xf>
    <xf numFmtId="3" fontId="21" fillId="7" borderId="2" xfId="0" applyNumberFormat="1" applyFont="1" applyFill="1" applyBorder="1" applyAlignment="1">
      <alignment horizontal="center" vertical="center" wrapText="1"/>
    </xf>
    <xf numFmtId="0" fontId="27" fillId="0" borderId="2" xfId="0" applyFont="1" applyBorder="1" applyAlignment="1">
      <alignment horizontal="left"/>
    </xf>
    <xf numFmtId="165" fontId="27" fillId="0" borderId="2" xfId="3" applyFont="1" applyBorder="1"/>
    <xf numFmtId="0" fontId="27" fillId="0" borderId="2" xfId="0" applyFont="1" applyBorder="1"/>
    <xf numFmtId="0" fontId="27" fillId="0" borderId="2" xfId="0" applyFont="1" applyBorder="1" applyAlignment="1">
      <alignment horizontal="right"/>
    </xf>
    <xf numFmtId="165" fontId="30" fillId="0" borderId="2" xfId="3" applyFont="1" applyBorder="1"/>
    <xf numFmtId="165" fontId="27" fillId="0" borderId="0" xfId="0" applyNumberFormat="1" applyFont="1"/>
    <xf numFmtId="177" fontId="27" fillId="0" borderId="2" xfId="3" applyNumberFormat="1" applyFont="1" applyBorder="1"/>
    <xf numFmtId="0" fontId="27" fillId="0" borderId="2" xfId="0" applyFont="1" applyBorder="1" applyAlignment="1">
      <alignment vertical="center"/>
    </xf>
    <xf numFmtId="177" fontId="20" fillId="0" borderId="2" xfId="0" applyNumberFormat="1" applyFont="1" applyBorder="1"/>
    <xf numFmtId="10" fontId="21" fillId="7" borderId="2" xfId="55" applyNumberFormat="1" applyFont="1" applyFill="1" applyBorder="1" applyAlignment="1">
      <alignment horizontal="center" vertical="center"/>
    </xf>
    <xf numFmtId="177" fontId="27" fillId="0" borderId="2" xfId="0" applyNumberFormat="1" applyFont="1" applyBorder="1" applyAlignment="1">
      <alignment vertical="center"/>
    </xf>
    <xf numFmtId="10" fontId="21" fillId="7" borderId="2" xfId="0" applyNumberFormat="1" applyFont="1" applyFill="1" applyBorder="1" applyAlignment="1">
      <alignment horizontal="center" vertical="center"/>
    </xf>
    <xf numFmtId="177" fontId="19" fillId="0" borderId="30" xfId="0" applyNumberFormat="1" applyFont="1" applyBorder="1"/>
    <xf numFmtId="177" fontId="19" fillId="0" borderId="4" xfId="0" applyNumberFormat="1" applyFont="1" applyBorder="1"/>
    <xf numFmtId="177" fontId="19" fillId="0" borderId="77" xfId="0" applyNumberFormat="1" applyFont="1" applyBorder="1"/>
    <xf numFmtId="0" fontId="20" fillId="0" borderId="0" xfId="0" applyFont="1" applyAlignment="1">
      <alignment horizontal="center" vertical="center" wrapText="1"/>
    </xf>
    <xf numFmtId="0" fontId="20" fillId="0" borderId="0" xfId="0" applyFont="1" applyAlignment="1">
      <alignment wrapText="1"/>
    </xf>
    <xf numFmtId="0" fontId="93" fillId="0" borderId="0" xfId="0" applyFont="1" applyAlignment="1">
      <alignment horizontal="center" vertical="center"/>
    </xf>
    <xf numFmtId="0" fontId="93" fillId="0" borderId="0" xfId="0" applyFont="1" applyAlignment="1">
      <alignment wrapText="1"/>
    </xf>
    <xf numFmtId="0" fontId="79" fillId="7" borderId="2" xfId="0" applyFont="1" applyFill="1" applyBorder="1" applyAlignment="1">
      <alignment horizontal="center" vertical="center"/>
    </xf>
    <xf numFmtId="0" fontId="29" fillId="0" borderId="2" xfId="0" applyFont="1" applyBorder="1" applyAlignment="1">
      <alignment horizontal="right" vertical="center"/>
    </xf>
    <xf numFmtId="49" fontId="29" fillId="0" borderId="5" xfId="4" applyNumberFormat="1" applyFont="1" applyBorder="1" applyAlignment="1">
      <alignment horizontal="right" vertical="center"/>
    </xf>
    <xf numFmtId="49" fontId="29" fillId="0" borderId="14" xfId="4" applyNumberFormat="1" applyFont="1" applyBorder="1" applyAlignment="1">
      <alignment horizontal="right" vertical="center"/>
    </xf>
    <xf numFmtId="49" fontId="29" fillId="0" borderId="11" xfId="4" applyNumberFormat="1" applyFont="1" applyBorder="1" applyAlignment="1">
      <alignment horizontal="right" vertical="center"/>
    </xf>
    <xf numFmtId="0" fontId="29" fillId="0" borderId="28" xfId="0" applyFont="1" applyBorder="1" applyAlignment="1">
      <alignment horizontal="right" vertical="center"/>
    </xf>
    <xf numFmtId="0" fontId="29" fillId="0" borderId="14" xfId="0" applyFont="1" applyBorder="1" applyAlignment="1">
      <alignment horizontal="right" vertical="center"/>
    </xf>
    <xf numFmtId="0" fontId="29" fillId="0" borderId="78" xfId="0" applyFont="1" applyBorder="1" applyAlignment="1">
      <alignment horizontal="right" vertical="center"/>
    </xf>
    <xf numFmtId="0" fontId="78" fillId="8" borderId="2" xfId="0" applyFont="1" applyFill="1" applyBorder="1" applyAlignment="1">
      <alignment horizontal="center" vertical="center" wrapText="1"/>
    </xf>
    <xf numFmtId="0" fontId="29" fillId="0" borderId="8" xfId="0" applyFont="1" applyBorder="1" applyAlignment="1">
      <alignment horizontal="right"/>
    </xf>
    <xf numFmtId="0" fontId="29" fillId="0" borderId="7" xfId="0" applyFont="1" applyBorder="1" applyAlignment="1">
      <alignment horizontal="right"/>
    </xf>
    <xf numFmtId="0" fontId="29" fillId="0" borderId="17" xfId="0" applyFont="1" applyBorder="1" applyAlignment="1">
      <alignment horizontal="right"/>
    </xf>
    <xf numFmtId="0" fontId="35" fillId="0" borderId="5" xfId="0" applyFont="1" applyBorder="1" applyAlignment="1">
      <alignment horizontal="left" vertical="center"/>
    </xf>
    <xf numFmtId="173" fontId="42" fillId="2" borderId="4" xfId="0" applyNumberFormat="1" applyFont="1" applyFill="1" applyBorder="1" applyAlignment="1">
      <alignment horizontal="center" vertical="center"/>
    </xf>
    <xf numFmtId="0" fontId="37" fillId="0" borderId="3" xfId="0" applyFont="1" applyBorder="1" applyAlignment="1">
      <alignment vertical="center"/>
    </xf>
    <xf numFmtId="0" fontId="35" fillId="0" borderId="2" xfId="0" applyFont="1" applyBorder="1" applyAlignment="1">
      <alignment horizontal="right"/>
    </xf>
    <xf numFmtId="0" fontId="19" fillId="0" borderId="3" xfId="0" applyFont="1" applyBorder="1" applyAlignment="1">
      <alignment vertical="center"/>
    </xf>
    <xf numFmtId="0" fontId="82" fillId="7" borderId="2" xfId="0" applyFont="1" applyFill="1" applyBorder="1" applyAlignment="1">
      <alignment horizontal="center" vertical="center" wrapText="1"/>
    </xf>
    <xf numFmtId="0" fontId="37" fillId="0" borderId="2" xfId="0" applyFont="1" applyBorder="1" applyAlignment="1">
      <alignment horizontal="right"/>
    </xf>
    <xf numFmtId="0" fontId="62" fillId="0" borderId="2" xfId="0" applyFont="1" applyBorder="1" applyAlignment="1">
      <alignment horizontal="right"/>
    </xf>
    <xf numFmtId="0" fontId="35" fillId="0" borderId="3" xfId="0" applyFont="1" applyBorder="1" applyAlignment="1">
      <alignment vertical="center"/>
    </xf>
    <xf numFmtId="0" fontId="35" fillId="0" borderId="4" xfId="0" applyFont="1" applyBorder="1" applyAlignment="1">
      <alignment vertical="center"/>
    </xf>
    <xf numFmtId="0" fontId="73" fillId="0" borderId="5" xfId="0" applyFont="1" applyBorder="1" applyAlignment="1">
      <alignment horizontal="center" vertical="center"/>
    </xf>
    <xf numFmtId="0" fontId="35" fillId="0" borderId="61" xfId="0" applyFont="1" applyBorder="1" applyAlignment="1">
      <alignment vertical="center"/>
    </xf>
    <xf numFmtId="0" fontId="38" fillId="0" borderId="5" xfId="0" applyFont="1" applyBorder="1" applyAlignment="1">
      <alignment horizontal="center" vertical="center"/>
    </xf>
    <xf numFmtId="0" fontId="35" fillId="0" borderId="5" xfId="0" applyFont="1" applyBorder="1" applyAlignment="1">
      <alignment vertical="center"/>
    </xf>
    <xf numFmtId="1" fontId="37" fillId="0" borderId="4" xfId="4" applyNumberFormat="1" applyFont="1" applyBorder="1" applyAlignment="1">
      <alignment vertical="center"/>
    </xf>
    <xf numFmtId="173" fontId="42" fillId="2" borderId="29" xfId="0" applyNumberFormat="1" applyFont="1" applyFill="1" applyBorder="1" applyAlignment="1">
      <alignment horizontal="center" vertical="center" wrapText="1"/>
    </xf>
    <xf numFmtId="0" fontId="38" fillId="0" borderId="10" xfId="0" applyFont="1" applyBorder="1" applyAlignment="1">
      <alignment horizontal="center" vertical="center"/>
    </xf>
    <xf numFmtId="1" fontId="37" fillId="0" borderId="3" xfId="4" applyNumberFormat="1" applyFont="1" applyBorder="1" applyAlignment="1">
      <alignment vertical="center"/>
    </xf>
    <xf numFmtId="173" fontId="42" fillId="2" borderId="19" xfId="0" applyNumberFormat="1" applyFont="1" applyFill="1" applyBorder="1" applyAlignment="1">
      <alignment horizontal="center" vertical="center"/>
    </xf>
    <xf numFmtId="173" fontId="42" fillId="2" borderId="62" xfId="0" applyNumberFormat="1" applyFont="1" applyFill="1" applyBorder="1" applyAlignment="1">
      <alignment horizontal="center" vertical="center"/>
    </xf>
    <xf numFmtId="0" fontId="30" fillId="0" borderId="5" xfId="0" applyFont="1" applyBorder="1" applyAlignment="1">
      <alignment horizontal="center" vertical="center" wrapText="1"/>
    </xf>
    <xf numFmtId="1" fontId="29" fillId="0" borderId="5" xfId="4" applyNumberFormat="1" applyFont="1" applyBorder="1" applyAlignment="1">
      <alignment horizontal="left" vertical="center" wrapText="1"/>
    </xf>
    <xf numFmtId="0" fontId="34" fillId="0" borderId="14" xfId="0" applyFont="1" applyBorder="1" applyAlignment="1">
      <alignment horizontal="center" vertical="center" wrapText="1"/>
    </xf>
    <xf numFmtId="0" fontId="77" fillId="8" borderId="24" xfId="0" applyFont="1" applyFill="1" applyBorder="1" applyAlignment="1">
      <alignment horizontal="center" vertical="center" wrapText="1"/>
    </xf>
    <xf numFmtId="0" fontId="75" fillId="8" borderId="24" xfId="0" applyFont="1" applyFill="1" applyBorder="1" applyAlignment="1">
      <alignment horizontal="center" vertical="center" wrapText="1"/>
    </xf>
    <xf numFmtId="0" fontId="20" fillId="0" borderId="4" xfId="0" applyFont="1" applyBorder="1" applyAlignment="1">
      <alignment wrapText="1"/>
    </xf>
    <xf numFmtId="0" fontId="65" fillId="0" borderId="5" xfId="0" applyFont="1" applyBorder="1" applyAlignment="1">
      <alignment horizontal="center" vertical="center"/>
    </xf>
    <xf numFmtId="0" fontId="21" fillId="8" borderId="4" xfId="0" applyFont="1" applyFill="1" applyBorder="1" applyAlignment="1">
      <alignment horizontal="center" vertical="center" wrapText="1"/>
    </xf>
    <xf numFmtId="0" fontId="21" fillId="8" borderId="4" xfId="0" applyFont="1" applyFill="1" applyBorder="1" applyAlignment="1">
      <alignment horizontal="justify" vertical="center" wrapText="1"/>
    </xf>
    <xf numFmtId="0" fontId="39" fillId="7" borderId="6" xfId="4" applyFont="1" applyFill="1" applyBorder="1" applyAlignment="1">
      <alignment horizontal="center" vertical="center" wrapText="1"/>
    </xf>
    <xf numFmtId="0" fontId="19" fillId="4" borderId="14" xfId="0" applyFont="1" applyFill="1" applyBorder="1" applyAlignment="1">
      <alignment horizontal="left"/>
    </xf>
    <xf numFmtId="0" fontId="21" fillId="7" borderId="6" xfId="4" applyFont="1" applyFill="1" applyBorder="1" applyAlignment="1">
      <alignment horizontal="center" vertical="center" wrapText="1"/>
    </xf>
    <xf numFmtId="0" fontId="20" fillId="0" borderId="14" xfId="0" applyFont="1" applyBorder="1" applyAlignment="1">
      <alignment wrapText="1"/>
    </xf>
    <xf numFmtId="49" fontId="29" fillId="2" borderId="74" xfId="5" applyNumberFormat="1" applyFont="1" applyFill="1" applyBorder="1" applyAlignment="1" applyProtection="1">
      <alignment horizontal="center" vertical="center"/>
    </xf>
    <xf numFmtId="1" fontId="29" fillId="0" borderId="4" xfId="4" applyNumberFormat="1" applyFont="1" applyBorder="1" applyAlignment="1">
      <alignment vertical="center" wrapText="1"/>
    </xf>
    <xf numFmtId="0" fontId="65" fillId="2" borderId="5" xfId="4" applyFont="1" applyFill="1" applyBorder="1" applyAlignment="1">
      <alignment horizontal="center" vertical="center"/>
    </xf>
    <xf numFmtId="1" fontId="29" fillId="0" borderId="6" xfId="4" applyNumberFormat="1" applyFont="1" applyBorder="1" applyAlignment="1">
      <alignment vertical="center" wrapText="1"/>
    </xf>
    <xf numFmtId="0" fontId="20" fillId="0" borderId="13" xfId="0" applyFont="1" applyBorder="1" applyAlignment="1">
      <alignment wrapText="1"/>
    </xf>
    <xf numFmtId="0" fontId="19" fillId="2" borderId="5" xfId="4" applyFont="1" applyFill="1" applyBorder="1" applyAlignment="1">
      <alignment horizontal="center" vertical="center"/>
    </xf>
    <xf numFmtId="0" fontId="35" fillId="2" borderId="5" xfId="4" applyFont="1" applyFill="1" applyBorder="1" applyAlignment="1">
      <alignment horizontal="center" vertical="center"/>
    </xf>
    <xf numFmtId="0" fontId="39" fillId="8" borderId="4" xfId="0" applyFont="1" applyFill="1" applyBorder="1" applyAlignment="1">
      <alignment horizontal="center" vertical="center" wrapText="1"/>
    </xf>
    <xf numFmtId="0" fontId="65" fillId="2" borderId="3" xfId="4" applyFont="1" applyFill="1" applyBorder="1" applyAlignment="1">
      <alignment horizontal="center" vertical="center"/>
    </xf>
    <xf numFmtId="1" fontId="21" fillId="7" borderId="4" xfId="4" applyNumberFormat="1" applyFont="1" applyFill="1" applyBorder="1" applyAlignment="1">
      <alignment horizontal="left" vertical="center" wrapText="1"/>
    </xf>
    <xf numFmtId="0" fontId="55" fillId="0" borderId="5" xfId="0" applyFont="1" applyBorder="1" applyAlignment="1">
      <alignment horizontal="left" vertical="center" wrapText="1"/>
    </xf>
    <xf numFmtId="0" fontId="7" fillId="0" borderId="4" xfId="0" applyFont="1" applyBorder="1" applyAlignment="1">
      <alignment horizontal="left" vertical="center" wrapText="1"/>
    </xf>
    <xf numFmtId="0" fontId="78" fillId="8" borderId="24" xfId="0" applyFont="1" applyFill="1" applyBorder="1" applyAlignment="1">
      <alignment horizontal="center" vertical="center" wrapText="1"/>
    </xf>
    <xf numFmtId="0" fontId="7" fillId="0" borderId="5" xfId="0" applyFont="1" applyBorder="1" applyAlignment="1">
      <alignment horizontal="left" vertical="center" wrapText="1"/>
    </xf>
    <xf numFmtId="1" fontId="21" fillId="7" borderId="6" xfId="4" applyNumberFormat="1" applyFont="1" applyFill="1" applyBorder="1" applyAlignment="1">
      <alignment horizontal="center" vertical="center" wrapText="1"/>
    </xf>
    <xf numFmtId="1" fontId="46" fillId="0" borderId="4" xfId="4" applyNumberFormat="1" applyFont="1" applyBorder="1" applyAlignment="1">
      <alignment horizontal="left" vertical="center" wrapText="1"/>
    </xf>
    <xf numFmtId="1" fontId="45" fillId="0" borderId="5" xfId="4" applyNumberFormat="1" applyFont="1" applyBorder="1" applyAlignment="1">
      <alignment horizontal="left" vertical="center" wrapText="1"/>
    </xf>
    <xf numFmtId="0" fontId="51" fillId="0" borderId="4" xfId="0" applyFont="1" applyBorder="1" applyAlignment="1">
      <alignment horizontal="left" wrapText="1"/>
    </xf>
    <xf numFmtId="0" fontId="50" fillId="0" borderId="4" xfId="0" applyFont="1" applyBorder="1" applyAlignment="1">
      <alignment horizontal="left" vertical="center" wrapText="1"/>
    </xf>
    <xf numFmtId="0" fontId="53" fillId="0" borderId="4" xfId="0" applyFont="1" applyBorder="1" applyAlignment="1">
      <alignment horizontal="left"/>
    </xf>
    <xf numFmtId="0" fontId="52" fillId="12" borderId="4" xfId="0" applyFont="1" applyFill="1" applyBorder="1" applyAlignment="1">
      <alignment horizontal="left" wrapText="1"/>
    </xf>
    <xf numFmtId="1" fontId="39" fillId="7" borderId="4" xfId="4" applyNumberFormat="1" applyFont="1" applyFill="1" applyBorder="1" applyAlignment="1">
      <alignment horizontal="center" vertical="center" wrapText="1"/>
    </xf>
    <xf numFmtId="0" fontId="51" fillId="0" borderId="4" xfId="0" applyFont="1" applyBorder="1" applyAlignment="1">
      <alignment horizontal="left" vertical="center" wrapText="1"/>
    </xf>
    <xf numFmtId="0" fontId="63" fillId="7" borderId="4" xfId="0" applyFont="1" applyFill="1" applyBorder="1" applyAlignment="1">
      <alignment horizontal="center" vertical="center" wrapText="1"/>
    </xf>
    <xf numFmtId="1" fontId="39" fillId="7" borderId="6" xfId="4" applyNumberFormat="1" applyFont="1" applyFill="1" applyBorder="1" applyAlignment="1">
      <alignment horizontal="center" vertical="center" wrapText="1"/>
    </xf>
    <xf numFmtId="3" fontId="56" fillId="2" borderId="4" xfId="0" applyNumberFormat="1" applyFont="1" applyFill="1" applyBorder="1" applyAlignment="1">
      <alignment horizontal="left" vertical="center"/>
    </xf>
    <xf numFmtId="0" fontId="7" fillId="0" borderId="4" xfId="0" applyFont="1" applyBorder="1" applyAlignment="1">
      <alignment vertical="center" wrapText="1"/>
    </xf>
    <xf numFmtId="0" fontId="0" fillId="0" borderId="4" xfId="0" applyBorder="1" applyAlignment="1">
      <alignment vertical="center"/>
    </xf>
    <xf numFmtId="0" fontId="0" fillId="0" borderId="5" xfId="0" applyBorder="1" applyAlignment="1">
      <alignment horizontal="left" vertical="center"/>
    </xf>
    <xf numFmtId="0" fontId="59" fillId="0" borderId="5" xfId="0" applyFont="1" applyBorder="1" applyAlignment="1">
      <alignment horizontal="left" vertical="center"/>
    </xf>
    <xf numFmtId="0" fontId="56" fillId="0" borderId="4" xfId="0" applyFont="1" applyBorder="1" applyAlignment="1">
      <alignment horizontal="left" vertical="center" wrapText="1"/>
    </xf>
    <xf numFmtId="0" fontId="58" fillId="0" borderId="4" xfId="0" applyFont="1" applyBorder="1" applyAlignment="1">
      <alignment horizontal="left" vertical="center"/>
    </xf>
    <xf numFmtId="0" fontId="47" fillId="0" borderId="5" xfId="0" applyFont="1" applyBorder="1" applyAlignment="1">
      <alignment horizontal="left" vertical="center"/>
    </xf>
    <xf numFmtId="0" fontId="51" fillId="2" borderId="4" xfId="0" applyFont="1" applyFill="1" applyBorder="1" applyAlignment="1">
      <alignment horizontal="left" vertical="center" wrapText="1"/>
    </xf>
    <xf numFmtId="0" fontId="59" fillId="2" borderId="5" xfId="0" applyFont="1" applyFill="1" applyBorder="1" applyAlignment="1">
      <alignment horizontal="left" vertical="center" wrapText="1"/>
    </xf>
    <xf numFmtId="0" fontId="39" fillId="7" borderId="4" xfId="0" applyFont="1" applyFill="1" applyBorder="1" applyAlignment="1">
      <alignment horizontal="center" vertical="center" wrapText="1"/>
    </xf>
    <xf numFmtId="1" fontId="61" fillId="0" borderId="5" xfId="4" applyNumberFormat="1" applyFont="1" applyBorder="1" applyAlignment="1">
      <alignment horizontal="left" vertical="center" wrapText="1"/>
    </xf>
    <xf numFmtId="0" fontId="50" fillId="2" borderId="4" xfId="0" applyFont="1" applyFill="1" applyBorder="1" applyAlignment="1">
      <alignment horizontal="left" vertical="center" wrapText="1"/>
    </xf>
    <xf numFmtId="1" fontId="21" fillId="7" borderId="4" xfId="4" applyNumberFormat="1" applyFont="1" applyFill="1" applyBorder="1" applyAlignment="1">
      <alignment horizontal="center" vertical="center" wrapText="1"/>
    </xf>
    <xf numFmtId="0" fontId="48" fillId="0" borderId="5" xfId="0" applyFont="1" applyBorder="1" applyAlignment="1">
      <alignment horizontal="left" vertical="center"/>
    </xf>
    <xf numFmtId="0" fontId="53" fillId="0" borderId="4" xfId="0" applyFont="1" applyBorder="1" applyAlignment="1">
      <alignment horizontal="left" vertical="center"/>
    </xf>
    <xf numFmtId="0" fontId="58" fillId="2" borderId="4" xfId="0" applyFont="1" applyFill="1" applyBorder="1" applyAlignment="1">
      <alignment horizontal="left" vertical="center" wrapText="1"/>
    </xf>
    <xf numFmtId="0" fontId="7" fillId="2" borderId="5" xfId="0" applyFont="1" applyFill="1" applyBorder="1" applyAlignment="1">
      <alignment horizontal="left" vertical="center" wrapText="1"/>
    </xf>
    <xf numFmtId="0" fontId="21" fillId="7" borderId="4" xfId="0" applyFont="1" applyFill="1" applyBorder="1" applyAlignment="1">
      <alignment horizontal="center" vertical="center" wrapText="1"/>
    </xf>
    <xf numFmtId="0" fontId="55" fillId="0" borderId="5" xfId="0" applyFont="1" applyBorder="1" applyAlignment="1">
      <alignment horizontal="left" wrapText="1"/>
    </xf>
    <xf numFmtId="1" fontId="56" fillId="2" borderId="4" xfId="4" applyNumberFormat="1" applyFont="1" applyFill="1" applyBorder="1" applyAlignment="1">
      <alignment horizontal="left" vertical="center" wrapText="1"/>
    </xf>
    <xf numFmtId="1" fontId="45" fillId="0" borderId="4" xfId="4" applyNumberFormat="1" applyFont="1" applyBorder="1" applyAlignment="1">
      <alignment horizontal="left" vertical="center" wrapText="1"/>
    </xf>
    <xf numFmtId="0" fontId="48" fillId="0" borderId="4" xfId="0" applyFont="1" applyBorder="1" applyAlignment="1">
      <alignment horizontal="left" vertical="center" wrapText="1"/>
    </xf>
    <xf numFmtId="0" fontId="0" fillId="0" borderId="0" xfId="0" applyAlignment="1">
      <alignment horizontal="justify" vertical="center" wrapText="1"/>
    </xf>
    <xf numFmtId="0" fontId="0" fillId="0" borderId="0" xfId="0" applyAlignment="1">
      <alignment horizontal="justify" vertical="top"/>
    </xf>
    <xf numFmtId="0" fontId="0" fillId="0" borderId="0" xfId="0" applyAlignment="1">
      <alignment horizontal="justify"/>
    </xf>
    <xf numFmtId="0" fontId="80" fillId="8" borderId="2" xfId="0" applyFont="1" applyFill="1" applyBorder="1" applyAlignment="1">
      <alignment horizontal="center" vertical="center" wrapText="1"/>
    </xf>
    <xf numFmtId="0" fontId="35" fillId="2" borderId="67" xfId="0" applyFont="1" applyFill="1" applyBorder="1" applyAlignment="1">
      <alignment horizontal="right" vertical="center" wrapText="1"/>
    </xf>
    <xf numFmtId="0" fontId="35" fillId="2" borderId="76" xfId="0" applyFont="1" applyFill="1" applyBorder="1" applyAlignment="1">
      <alignment horizontal="right" vertical="center" wrapText="1"/>
    </xf>
    <xf numFmtId="0" fontId="35" fillId="2" borderId="70" xfId="0" applyFont="1" applyFill="1" applyBorder="1" applyAlignment="1">
      <alignment horizontal="right" vertical="center" wrapText="1"/>
    </xf>
    <xf numFmtId="0" fontId="35" fillId="2" borderId="71" xfId="0" applyFont="1" applyFill="1" applyBorder="1" applyAlignment="1">
      <alignment horizontal="right" vertical="center" wrapText="1"/>
    </xf>
    <xf numFmtId="0" fontId="47" fillId="2" borderId="5" xfId="0" applyFont="1" applyFill="1" applyBorder="1" applyAlignment="1">
      <alignment horizontal="left" vertical="center" wrapText="1"/>
    </xf>
    <xf numFmtId="0" fontId="48" fillId="2" borderId="4" xfId="0" applyFont="1" applyFill="1" applyBorder="1" applyAlignment="1">
      <alignment horizontal="left" vertical="center" wrapText="1"/>
    </xf>
    <xf numFmtId="1" fontId="48" fillId="2" borderId="4" xfId="4" applyNumberFormat="1" applyFont="1" applyFill="1" applyBorder="1" applyAlignment="1">
      <alignment horizontal="left" vertical="center" wrapText="1"/>
    </xf>
    <xf numFmtId="0" fontId="37" fillId="2" borderId="71" xfId="0" applyFont="1" applyFill="1" applyBorder="1" applyAlignment="1">
      <alignment horizontal="right" vertical="center" wrapText="1"/>
    </xf>
    <xf numFmtId="0" fontId="21" fillId="7" borderId="3" xfId="0" applyFont="1" applyFill="1" applyBorder="1" applyAlignment="1">
      <alignment horizontal="center" vertical="center"/>
    </xf>
    <xf numFmtId="1" fontId="35" fillId="0" borderId="5" xfId="4" applyNumberFormat="1" applyFont="1" applyBorder="1" applyAlignment="1">
      <alignment horizontal="left" vertical="center" wrapText="1"/>
    </xf>
    <xf numFmtId="0" fontId="25" fillId="7" borderId="2" xfId="0" applyFont="1" applyFill="1" applyBorder="1" applyAlignment="1">
      <alignment horizontal="center" vertical="center" wrapText="1"/>
    </xf>
    <xf numFmtId="0" fontId="18" fillId="8" borderId="2" xfId="0" applyFont="1" applyFill="1" applyBorder="1" applyAlignment="1">
      <alignment horizontal="center" vertical="center" wrapText="1"/>
    </xf>
    <xf numFmtId="0" fontId="19" fillId="0" borderId="0" xfId="0" applyFont="1" applyAlignment="1">
      <alignment horizontal="center" wrapText="1"/>
    </xf>
    <xf numFmtId="0" fontId="21" fillId="8" borderId="2" xfId="0" applyFont="1" applyFill="1" applyBorder="1" applyAlignment="1">
      <alignment horizontal="left" vertical="center"/>
    </xf>
    <xf numFmtId="0" fontId="18" fillId="0" borderId="2" xfId="0" applyFont="1" applyBorder="1" applyAlignment="1">
      <alignment horizontal="left" vertical="center"/>
    </xf>
    <xf numFmtId="0" fontId="21" fillId="8" borderId="2" xfId="0" applyFont="1" applyFill="1" applyBorder="1" applyAlignment="1">
      <alignment horizontal="left" vertical="center" wrapText="1"/>
    </xf>
    <xf numFmtId="0" fontId="19" fillId="0" borderId="8" xfId="0" applyFont="1" applyBorder="1" applyAlignment="1">
      <alignment horizontal="left" vertical="center" wrapText="1"/>
    </xf>
    <xf numFmtId="0" fontId="19" fillId="0" borderId="7" xfId="0" applyFont="1" applyBorder="1" applyAlignment="1">
      <alignment horizontal="left" vertical="center" wrapText="1"/>
    </xf>
    <xf numFmtId="0" fontId="19" fillId="0" borderId="17" xfId="0" applyFont="1" applyBorder="1" applyAlignment="1">
      <alignment horizontal="left" vertical="center" wrapText="1"/>
    </xf>
    <xf numFmtId="0" fontId="14" fillId="7" borderId="8" xfId="0" applyFont="1" applyFill="1" applyBorder="1" applyAlignment="1">
      <alignment horizontal="center" vertical="center" wrapText="1"/>
    </xf>
    <xf numFmtId="0" fontId="14" fillId="7" borderId="7" xfId="0" applyFont="1" applyFill="1" applyBorder="1" applyAlignment="1">
      <alignment horizontal="center" vertical="center" wrapText="1"/>
    </xf>
    <xf numFmtId="0" fontId="14" fillId="7" borderId="17" xfId="0" applyFont="1" applyFill="1" applyBorder="1" applyAlignment="1">
      <alignment horizontal="center" vertical="center" wrapText="1"/>
    </xf>
    <xf numFmtId="0" fontId="83" fillId="7" borderId="2" xfId="0" applyFont="1" applyFill="1" applyBorder="1" applyAlignment="1">
      <alignment horizontal="center" vertical="center"/>
    </xf>
    <xf numFmtId="0" fontId="19" fillId="0" borderId="2" xfId="0" applyFont="1" applyBorder="1" applyAlignment="1">
      <alignment horizontal="right"/>
    </xf>
    <xf numFmtId="0" fontId="29" fillId="0" borderId="2" xfId="0" applyFont="1" applyBorder="1" applyAlignment="1">
      <alignment horizontal="right"/>
    </xf>
    <xf numFmtId="0" fontId="20" fillId="0" borderId="2" xfId="0" applyFont="1" applyBorder="1" applyAlignment="1">
      <alignment horizontal="right"/>
    </xf>
    <xf numFmtId="173" fontId="94" fillId="2" borderId="4" xfId="0" applyNumberFormat="1" applyFont="1" applyFill="1" applyBorder="1" applyAlignment="1">
      <alignment horizontal="center" vertical="center"/>
    </xf>
    <xf numFmtId="173" fontId="94" fillId="2" borderId="9" xfId="0" applyNumberFormat="1" applyFont="1" applyFill="1" applyBorder="1" applyAlignment="1">
      <alignment horizontal="center" vertical="center"/>
    </xf>
    <xf numFmtId="0" fontId="19" fillId="0" borderId="5" xfId="0" applyFont="1" applyBorder="1" applyAlignment="1">
      <alignment horizontal="left" vertical="center"/>
    </xf>
    <xf numFmtId="0" fontId="29" fillId="0" borderId="3" xfId="0" applyFont="1" applyBorder="1" applyAlignment="1">
      <alignment vertical="center"/>
    </xf>
    <xf numFmtId="0" fontId="19" fillId="0" borderId="4" xfId="0" applyFont="1" applyBorder="1" applyAlignment="1">
      <alignment vertical="center"/>
    </xf>
    <xf numFmtId="0" fontId="96" fillId="0" borderId="5" xfId="0" applyFont="1" applyBorder="1" applyAlignment="1">
      <alignment horizontal="center" vertical="center"/>
    </xf>
    <xf numFmtId="0" fontId="96" fillId="0" borderId="3" xfId="0" applyFont="1" applyBorder="1" applyAlignment="1">
      <alignment horizontal="center" vertical="center"/>
    </xf>
    <xf numFmtId="0" fontId="19" fillId="0" borderId="61" xfId="0" applyFont="1" applyBorder="1" applyAlignment="1">
      <alignment vertical="center"/>
    </xf>
    <xf numFmtId="0" fontId="95" fillId="0" borderId="5" xfId="0" applyFont="1" applyBorder="1" applyAlignment="1">
      <alignment horizontal="center" vertical="center"/>
    </xf>
    <xf numFmtId="0" fontId="19" fillId="0" borderId="5" xfId="0" applyFont="1" applyBorder="1" applyAlignment="1">
      <alignment vertical="center"/>
    </xf>
    <xf numFmtId="1" fontId="29" fillId="0" borderId="4" xfId="4" applyNumberFormat="1" applyFont="1" applyBorder="1" applyAlignment="1">
      <alignment vertical="center"/>
    </xf>
    <xf numFmtId="173" fontId="94" fillId="2" borderId="29" xfId="0" applyNumberFormat="1" applyFont="1" applyFill="1" applyBorder="1" applyAlignment="1">
      <alignment horizontal="center" vertical="center" wrapText="1"/>
    </xf>
    <xf numFmtId="0" fontId="95" fillId="0" borderId="10" xfId="0" applyFont="1" applyBorder="1" applyAlignment="1">
      <alignment horizontal="center" vertical="center"/>
    </xf>
    <xf numFmtId="0" fontId="95" fillId="0" borderId="1" xfId="0" applyFont="1" applyBorder="1" applyAlignment="1">
      <alignment horizontal="center" vertical="center"/>
    </xf>
    <xf numFmtId="1" fontId="29" fillId="0" borderId="3" xfId="4" applyNumberFormat="1" applyFont="1" applyBorder="1" applyAlignment="1">
      <alignment vertical="center"/>
    </xf>
    <xf numFmtId="173" fontId="94" fillId="2" borderId="19" xfId="0" applyNumberFormat="1" applyFont="1" applyFill="1" applyBorder="1" applyAlignment="1">
      <alignment horizontal="center" vertical="center"/>
    </xf>
    <xf numFmtId="173" fontId="94" fillId="2" borderId="62" xfId="0" applyNumberFormat="1" applyFont="1" applyFill="1" applyBorder="1" applyAlignment="1">
      <alignment horizontal="center" vertical="center"/>
    </xf>
    <xf numFmtId="0" fontId="30" fillId="0" borderId="14" xfId="0" applyFont="1" applyBorder="1" applyAlignment="1">
      <alignment horizontal="center" vertical="center" wrapText="1"/>
    </xf>
    <xf numFmtId="0" fontId="77" fillId="8" borderId="2" xfId="0" applyFont="1" applyFill="1" applyBorder="1" applyAlignment="1">
      <alignment horizontal="center" vertical="center" wrapText="1"/>
    </xf>
    <xf numFmtId="0" fontId="19" fillId="0" borderId="5" xfId="0" applyFont="1" applyBorder="1" applyAlignment="1">
      <alignment horizontal="center" vertical="center"/>
    </xf>
    <xf numFmtId="0" fontId="21" fillId="8" borderId="4" xfId="0" applyFont="1" applyFill="1" applyBorder="1" applyAlignment="1">
      <alignment horizontal="justify" vertical="center"/>
    </xf>
    <xf numFmtId="0" fontId="20" fillId="0" borderId="4" xfId="0" applyFont="1" applyBorder="1" applyAlignment="1">
      <alignment horizontal="left" vertical="center" wrapText="1"/>
    </xf>
    <xf numFmtId="0" fontId="19" fillId="0" borderId="5" xfId="0" applyFont="1" applyBorder="1" applyAlignment="1">
      <alignment horizontal="left" vertical="center" wrapText="1"/>
    </xf>
    <xf numFmtId="0" fontId="29" fillId="0" borderId="5" xfId="0" applyFont="1" applyBorder="1" applyAlignment="1">
      <alignment horizontal="right" vertical="center" wrapText="1"/>
    </xf>
    <xf numFmtId="0" fontId="29" fillId="0" borderId="14" xfId="0" applyFont="1" applyBorder="1" applyAlignment="1">
      <alignment horizontal="right" vertical="center" wrapText="1"/>
    </xf>
    <xf numFmtId="0" fontId="29" fillId="0" borderId="11" xfId="0" applyFont="1" applyBorder="1" applyAlignment="1">
      <alignment horizontal="right" vertical="center" wrapText="1"/>
    </xf>
    <xf numFmtId="0" fontId="78" fillId="8" borderId="8" xfId="0" applyFont="1" applyFill="1" applyBorder="1" applyAlignment="1">
      <alignment horizontal="center" vertical="center" wrapText="1"/>
    </xf>
    <xf numFmtId="0" fontId="19" fillId="2" borderId="3" xfId="4" applyFont="1" applyFill="1" applyBorder="1" applyAlignment="1">
      <alignment horizontal="center" vertical="center"/>
    </xf>
    <xf numFmtId="0" fontId="20" fillId="0" borderId="5" xfId="0" applyFont="1" applyBorder="1" applyAlignment="1">
      <alignment horizontal="left" vertical="center" wrapText="1"/>
    </xf>
    <xf numFmtId="1" fontId="22" fillId="0" borderId="5" xfId="4" applyNumberFormat="1" applyFont="1" applyBorder="1" applyAlignment="1">
      <alignment horizontal="left" vertical="center" wrapText="1"/>
    </xf>
    <xf numFmtId="0" fontId="19" fillId="0" borderId="4" xfId="0" applyFont="1" applyBorder="1" applyAlignment="1">
      <alignment horizontal="left" wrapText="1"/>
    </xf>
    <xf numFmtId="0" fontId="27" fillId="0" borderId="4" xfId="0" applyFont="1" applyBorder="1" applyAlignment="1">
      <alignment horizontal="left"/>
    </xf>
    <xf numFmtId="0" fontId="29" fillId="12" borderId="4" xfId="0" applyFont="1" applyFill="1" applyBorder="1" applyAlignment="1">
      <alignment horizontal="left" wrapText="1"/>
    </xf>
    <xf numFmtId="0" fontId="19" fillId="0" borderId="4" xfId="0" applyFont="1" applyBorder="1" applyAlignment="1">
      <alignment horizontal="left" vertical="center" wrapText="1"/>
    </xf>
    <xf numFmtId="1" fontId="22" fillId="0" borderId="4" xfId="4" applyNumberFormat="1" applyFont="1" applyBorder="1" applyAlignment="1">
      <alignment horizontal="left" vertical="center" wrapText="1"/>
    </xf>
    <xf numFmtId="3" fontId="87" fillId="2" borderId="4" xfId="0" applyNumberFormat="1" applyFont="1" applyFill="1" applyBorder="1" applyAlignment="1">
      <alignment horizontal="left" vertical="center"/>
    </xf>
    <xf numFmtId="0" fontId="27" fillId="0" borderId="4" xfId="0" applyFont="1" applyBorder="1" applyAlignment="1">
      <alignment vertical="center"/>
    </xf>
    <xf numFmtId="0" fontId="27" fillId="0" borderId="5" xfId="0" applyFont="1" applyBorder="1" applyAlignment="1">
      <alignment horizontal="left" vertical="center"/>
    </xf>
    <xf numFmtId="0" fontId="86" fillId="0" borderId="5" xfId="0" applyFont="1" applyBorder="1" applyAlignment="1">
      <alignment horizontal="left" vertical="center"/>
    </xf>
    <xf numFmtId="0" fontId="87" fillId="0" borderId="4" xfId="0" applyFont="1" applyBorder="1" applyAlignment="1">
      <alignment horizontal="left" vertical="center" wrapText="1"/>
    </xf>
    <xf numFmtId="0" fontId="19" fillId="2" borderId="4" xfId="0" applyFont="1" applyFill="1" applyBorder="1" applyAlignment="1">
      <alignment horizontal="left" vertical="center" wrapText="1"/>
    </xf>
    <xf numFmtId="0" fontId="20" fillId="0" borderId="4" xfId="0" applyFont="1" applyBorder="1" applyAlignment="1">
      <alignment vertical="center" wrapText="1"/>
    </xf>
    <xf numFmtId="0" fontId="20" fillId="2" borderId="4" xfId="0" applyFont="1" applyFill="1" applyBorder="1" applyAlignment="1">
      <alignment horizontal="left" vertical="center" wrapText="1"/>
    </xf>
    <xf numFmtId="0" fontId="86" fillId="0" borderId="4" xfId="0" applyFont="1" applyBorder="1" applyAlignment="1">
      <alignment horizontal="left" vertical="center"/>
    </xf>
    <xf numFmtId="0" fontId="87" fillId="0" borderId="5" xfId="0" applyFont="1" applyBorder="1" applyAlignment="1">
      <alignment horizontal="left" vertical="center"/>
    </xf>
    <xf numFmtId="0" fontId="27" fillId="0" borderId="4" xfId="0" applyFont="1" applyBorder="1" applyAlignment="1">
      <alignment horizontal="left" vertical="center"/>
    </xf>
    <xf numFmtId="0" fontId="86" fillId="2" borderId="4" xfId="0" applyFont="1" applyFill="1" applyBorder="1" applyAlignment="1">
      <alignment horizontal="left" vertical="center" wrapText="1"/>
    </xf>
    <xf numFmtId="0" fontId="86" fillId="2" borderId="5" xfId="0" applyFont="1" applyFill="1" applyBorder="1" applyAlignment="1">
      <alignment horizontal="left" vertical="center" wrapText="1"/>
    </xf>
    <xf numFmtId="0" fontId="20" fillId="2" borderId="5" xfId="0" applyFont="1" applyFill="1" applyBorder="1" applyAlignment="1">
      <alignment horizontal="left" vertical="center" wrapText="1"/>
    </xf>
    <xf numFmtId="1" fontId="87" fillId="2" borderId="4" xfId="4" applyNumberFormat="1" applyFont="1" applyFill="1" applyBorder="1" applyAlignment="1">
      <alignment horizontal="left" vertical="center" wrapText="1"/>
    </xf>
    <xf numFmtId="0" fontId="93" fillId="0" borderId="0" xfId="0" applyFont="1" applyAlignment="1">
      <alignment horizontal="left" vertical="center"/>
    </xf>
    <xf numFmtId="0" fontId="19" fillId="2" borderId="67" xfId="0" applyFont="1" applyFill="1" applyBorder="1" applyAlignment="1">
      <alignment horizontal="right" vertical="center" wrapText="1"/>
    </xf>
    <xf numFmtId="0" fontId="19" fillId="2" borderId="76" xfId="0" applyFont="1" applyFill="1" applyBorder="1" applyAlignment="1">
      <alignment horizontal="right" vertical="center" wrapText="1"/>
    </xf>
    <xf numFmtId="0" fontId="19" fillId="2" borderId="70" xfId="0" applyFont="1" applyFill="1" applyBorder="1" applyAlignment="1">
      <alignment horizontal="right" vertical="center" wrapText="1"/>
    </xf>
    <xf numFmtId="0" fontId="19" fillId="2" borderId="71" xfId="0" applyFont="1" applyFill="1" applyBorder="1" applyAlignment="1">
      <alignment horizontal="right" vertical="center" wrapText="1"/>
    </xf>
    <xf numFmtId="0" fontId="87" fillId="2" borderId="4" xfId="0" applyFont="1" applyFill="1" applyBorder="1" applyAlignment="1">
      <alignment horizontal="left" vertical="center" wrapText="1"/>
    </xf>
    <xf numFmtId="0" fontId="29" fillId="2" borderId="71" xfId="0" applyFont="1" applyFill="1" applyBorder="1" applyAlignment="1">
      <alignment horizontal="right" vertical="center" wrapText="1"/>
    </xf>
    <xf numFmtId="0" fontId="81" fillId="8" borderId="2" xfId="0" applyFont="1" applyFill="1" applyBorder="1" applyAlignment="1">
      <alignment horizontal="center" vertical="center" wrapText="1"/>
    </xf>
    <xf numFmtId="1" fontId="19" fillId="0" borderId="5" xfId="4" applyNumberFormat="1" applyFont="1" applyBorder="1" applyAlignment="1">
      <alignment horizontal="left" vertical="center" wrapText="1"/>
    </xf>
    <xf numFmtId="0" fontId="19" fillId="0" borderId="5" xfId="0" applyFont="1" applyBorder="1" applyAlignment="1">
      <alignment horizontal="left" wrapText="1"/>
    </xf>
    <xf numFmtId="0" fontId="62" fillId="0" borderId="14" xfId="0" applyFont="1" applyBorder="1" applyAlignment="1"/>
    <xf numFmtId="0" fontId="35" fillId="0" borderId="14" xfId="0" applyFont="1" applyBorder="1" applyAlignment="1"/>
    <xf numFmtId="0" fontId="20" fillId="0" borderId="14" xfId="0" applyFont="1" applyBorder="1" applyAlignment="1"/>
    <xf numFmtId="0" fontId="19" fillId="0" borderId="14" xfId="0" applyFont="1" applyBorder="1" applyAlignment="1"/>
  </cellXfs>
  <cellStyles count="56">
    <cellStyle name="Comma 2" xfId="12" xr:uid="{FEF0033A-E948-4ECF-922B-C1F20F56017A}"/>
    <cellStyle name="Comma 2 2" xfId="38" xr:uid="{FEF0033A-E948-4ECF-922B-C1F20F56017A}"/>
    <cellStyle name="Currency 2" xfId="13" xr:uid="{BE2CF70D-7CC2-47AE-BE13-C0EF78E810CA}"/>
    <cellStyle name="Currency 2 2" xfId="39" xr:uid="{BE2CF70D-7CC2-47AE-BE13-C0EF78E810CA}"/>
    <cellStyle name="Hyperlink" xfId="36" xr:uid="{00000000-000B-0000-0000-000008000000}"/>
    <cellStyle name="Millares" xfId="1" builtinId="3"/>
    <cellStyle name="Millares [0]" xfId="2" builtinId="6"/>
    <cellStyle name="Millares [0] 2" xfId="14" xr:uid="{BC2E9BA5-C045-43D4-AFF1-5427C1EA93C6}"/>
    <cellStyle name="Millares [0] 2 2" xfId="40" xr:uid="{BC2E9BA5-C045-43D4-AFF1-5427C1EA93C6}"/>
    <cellStyle name="Millares 2" xfId="10" xr:uid="{78DA72F2-0733-4374-840F-6C08EC3C6EA6}"/>
    <cellStyle name="Millares 2 2" xfId="37" xr:uid="{78DA72F2-0733-4374-840F-6C08EC3C6EA6}"/>
    <cellStyle name="Millares 2 3" xfId="6" xr:uid="{915E1E41-D378-4BB6-B305-49694BD0C73D}"/>
    <cellStyle name="Millares 2 3 2" xfId="43" xr:uid="{F35DB311-78E1-4008-B928-4874964C05C9}"/>
    <cellStyle name="Millares 2 3 3" xfId="20" xr:uid="{F35DB311-78E1-4008-B928-4874964C05C9}"/>
    <cellStyle name="Millares 3" xfId="19" xr:uid="{1A9FC551-65DF-4531-803C-1B61968912AA}"/>
    <cellStyle name="Millares 3 2" xfId="42" xr:uid="{1A9FC551-65DF-4531-803C-1B61968912AA}"/>
    <cellStyle name="Millares 4" xfId="41" xr:uid="{00000000-0005-0000-0000-00004D000000}"/>
    <cellStyle name="Millares 5" xfId="16" xr:uid="{00000000-0005-0000-0000-00003A000000}"/>
    <cellStyle name="Millares 5 2" xfId="5" xr:uid="{62888979-3478-4E81-8392-81C3064037C9}"/>
    <cellStyle name="Moneda" xfId="3" builtinId="4"/>
    <cellStyle name="Moneda [0] 2" xfId="11" xr:uid="{8BBBCE78-3EDD-4A81-A2C8-AC9D0A4D43B9}"/>
    <cellStyle name="Moneda [0] 2 2" xfId="22" xr:uid="{6981BD59-6E8F-4AE4-AC73-21FD85941558}"/>
    <cellStyle name="Moneda [0] 2 2 2" xfId="46" xr:uid="{6981BD59-6E8F-4AE4-AC73-21FD85941558}"/>
    <cellStyle name="Moneda [0] 2 8" xfId="32" xr:uid="{AB91E5E1-00DC-45B7-B5DB-FB7F8462D23C}"/>
    <cellStyle name="Moneda [0] 2 8 2" xfId="30" xr:uid="{33BD2223-745A-4A72-B5D2-76850D8FD390}"/>
    <cellStyle name="Moneda [0] 2 8 2 2" xfId="52" xr:uid="{33BD2223-745A-4A72-B5D2-76850D8FD390}"/>
    <cellStyle name="Moneda [0] 3" xfId="33" xr:uid="{00000000-0005-0000-0000-000045000000}"/>
    <cellStyle name="Moneda [0] 4" xfId="28" xr:uid="{D6F37488-B232-4DEA-B0E6-C6B1237319B9}"/>
    <cellStyle name="Moneda [0] 4 2" xfId="51" xr:uid="{D6F37488-B232-4DEA-B0E6-C6B1237319B9}"/>
    <cellStyle name="Moneda [0] 6" xfId="24" xr:uid="{766E30DD-01AE-45C2-8302-F2B9EF2D94B0}"/>
    <cellStyle name="Moneda [0] 6 2" xfId="48" xr:uid="{766E30DD-01AE-45C2-8302-F2B9EF2D94B0}"/>
    <cellStyle name="Moneda 2" xfId="34" xr:uid="{3419B9DD-CE29-4933-828C-F89BF312BE36}"/>
    <cellStyle name="Moneda 2 2" xfId="53" xr:uid="{3419B9DD-CE29-4933-828C-F89BF312BE36}"/>
    <cellStyle name="Moneda 3" xfId="17" xr:uid="{00000000-0005-0000-0000-000044000000}"/>
    <cellStyle name="Normal" xfId="0" builtinId="0"/>
    <cellStyle name="Normal 10" xfId="29" xr:uid="{2E3E0AC3-1B2E-4BDC-A728-0F269ED8EEB3}"/>
    <cellStyle name="Normal 11 2" xfId="21" xr:uid="{A97ABC13-F40E-4F08-BEC5-E9E91E5BF331}"/>
    <cellStyle name="Normal 11 2 2" xfId="45" xr:uid="{A97ABC13-F40E-4F08-BEC5-E9E91E5BF331}"/>
    <cellStyle name="Normal 11 5" xfId="26" xr:uid="{93DD84B7-1F64-45D5-AA93-D0D1AB8C0BE3}"/>
    <cellStyle name="Normal 11 5 2" xfId="49" xr:uid="{93DD84B7-1F64-45D5-AA93-D0D1AB8C0BE3}"/>
    <cellStyle name="Normal 12 2" xfId="27" xr:uid="{F904C43F-68E5-45F4-ADA3-A447529A8A23}"/>
    <cellStyle name="Normal 12 2 2" xfId="50" xr:uid="{F904C43F-68E5-45F4-ADA3-A447529A8A23}"/>
    <cellStyle name="Normal 14" xfId="15" xr:uid="{D3929D75-6E6C-4BB3-A179-B3C663F88DB3}"/>
    <cellStyle name="Normal 2" xfId="9" xr:uid="{03A9D495-C937-4FE2-B1D5-9DE648E20835}"/>
    <cellStyle name="Normal 2 2" xfId="35" xr:uid="{A32400C5-49B3-446E-BD54-4CBDC5DCD0F4}"/>
    <cellStyle name="Normal 2 2 2" xfId="8" xr:uid="{8313B676-8081-4625-9E03-7BE9B0F0D7AE}"/>
    <cellStyle name="Normal 2 2 4" xfId="31" xr:uid="{36718C3E-96D7-42DC-9192-DCE1F9E2F33A}"/>
    <cellStyle name="Normal 2 4" xfId="23" xr:uid="{FCF6B6F4-2E90-4A0A-8F1A-075C1230879E}"/>
    <cellStyle name="Normal 2 4 2" xfId="4" xr:uid="{92551C9B-F8AB-4B07-8E0E-D88E7C80748F}"/>
    <cellStyle name="Normal 2 4 2 2" xfId="44" xr:uid="{A3605DBD-0DC9-40C5-BDAF-2D49CFE4A6CA}"/>
    <cellStyle name="Normal 2 4 3" xfId="47" xr:uid="{FCF6B6F4-2E90-4A0A-8F1A-075C1230879E}"/>
    <cellStyle name="Normal 3" xfId="18" xr:uid="{84AF4A5F-404A-477C-90D6-1934B3C0B98F}"/>
    <cellStyle name="Normal 3 3 3" xfId="25" xr:uid="{2E4705D7-C9CB-47E4-AED2-2C3609EFE752}"/>
    <cellStyle name="Normal 7" xfId="54" xr:uid="{0B8E795F-A4B8-4F3C-847B-6ED40BBDFCD6}"/>
    <cellStyle name="Porcentaje" xfId="55" builtinId="5"/>
    <cellStyle name="Porcentaje 4" xfId="7" xr:uid="{99CE88AC-A102-42C9-9B1C-34332AB4532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oyectos/Documentos%20c/CONSORCIO%20EL%20FUTURO/APU%20ACUEDUCTO%20IA-845%2020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5%20PRESUPUESTO%20DESGLOS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A-845"/>
      <sheetName val="INSUMOS"/>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AIU"/>
      <sheetName val="1.GESTIÓN INTEGRAL "/>
      <sheetName val="RES 1044-2013"/>
      <sheetName val="CALCULO DE FACTOR MULTIPLICADOR"/>
      <sheetName val="2. GESTIÓN FORTELC TERRITORIAL"/>
      <sheetName val="USO SOSTENIBLE DEL SUELO"/>
      <sheetName val="3. RESTAURACIÓN ECOLÓGICA"/>
      <sheetName val="4. USO SOSTENIBLE"/>
      <sheetName val="IPC 2014-2024"/>
      <sheetName val="Honorarios Res 1044"/>
      <sheetName val="LP 04 2024 TRANSP"/>
      <sheetName val="PERSONAL OBRA"/>
      <sheetName val="2.1.1PresentaciónyValidación"/>
      <sheetName val="2.1.2Diagnóstico territorial"/>
      <sheetName val="2.1.3 Caracterización de Confli"/>
      <sheetName val="2.1.4Jornada Intergeneracional"/>
      <sheetName val="2.2.1Fortalecimiento actores"/>
      <sheetName val="2.3.1Inter_SaberesResta_uso sos"/>
      <sheetName val="2.3.2VisitaExperienciasExitosas"/>
      <sheetName val="2.3.3 Jornadas lúdicas"/>
      <sheetName val="2.3.4 Pedagogía educativa"/>
      <sheetName val="2.3.5InstrumentosComunicacion"/>
      <sheetName val="2.4.1 Acuerdo Socioambiental"/>
      <sheetName val="2.4.2 Seguimiento_evalu_comunit"/>
      <sheetName val="2.4.3 Plan de Vida"/>
      <sheetName val="2.4.4 Acuerdos y Compromisos"/>
      <sheetName val="3.1. APU Siembra_Rehabilitac"/>
      <sheetName val="3.2. APU Siembra_Enriquecim"/>
      <sheetName val="3.3 Aisla_puas"/>
      <sheetName val="3.4 APU 1er Mant Rehab"/>
      <sheetName val="3.5 APU 1er Mant Enrique"/>
      <sheetName val="3.6 APU 2do Mant Rehab"/>
      <sheetName val="3.7 APU 2do Mant Enrique"/>
      <sheetName val="3.8 Perchas artificiales"/>
      <sheetName val="3.9 Refug_Rept_Anfib"/>
      <sheetName val="3.10 Ref mam peq"/>
      <sheetName val="3.11 Valla"/>
      <sheetName val="3.12 Registro filmico Dron"/>
      <sheetName val="AM Laboratorio"/>
      <sheetName val="Incluir 1.7 comple bebederos"/>
      <sheetName val="4.1.1 Planes vida familiar eval"/>
      <sheetName val="4.1.2 Planes vida famil planifi"/>
      <sheetName val="4.2 BEBEDEROS COMPLEMENTARIOS"/>
      <sheetName val="4.3 Sistema silvo pastoril "/>
      <sheetName val="4.4 PRIMER MANTENIMIENTO DE (2)"/>
      <sheetName val="4.5 SEGUNDO MANTENIMIENTO D (2)"/>
      <sheetName val="4.6 Cercado eléctrico2 "/>
      <sheetName val="4.7.1 DOTACIÓN ENSILAJE COM "/>
      <sheetName val="4.7.2 REPLICA ENSILAJE COM"/>
      <sheetName val="4.8.1 Cubierta abonos2"/>
      <sheetName val="4.8.2 Urea Orgánica2"/>
      <sheetName val="4.8.3 ABONO BOCASHI 2"/>
      <sheetName val="4.9 COSECHA DE AGUA LLUVIA 2"/>
      <sheetName val="4.10 ABONOS VERDES "/>
      <sheetName val="4.11 ESTABLEC.  MAY COBERTU 2"/>
      <sheetName val="2.2 Bebederos"/>
      <sheetName val="2.3 Sistema silvo pastoril  "/>
      <sheetName val="2.4 PRIMER MANTENIMIENTO DE LA "/>
      <sheetName val="2.5 SEGUNDO MANTENIMIENTO DE "/>
      <sheetName val="2.6 Cercado eléctrico "/>
      <sheetName val="Retirar tercer mantenimiento"/>
      <sheetName val="2.7 ENSILAJE COMUNITARIO"/>
      <sheetName val="2.8.1 Cubierta abonos"/>
      <sheetName val="2.8.2 Urea Orgánica"/>
      <sheetName val="2.12.1 APLICACIÓN DE ENMIENDAS"/>
      <sheetName val="2.8.3 ABONO BOCASHI"/>
      <sheetName val="2.8.4 Jornada pedagógica "/>
      <sheetName val="2.9 COSECHA DE AGUA LLUVIA"/>
      <sheetName val="2.10 DIAGNOSTICO SUELO "/>
      <sheetName val="2.12.2  ABONOS VERDES "/>
      <sheetName val="2.13.3 jornada pedagógica"/>
      <sheetName val="2.13.1APLICA ENMIENDAS"/>
      <sheetName val="2.13.2 ESTABLEC.  MAY COBERTU"/>
      <sheetName val="Precios de referencia Agroecosi"/>
      <sheetName val="AM GIT"/>
      <sheetName val="Tipos Jornadas pedagógicas "/>
      <sheetName val="Tipos Jornadas lúdicas"/>
      <sheetName val="Material pedagógico"/>
      <sheetName val="Cartilla"/>
      <sheetName val="AM Agroecosistemas y suelos"/>
      <sheetName val="AM Restauración"/>
      <sheetName val="Calculo zonas Intervención"/>
    </sheetNames>
    <sheetDataSet>
      <sheetData sheetId="0"/>
      <sheetData sheetId="1"/>
      <sheetData sheetId="2"/>
      <sheetData sheetId="3">
        <row r="12">
          <cell r="Q12">
            <v>8946068</v>
          </cell>
        </row>
        <row r="14">
          <cell r="Q14">
            <v>6553517</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3992A-E856-423D-94B1-B78278C407C1}">
  <dimension ref="A1:P662"/>
  <sheetViews>
    <sheetView zoomScale="85" zoomScaleNormal="85" workbookViewId="0">
      <selection activeCell="E648" sqref="E648"/>
    </sheetView>
  </sheetViews>
  <sheetFormatPr defaultColWidth="9" defaultRowHeight="15"/>
  <cols>
    <col min="1" max="1" width="9.7109375" style="149" customWidth="1"/>
    <col min="2" max="2" width="45.28515625" customWidth="1"/>
    <col min="3" max="3" width="20.7109375" customWidth="1"/>
    <col min="4" max="4" width="16.42578125" customWidth="1"/>
    <col min="5" max="5" width="24.42578125" customWidth="1"/>
    <col min="6" max="6" width="22.28515625" customWidth="1"/>
    <col min="7" max="7" width="20.28515625" customWidth="1"/>
    <col min="8" max="8" width="18.140625" customWidth="1"/>
  </cols>
  <sheetData>
    <row r="1" spans="1:16" ht="18.75">
      <c r="A1" s="1388" t="s">
        <v>0</v>
      </c>
      <c r="B1" s="1388"/>
      <c r="C1" s="1388"/>
      <c r="D1" s="1388"/>
      <c r="E1" s="1388"/>
      <c r="F1" s="1388"/>
      <c r="G1" s="1388"/>
      <c r="H1" s="1388"/>
    </row>
    <row r="2" spans="1:16" ht="60" customHeight="1">
      <c r="A2" s="1484" t="s">
        <v>1</v>
      </c>
      <c r="B2" s="1484"/>
      <c r="C2" s="1484"/>
      <c r="D2" s="1484"/>
      <c r="E2" s="1484"/>
      <c r="F2" s="1484"/>
      <c r="G2" s="1484"/>
      <c r="H2" s="1484"/>
      <c r="I2" s="861"/>
      <c r="J2" s="861"/>
      <c r="K2" s="861"/>
      <c r="L2" s="861"/>
      <c r="M2" s="861"/>
      <c r="N2" s="861"/>
      <c r="O2" s="861"/>
      <c r="P2" s="861"/>
    </row>
    <row r="3" spans="1:16" s="278" customFormat="1" ht="56.25" customHeight="1">
      <c r="A3" s="1396" t="s">
        <v>2</v>
      </c>
      <c r="B3" s="1396"/>
      <c r="C3" s="1396"/>
      <c r="D3" s="1396"/>
      <c r="E3" s="1396"/>
      <c r="F3" s="1396"/>
      <c r="G3" s="1396"/>
      <c r="H3" s="1396"/>
    </row>
    <row r="4" spans="1:16" s="278" customFormat="1" ht="36.75" customHeight="1">
      <c r="A4" s="790" t="s">
        <v>3</v>
      </c>
      <c r="B4" s="791" t="s">
        <v>4</v>
      </c>
      <c r="C4" s="792" t="s">
        <v>5</v>
      </c>
      <c r="D4" s="792" t="s">
        <v>6</v>
      </c>
      <c r="E4" s="792" t="s">
        <v>7</v>
      </c>
      <c r="F4" s="792" t="s">
        <v>8</v>
      </c>
      <c r="G4" s="793" t="s">
        <v>9</v>
      </c>
      <c r="H4" s="794" t="s">
        <v>10</v>
      </c>
    </row>
    <row r="5" spans="1:16" s="278" customFormat="1" ht="16.5">
      <c r="A5" s="795">
        <v>1.1000000000000001</v>
      </c>
      <c r="B5" s="796" t="s">
        <v>11</v>
      </c>
      <c r="C5" s="797"/>
      <c r="D5" s="798"/>
      <c r="E5" s="799"/>
      <c r="F5" s="799"/>
      <c r="G5" s="800"/>
      <c r="H5" s="801"/>
    </row>
    <row r="6" spans="1:16" s="278" customFormat="1" ht="16.5">
      <c r="A6" s="802" t="s">
        <v>12</v>
      </c>
      <c r="B6" s="803" t="s">
        <v>13</v>
      </c>
      <c r="C6" s="308">
        <v>1</v>
      </c>
      <c r="D6" s="804">
        <v>0.86</v>
      </c>
      <c r="E6" s="272">
        <v>3</v>
      </c>
      <c r="F6" s="805">
        <v>0</v>
      </c>
      <c r="G6" s="806">
        <v>2</v>
      </c>
      <c r="H6" s="305">
        <f>C6*D6*E6*F6*G6</f>
        <v>0</v>
      </c>
    </row>
    <row r="7" spans="1:16" s="278" customFormat="1" ht="16.5">
      <c r="A7" s="802" t="s">
        <v>14</v>
      </c>
      <c r="B7" s="803" t="s">
        <v>15</v>
      </c>
      <c r="C7" s="807">
        <v>1</v>
      </c>
      <c r="D7" s="808">
        <v>0.25</v>
      </c>
      <c r="E7" s="809">
        <v>3</v>
      </c>
      <c r="F7" s="810">
        <v>0</v>
      </c>
      <c r="G7" s="315">
        <v>2</v>
      </c>
      <c r="H7" s="305">
        <f>C7*D7*E7*F7*G7</f>
        <v>0</v>
      </c>
    </row>
    <row r="8" spans="1:16" s="278" customFormat="1" ht="16.5">
      <c r="A8" s="1485" t="s">
        <v>16</v>
      </c>
      <c r="B8" s="1485"/>
      <c r="C8" s="1485"/>
      <c r="D8" s="1485"/>
      <c r="E8" s="1485"/>
      <c r="F8" s="1485"/>
      <c r="G8" s="1485"/>
      <c r="H8" s="811">
        <f>+H7+H6</f>
        <v>0</v>
      </c>
      <c r="I8" s="812"/>
    </row>
    <row r="9" spans="1:16" s="278" customFormat="1" ht="33">
      <c r="A9" s="813" t="s">
        <v>17</v>
      </c>
      <c r="B9" s="814" t="s">
        <v>18</v>
      </c>
      <c r="C9" s="815" t="s">
        <v>5</v>
      </c>
      <c r="D9" s="815" t="s">
        <v>6</v>
      </c>
      <c r="E9" s="815" t="s">
        <v>7</v>
      </c>
      <c r="F9" s="815" t="s">
        <v>8</v>
      </c>
      <c r="G9" s="816" t="s">
        <v>9</v>
      </c>
      <c r="H9" s="817" t="s">
        <v>19</v>
      </c>
    </row>
    <row r="10" spans="1:16" s="278" customFormat="1" ht="25.5">
      <c r="A10" s="307" t="s">
        <v>20</v>
      </c>
      <c r="B10" s="803" t="s">
        <v>21</v>
      </c>
      <c r="C10" s="308">
        <v>1</v>
      </c>
      <c r="D10" s="309">
        <v>0.8</v>
      </c>
      <c r="E10" s="809">
        <v>3</v>
      </c>
      <c r="F10" s="818">
        <v>0</v>
      </c>
      <c r="G10" s="315">
        <f>+G6</f>
        <v>2</v>
      </c>
      <c r="H10" s="305">
        <f>C10*D10*E10*F10*G10</f>
        <v>0</v>
      </c>
    </row>
    <row r="11" spans="1:16" s="278" customFormat="1" ht="16.5">
      <c r="A11" s="307" t="s">
        <v>22</v>
      </c>
      <c r="B11" s="803" t="s">
        <v>23</v>
      </c>
      <c r="C11" s="308">
        <v>1</v>
      </c>
      <c r="D11" s="309">
        <v>0.33</v>
      </c>
      <c r="E11" s="809">
        <v>2</v>
      </c>
      <c r="F11" s="818">
        <v>0</v>
      </c>
      <c r="G11" s="315">
        <f>+G6</f>
        <v>2</v>
      </c>
      <c r="H11" s="305">
        <f>C11*D11*E11*F11*G11</f>
        <v>0</v>
      </c>
    </row>
    <row r="12" spans="1:16" s="278" customFormat="1" ht="16.5">
      <c r="A12" s="819" t="s">
        <v>24</v>
      </c>
      <c r="B12" s="803" t="s">
        <v>25</v>
      </c>
      <c r="C12" s="308">
        <v>1</v>
      </c>
      <c r="D12" s="820">
        <v>0.33</v>
      </c>
      <c r="E12" s="821">
        <v>2</v>
      </c>
      <c r="F12" s="822">
        <v>0</v>
      </c>
      <c r="G12" s="823">
        <f>+G11</f>
        <v>2</v>
      </c>
      <c r="H12" s="305">
        <f>C12*D12*E12*F12*G12</f>
        <v>0</v>
      </c>
    </row>
    <row r="13" spans="1:16" s="278" customFormat="1" ht="16.5">
      <c r="A13" s="819" t="s">
        <v>26</v>
      </c>
      <c r="B13" s="803" t="s">
        <v>27</v>
      </c>
      <c r="C13" s="824">
        <v>1</v>
      </c>
      <c r="D13" s="309">
        <v>1</v>
      </c>
      <c r="E13" s="825">
        <v>3</v>
      </c>
      <c r="F13" s="818">
        <v>0</v>
      </c>
      <c r="G13" s="823">
        <f>+G12</f>
        <v>2</v>
      </c>
      <c r="H13" s="305">
        <f>C13*D13*E13*F13*G13</f>
        <v>0</v>
      </c>
    </row>
    <row r="14" spans="1:16" s="278" customFormat="1" ht="16.5">
      <c r="A14" s="1486" t="s">
        <v>28</v>
      </c>
      <c r="B14" s="1486"/>
      <c r="C14" s="1486"/>
      <c r="D14" s="1486"/>
      <c r="E14" s="1486"/>
      <c r="F14" s="1486"/>
      <c r="G14" s="1486"/>
      <c r="H14" s="872">
        <f>SUM(H10:H13)</f>
        <v>0</v>
      </c>
    </row>
    <row r="15" spans="1:16" s="278" customFormat="1" ht="33">
      <c r="A15" s="790" t="s">
        <v>29</v>
      </c>
      <c r="B15" s="826" t="s">
        <v>30</v>
      </c>
      <c r="C15" s="792" t="s">
        <v>5</v>
      </c>
      <c r="D15" s="792" t="s">
        <v>6</v>
      </c>
      <c r="E15" s="792" t="s">
        <v>7</v>
      </c>
      <c r="F15" s="792" t="s">
        <v>8</v>
      </c>
      <c r="G15" s="827" t="s">
        <v>9</v>
      </c>
      <c r="H15" s="794" t="s">
        <v>19</v>
      </c>
    </row>
    <row r="16" spans="1:16" s="278" customFormat="1" ht="16.5">
      <c r="A16" s="828" t="s">
        <v>31</v>
      </c>
      <c r="B16" s="803" t="s">
        <v>32</v>
      </c>
      <c r="C16" s="308">
        <v>1</v>
      </c>
      <c r="D16" s="309">
        <v>0.47</v>
      </c>
      <c r="E16" s="809">
        <v>2</v>
      </c>
      <c r="F16" s="818">
        <v>0</v>
      </c>
      <c r="G16" s="315">
        <v>2</v>
      </c>
      <c r="H16" s="305">
        <f>C16*D16*E16*F16*G16</f>
        <v>0</v>
      </c>
    </row>
    <row r="17" spans="1:16" s="278" customFormat="1" ht="16.5">
      <c r="A17" s="829" t="s">
        <v>33</v>
      </c>
      <c r="B17" s="803" t="s">
        <v>34</v>
      </c>
      <c r="C17" s="830">
        <v>1</v>
      </c>
      <c r="D17" s="831">
        <v>0.16</v>
      </c>
      <c r="E17" s="821">
        <v>3</v>
      </c>
      <c r="F17" s="822">
        <v>0</v>
      </c>
      <c r="G17" s="823">
        <f>+G16</f>
        <v>2</v>
      </c>
      <c r="H17" s="313">
        <f>C17*D17*E17*F17*G17</f>
        <v>0</v>
      </c>
    </row>
    <row r="18" spans="1:16" s="278" customFormat="1" ht="25.5">
      <c r="A18" s="314" t="s">
        <v>35</v>
      </c>
      <c r="B18" s="849" t="s">
        <v>36</v>
      </c>
      <c r="C18" s="272">
        <v>1</v>
      </c>
      <c r="D18" s="309">
        <v>0.33</v>
      </c>
      <c r="E18" s="809">
        <v>2</v>
      </c>
      <c r="F18" s="818">
        <v>0</v>
      </c>
      <c r="G18" s="832">
        <v>2</v>
      </c>
      <c r="H18" s="305">
        <f>C18*D18*E18*F18*G18</f>
        <v>0</v>
      </c>
    </row>
    <row r="19" spans="1:16" s="278" customFormat="1" ht="16.5" customHeight="1">
      <c r="A19" s="1487" t="s">
        <v>37</v>
      </c>
      <c r="B19" s="1487"/>
      <c r="C19" s="1487"/>
      <c r="D19" s="1487"/>
      <c r="E19" s="1487"/>
      <c r="F19" s="1487"/>
      <c r="G19" s="1487"/>
      <c r="H19" s="833">
        <f>SUM(H16:H18)</f>
        <v>0</v>
      </c>
    </row>
    <row r="20" spans="1:16" s="278" customFormat="1" ht="34.5" customHeight="1">
      <c r="A20" s="813" t="s">
        <v>38</v>
      </c>
      <c r="B20" s="814" t="s">
        <v>39</v>
      </c>
      <c r="C20" s="815" t="s">
        <v>5</v>
      </c>
      <c r="D20" s="815" t="s">
        <v>6</v>
      </c>
      <c r="E20" s="815" t="s">
        <v>7</v>
      </c>
      <c r="F20" s="815" t="s">
        <v>8</v>
      </c>
      <c r="G20" s="834" t="s">
        <v>9</v>
      </c>
      <c r="H20" s="817" t="s">
        <v>19</v>
      </c>
    </row>
    <row r="21" spans="1:16" s="278" customFormat="1" ht="16.5">
      <c r="A21" s="307" t="s">
        <v>40</v>
      </c>
      <c r="B21" s="306" t="s">
        <v>41</v>
      </c>
      <c r="C21" s="308">
        <v>1</v>
      </c>
      <c r="D21" s="309">
        <v>0.99</v>
      </c>
      <c r="E21" s="310">
        <v>3</v>
      </c>
      <c r="F21" s="311">
        <v>0</v>
      </c>
      <c r="G21" s="312">
        <v>2</v>
      </c>
      <c r="H21" s="313">
        <f>C21*D21*E21*F21*G21</f>
        <v>0</v>
      </c>
      <c r="I21" s="835"/>
    </row>
    <row r="22" spans="1:16" s="278" customFormat="1" ht="16.5">
      <c r="A22" s="307" t="s">
        <v>42</v>
      </c>
      <c r="B22" s="306" t="s">
        <v>43</v>
      </c>
      <c r="C22" s="308">
        <v>1</v>
      </c>
      <c r="D22" s="309">
        <v>0.99</v>
      </c>
      <c r="E22" s="310">
        <v>3</v>
      </c>
      <c r="F22" s="311">
        <v>0</v>
      </c>
      <c r="G22" s="312">
        <v>2</v>
      </c>
      <c r="H22" s="313">
        <f>C22*D22*E22*F22*G22</f>
        <v>0</v>
      </c>
      <c r="I22" s="835"/>
    </row>
    <row r="23" spans="1:16" s="278" customFormat="1" ht="16.5">
      <c r="A23" s="1488" t="s">
        <v>44</v>
      </c>
      <c r="B23" s="1488"/>
      <c r="C23" s="1488"/>
      <c r="D23" s="1488"/>
      <c r="E23" s="1488"/>
      <c r="F23" s="1488"/>
      <c r="G23" s="1488"/>
      <c r="H23" s="836">
        <f>SUM(H21:H22)</f>
        <v>0</v>
      </c>
      <c r="I23" s="837"/>
      <c r="M23" s="835"/>
    </row>
    <row r="24" spans="1:16" s="278" customFormat="1" ht="16.5">
      <c r="A24" s="1492" t="s">
        <v>45</v>
      </c>
      <c r="B24" s="1492"/>
      <c r="C24" s="1492"/>
      <c r="D24" s="1492"/>
      <c r="E24" s="1492"/>
      <c r="F24" s="1492"/>
      <c r="G24" s="1492"/>
      <c r="H24" s="838">
        <f>H14+H8+H19+H23</f>
        <v>0</v>
      </c>
      <c r="J24" s="277"/>
      <c r="M24" s="835"/>
      <c r="N24" s="835"/>
      <c r="P24" s="835"/>
    </row>
    <row r="25" spans="1:16" ht="15" customHeight="1">
      <c r="B25" s="839"/>
    </row>
    <row r="26" spans="1:16" s="278" customFormat="1" ht="16.5">
      <c r="A26" s="1389" t="s">
        <v>46</v>
      </c>
      <c r="B26" s="1389"/>
      <c r="C26" s="1389"/>
      <c r="D26" s="1389"/>
      <c r="E26" s="1389"/>
      <c r="F26" s="1389"/>
      <c r="G26" s="1389"/>
      <c r="H26" s="873">
        <f>+H24</f>
        <v>0</v>
      </c>
      <c r="I26" s="812"/>
    </row>
    <row r="27" spans="1:16" s="278" customFormat="1" ht="16.5" customHeight="1">
      <c r="A27" s="912"/>
      <c r="B27" s="787"/>
      <c r="C27" s="788"/>
      <c r="D27" s="788"/>
    </row>
    <row r="28" spans="1:16" s="162" customFormat="1" ht="67.5" customHeight="1">
      <c r="A28" s="1396" t="s">
        <v>47</v>
      </c>
      <c r="B28" s="1396"/>
      <c r="C28" s="1396"/>
      <c r="D28" s="1396"/>
      <c r="E28" s="1396"/>
      <c r="F28" s="1396"/>
      <c r="G28" s="1396"/>
      <c r="H28" s="222"/>
      <c r="I28" s="222"/>
      <c r="J28" s="222"/>
      <c r="K28" s="222"/>
    </row>
    <row r="29" spans="1:16" s="162" customFormat="1" ht="16.5" customHeight="1">
      <c r="A29" s="226" t="s">
        <v>48</v>
      </c>
      <c r="B29" s="1493" t="s">
        <v>49</v>
      </c>
      <c r="C29" s="1493"/>
      <c r="D29" s="1493"/>
      <c r="E29" s="1493"/>
      <c r="F29" s="1493"/>
      <c r="G29" s="1493"/>
    </row>
    <row r="30" spans="1:16" s="162" customFormat="1" ht="16.5">
      <c r="A30" s="227"/>
      <c r="B30" s="1447" t="s">
        <v>50</v>
      </c>
      <c r="C30" s="1447"/>
      <c r="D30" s="229" t="s">
        <v>51</v>
      </c>
      <c r="E30" s="230" t="s">
        <v>52</v>
      </c>
      <c r="F30" s="231" t="s">
        <v>53</v>
      </c>
      <c r="G30" s="231" t="s">
        <v>54</v>
      </c>
    </row>
    <row r="31" spans="1:16" s="162" customFormat="1" ht="16.5">
      <c r="A31" s="232" t="s">
        <v>55</v>
      </c>
      <c r="B31" s="1494" t="s">
        <v>56</v>
      </c>
      <c r="C31" s="1494"/>
      <c r="D31" s="1494"/>
      <c r="E31" s="1494"/>
      <c r="F31" s="1494"/>
      <c r="G31" s="1494"/>
    </row>
    <row r="32" spans="1:16" s="162" customFormat="1" ht="24.75" customHeight="1">
      <c r="A32" s="233" t="s">
        <v>57</v>
      </c>
      <c r="B32" s="1449" t="s">
        <v>58</v>
      </c>
      <c r="C32" s="1449"/>
      <c r="D32" s="234" t="s">
        <v>59</v>
      </c>
      <c r="E32" s="234">
        <v>68</v>
      </c>
      <c r="F32" s="235">
        <v>0</v>
      </c>
      <c r="G32" s="236">
        <f>F32*E32</f>
        <v>0</v>
      </c>
    </row>
    <row r="33" spans="1:8" s="162" customFormat="1" ht="23.25" customHeight="1">
      <c r="A33" s="233" t="s">
        <v>60</v>
      </c>
      <c r="B33" s="1449" t="s">
        <v>61</v>
      </c>
      <c r="C33" s="1449"/>
      <c r="D33" s="234" t="s">
        <v>62</v>
      </c>
      <c r="E33" s="234">
        <v>4</v>
      </c>
      <c r="F33" s="235">
        <v>0</v>
      </c>
      <c r="G33" s="236">
        <f t="shared" ref="G33:G34" si="0">F33*E33</f>
        <v>0</v>
      </c>
    </row>
    <row r="34" spans="1:8" s="162" customFormat="1" ht="24.75" customHeight="1">
      <c r="A34" s="233" t="s">
        <v>63</v>
      </c>
      <c r="B34" s="1489" t="s">
        <v>64</v>
      </c>
      <c r="C34" s="1489"/>
      <c r="D34" s="234" t="s">
        <v>59</v>
      </c>
      <c r="E34" s="234">
        <v>4</v>
      </c>
      <c r="F34" s="235">
        <v>0</v>
      </c>
      <c r="G34" s="236">
        <f t="shared" si="0"/>
        <v>0</v>
      </c>
    </row>
    <row r="35" spans="1:8" s="162" customFormat="1" ht="32.1" customHeight="1">
      <c r="A35" s="233"/>
      <c r="B35" s="1490" t="s">
        <v>65</v>
      </c>
      <c r="C35" s="1490"/>
      <c r="D35" s="1490"/>
      <c r="E35" s="1490"/>
      <c r="F35" s="1490"/>
      <c r="G35" s="241">
        <f>SUM(G32:G34)</f>
        <v>0</v>
      </c>
    </row>
    <row r="36" spans="1:8" s="162" customFormat="1" ht="16.5">
      <c r="A36" s="227"/>
      <c r="B36" s="1447" t="s">
        <v>50</v>
      </c>
      <c r="C36" s="1447"/>
      <c r="D36" s="229" t="s">
        <v>51</v>
      </c>
      <c r="E36" s="230" t="s">
        <v>52</v>
      </c>
      <c r="F36" s="231" t="s">
        <v>53</v>
      </c>
      <c r="G36" s="231" t="s">
        <v>54</v>
      </c>
    </row>
    <row r="37" spans="1:8" s="162" customFormat="1" ht="32.1" customHeight="1">
      <c r="A37" s="237" t="s">
        <v>66</v>
      </c>
      <c r="B37" s="1491" t="s">
        <v>67</v>
      </c>
      <c r="C37" s="1491"/>
      <c r="D37" s="1491"/>
      <c r="E37" s="1491"/>
      <c r="F37" s="1491"/>
      <c r="G37" s="1491"/>
      <c r="H37" s="858"/>
    </row>
    <row r="38" spans="1:8" s="162" customFormat="1" ht="25.5" customHeight="1">
      <c r="A38" s="238" t="s">
        <v>68</v>
      </c>
      <c r="B38" s="1479" t="s">
        <v>61</v>
      </c>
      <c r="C38" s="1479"/>
      <c r="D38" s="239" t="s">
        <v>62</v>
      </c>
      <c r="E38" s="234">
        <v>4</v>
      </c>
      <c r="F38" s="240">
        <v>0</v>
      </c>
      <c r="G38" s="236">
        <f>E38*F38</f>
        <v>0</v>
      </c>
    </row>
    <row r="39" spans="1:8" s="162" customFormat="1" ht="26.25" customHeight="1">
      <c r="A39" s="238" t="s">
        <v>69</v>
      </c>
      <c r="B39" s="1448" t="s">
        <v>70</v>
      </c>
      <c r="C39" s="1448"/>
      <c r="D39" s="239" t="s">
        <v>71</v>
      </c>
      <c r="E39" s="234">
        <v>68</v>
      </c>
      <c r="F39" s="240">
        <v>0</v>
      </c>
      <c r="G39" s="236">
        <f t="shared" ref="G39:G40" si="1">E39*F39</f>
        <v>0</v>
      </c>
    </row>
    <row r="40" spans="1:8" s="162" customFormat="1" ht="21" customHeight="1">
      <c r="A40" s="238" t="s">
        <v>72</v>
      </c>
      <c r="B40" s="1451" t="s">
        <v>64</v>
      </c>
      <c r="C40" s="1451"/>
      <c r="D40" s="239" t="s">
        <v>59</v>
      </c>
      <c r="E40" s="234">
        <v>2</v>
      </c>
      <c r="F40" s="240">
        <v>0</v>
      </c>
      <c r="G40" s="236">
        <f t="shared" si="1"/>
        <v>0</v>
      </c>
    </row>
    <row r="41" spans="1:8" s="162" customFormat="1" ht="18.75" customHeight="1">
      <c r="A41" s="238"/>
      <c r="B41" s="1455" t="s">
        <v>73</v>
      </c>
      <c r="C41" s="1455"/>
      <c r="D41" s="1455"/>
      <c r="E41" s="1455"/>
      <c r="F41" s="1455"/>
      <c r="G41" s="241">
        <f>SUM(G38:G40)</f>
        <v>0</v>
      </c>
      <c r="H41" s="859"/>
    </row>
    <row r="42" spans="1:8" s="162" customFormat="1" ht="16.5">
      <c r="A42" s="227"/>
      <c r="B42" s="1447" t="s">
        <v>50</v>
      </c>
      <c r="C42" s="1447"/>
      <c r="D42" s="229" t="s">
        <v>51</v>
      </c>
      <c r="E42" s="230" t="s">
        <v>52</v>
      </c>
      <c r="F42" s="231" t="s">
        <v>53</v>
      </c>
      <c r="G42" s="231" t="s">
        <v>54</v>
      </c>
    </row>
    <row r="43" spans="1:8" s="162" customFormat="1" ht="27" customHeight="1">
      <c r="A43" s="151" t="s">
        <v>74</v>
      </c>
      <c r="B43" s="1480" t="s">
        <v>75</v>
      </c>
      <c r="C43" s="1480"/>
      <c r="D43" s="1480"/>
      <c r="E43" s="1480"/>
      <c r="F43" s="1480"/>
      <c r="G43" s="1480"/>
    </row>
    <row r="44" spans="1:8" s="162" customFormat="1" ht="21.75" customHeight="1">
      <c r="A44" s="238" t="s">
        <v>76</v>
      </c>
      <c r="B44" s="1448" t="s">
        <v>61</v>
      </c>
      <c r="C44" s="1448"/>
      <c r="D44" s="242" t="s">
        <v>77</v>
      </c>
      <c r="E44" s="243">
        <v>2</v>
      </c>
      <c r="F44" s="235">
        <v>0</v>
      </c>
      <c r="G44" s="236">
        <f t="shared" ref="G44:G46" si="2">F44*E44</f>
        <v>0</v>
      </c>
    </row>
    <row r="45" spans="1:8" s="162" customFormat="1" ht="23.25" customHeight="1">
      <c r="A45" s="238" t="s">
        <v>78</v>
      </c>
      <c r="B45" s="1473" t="s">
        <v>79</v>
      </c>
      <c r="C45" s="1473"/>
      <c r="D45" s="242" t="s">
        <v>59</v>
      </c>
      <c r="E45" s="243">
        <v>34</v>
      </c>
      <c r="F45" s="235">
        <v>0</v>
      </c>
      <c r="G45" s="236">
        <f t="shared" si="2"/>
        <v>0</v>
      </c>
    </row>
    <row r="46" spans="1:8" s="162" customFormat="1" ht="19.5" customHeight="1">
      <c r="A46" s="238" t="s">
        <v>80</v>
      </c>
      <c r="B46" s="1473" t="s">
        <v>64</v>
      </c>
      <c r="C46" s="1473"/>
      <c r="D46" s="242" t="s">
        <v>59</v>
      </c>
      <c r="E46" s="243">
        <v>2</v>
      </c>
      <c r="F46" s="244">
        <v>0</v>
      </c>
      <c r="G46" s="236">
        <f t="shared" si="2"/>
        <v>0</v>
      </c>
    </row>
    <row r="47" spans="1:8" s="162" customFormat="1" ht="17.25" customHeight="1">
      <c r="A47" s="245"/>
      <c r="B47" s="1477" t="s">
        <v>81</v>
      </c>
      <c r="C47" s="1477"/>
      <c r="D47" s="1477"/>
      <c r="E47" s="1477"/>
      <c r="F47" s="1477"/>
      <c r="G47" s="246">
        <f>SUM(G44:G46)</f>
        <v>0</v>
      </c>
      <c r="H47" s="224"/>
    </row>
    <row r="48" spans="1:8" s="162" customFormat="1" ht="16.5">
      <c r="A48" s="227"/>
      <c r="B48" s="1447" t="s">
        <v>50</v>
      </c>
      <c r="C48" s="1447"/>
      <c r="D48" s="229" t="s">
        <v>51</v>
      </c>
      <c r="E48" s="230" t="s">
        <v>52</v>
      </c>
      <c r="F48" s="231" t="s">
        <v>53</v>
      </c>
      <c r="G48" s="231" t="s">
        <v>54</v>
      </c>
    </row>
    <row r="49" spans="1:8" s="162" customFormat="1" ht="34.5" customHeight="1">
      <c r="A49" s="247" t="s">
        <v>82</v>
      </c>
      <c r="B49" s="1478" t="s">
        <v>83</v>
      </c>
      <c r="C49" s="1478"/>
      <c r="D49" s="1478"/>
      <c r="E49" s="1478"/>
      <c r="F49" s="1478"/>
      <c r="G49" s="1478"/>
    </row>
    <row r="50" spans="1:8" s="162" customFormat="1" ht="22.5" customHeight="1">
      <c r="A50" s="248" t="s">
        <v>84</v>
      </c>
      <c r="B50" s="1448" t="s">
        <v>61</v>
      </c>
      <c r="C50" s="1448"/>
      <c r="D50" s="249" t="s">
        <v>77</v>
      </c>
      <c r="E50" s="243">
        <v>3</v>
      </c>
      <c r="F50" s="235">
        <v>0</v>
      </c>
      <c r="G50" s="250">
        <f t="shared" ref="G50" si="3">F50*E50</f>
        <v>0</v>
      </c>
    </row>
    <row r="51" spans="1:8" s="162" customFormat="1" ht="21.75" customHeight="1">
      <c r="A51" s="248" t="s">
        <v>85</v>
      </c>
      <c r="B51" s="1448" t="s">
        <v>86</v>
      </c>
      <c r="C51" s="1448"/>
      <c r="D51" s="249" t="s">
        <v>59</v>
      </c>
      <c r="E51" s="243">
        <v>3</v>
      </c>
      <c r="F51" s="235">
        <v>0</v>
      </c>
      <c r="G51" s="250">
        <f>F51*E51</f>
        <v>0</v>
      </c>
      <c r="H51" s="251"/>
    </row>
    <row r="52" spans="1:8" s="162" customFormat="1" ht="17.25" customHeight="1">
      <c r="A52" s="248" t="s">
        <v>87</v>
      </c>
      <c r="B52" s="1470" t="s">
        <v>64</v>
      </c>
      <c r="C52" s="1470"/>
      <c r="D52" s="249" t="s">
        <v>59</v>
      </c>
      <c r="E52" s="243">
        <v>3</v>
      </c>
      <c r="F52" s="235">
        <v>0</v>
      </c>
      <c r="G52" s="250">
        <f>F52*E52</f>
        <v>0</v>
      </c>
    </row>
    <row r="53" spans="1:8" s="162" customFormat="1" ht="17.25" customHeight="1">
      <c r="A53" s="248" t="s">
        <v>88</v>
      </c>
      <c r="B53" s="1475" t="s">
        <v>89</v>
      </c>
      <c r="C53" s="1475"/>
      <c r="D53" s="249" t="s">
        <v>59</v>
      </c>
      <c r="E53" s="243">
        <v>3</v>
      </c>
      <c r="F53" s="235">
        <v>0</v>
      </c>
      <c r="G53" s="250">
        <f>F53*E53</f>
        <v>0</v>
      </c>
    </row>
    <row r="54" spans="1:8" s="162" customFormat="1" ht="27" customHeight="1">
      <c r="A54" s="245"/>
      <c r="B54" s="1463" t="s">
        <v>90</v>
      </c>
      <c r="C54" s="1463"/>
      <c r="D54" s="1463"/>
      <c r="E54" s="1463"/>
      <c r="F54" s="1463"/>
      <c r="G54" s="252">
        <f>SUM(G50:G53)</f>
        <v>0</v>
      </c>
      <c r="H54" s="224"/>
    </row>
    <row r="55" spans="1:8" s="162" customFormat="1" ht="28.5" customHeight="1">
      <c r="A55" s="225" t="s">
        <v>91</v>
      </c>
      <c r="B55" s="1476" t="s">
        <v>92</v>
      </c>
      <c r="C55" s="1476"/>
      <c r="D55" s="1476"/>
      <c r="E55" s="1476"/>
      <c r="F55" s="1476"/>
      <c r="G55" s="1476"/>
    </row>
    <row r="56" spans="1:8" s="162" customFormat="1" ht="28.5" customHeight="1">
      <c r="A56" s="225"/>
      <c r="B56" s="1471" t="s">
        <v>50</v>
      </c>
      <c r="C56" s="1471"/>
      <c r="D56" s="254" t="s">
        <v>51</v>
      </c>
      <c r="E56" s="255" t="s">
        <v>52</v>
      </c>
      <c r="F56" s="256" t="s">
        <v>53</v>
      </c>
      <c r="G56" s="256" t="s">
        <v>54</v>
      </c>
    </row>
    <row r="57" spans="1:8" s="258" customFormat="1" ht="31.5" customHeight="1">
      <c r="A57" s="257" t="s">
        <v>93</v>
      </c>
      <c r="B57" s="1472" t="s">
        <v>94</v>
      </c>
      <c r="C57" s="1472"/>
      <c r="D57" s="1472"/>
      <c r="E57" s="1472"/>
      <c r="F57" s="1472"/>
      <c r="G57" s="1472"/>
    </row>
    <row r="58" spans="1:8" s="162" customFormat="1" ht="21.75" customHeight="1">
      <c r="A58" s="259" t="s">
        <v>95</v>
      </c>
      <c r="B58" s="1448" t="s">
        <v>96</v>
      </c>
      <c r="C58" s="1448"/>
      <c r="D58" s="249" t="s">
        <v>77</v>
      </c>
      <c r="E58" s="242">
        <v>40</v>
      </c>
      <c r="F58" s="260">
        <v>0</v>
      </c>
      <c r="G58" s="261">
        <f t="shared" ref="G58:G61" si="4">E58*F58</f>
        <v>0</v>
      </c>
    </row>
    <row r="59" spans="1:8" s="162" customFormat="1" ht="22.5" customHeight="1">
      <c r="A59" s="259" t="s">
        <v>97</v>
      </c>
      <c r="B59" s="1473" t="s">
        <v>70</v>
      </c>
      <c r="C59" s="1473"/>
      <c r="D59" s="249" t="s">
        <v>71</v>
      </c>
      <c r="E59" s="242">
        <v>320</v>
      </c>
      <c r="F59" s="260">
        <v>0</v>
      </c>
      <c r="G59" s="261">
        <f t="shared" si="4"/>
        <v>0</v>
      </c>
    </row>
    <row r="60" spans="1:8" s="162" customFormat="1" ht="15" customHeight="1">
      <c r="A60" s="259" t="s">
        <v>98</v>
      </c>
      <c r="B60" s="1473" t="s">
        <v>99</v>
      </c>
      <c r="C60" s="1473"/>
      <c r="D60" s="249" t="s">
        <v>71</v>
      </c>
      <c r="E60" s="242">
        <v>68</v>
      </c>
      <c r="F60" s="260">
        <v>0</v>
      </c>
      <c r="G60" s="261">
        <f t="shared" si="4"/>
        <v>0</v>
      </c>
      <c r="H60" s="251"/>
    </row>
    <row r="61" spans="1:8" s="162" customFormat="1" ht="20.25" customHeight="1">
      <c r="A61" s="259" t="s">
        <v>100</v>
      </c>
      <c r="B61" s="1474" t="s">
        <v>64</v>
      </c>
      <c r="C61" s="1474"/>
      <c r="D61" s="249" t="s">
        <v>71</v>
      </c>
      <c r="E61" s="242">
        <v>10</v>
      </c>
      <c r="F61" s="260">
        <v>0</v>
      </c>
      <c r="G61" s="261">
        <f t="shared" si="4"/>
        <v>0</v>
      </c>
    </row>
    <row r="62" spans="1:8" s="162" customFormat="1" ht="20.25" customHeight="1">
      <c r="A62" s="259" t="s">
        <v>101</v>
      </c>
      <c r="B62" s="1467" t="s">
        <v>102</v>
      </c>
      <c r="C62" s="1467"/>
      <c r="D62" s="249" t="s">
        <v>71</v>
      </c>
      <c r="E62" s="242">
        <v>17</v>
      </c>
      <c r="F62" s="260">
        <v>0</v>
      </c>
      <c r="G62" s="261">
        <f>E62*F62</f>
        <v>0</v>
      </c>
    </row>
    <row r="63" spans="1:8" s="162" customFormat="1" ht="31.5" customHeight="1">
      <c r="A63" s="262"/>
      <c r="B63" s="1455" t="s">
        <v>103</v>
      </c>
      <c r="C63" s="1455"/>
      <c r="D63" s="1455"/>
      <c r="E63" s="1455"/>
      <c r="F63" s="1455"/>
      <c r="G63" s="263">
        <f>SUM(G58:G62)</f>
        <v>0</v>
      </c>
    </row>
    <row r="64" spans="1:8" s="162" customFormat="1" ht="31.5" customHeight="1">
      <c r="A64" s="264" t="s">
        <v>104</v>
      </c>
      <c r="B64" s="1468" t="s">
        <v>105</v>
      </c>
      <c r="C64" s="1468"/>
      <c r="D64" s="1468"/>
      <c r="E64" s="1468"/>
      <c r="F64" s="1468"/>
      <c r="G64" s="1468"/>
    </row>
    <row r="65" spans="1:8" s="162" customFormat="1" ht="31.5" customHeight="1">
      <c r="A65" s="264"/>
      <c r="B65" s="1454" t="s">
        <v>50</v>
      </c>
      <c r="C65" s="1454"/>
      <c r="D65" s="266" t="s">
        <v>51</v>
      </c>
      <c r="E65" s="267" t="s">
        <v>52</v>
      </c>
      <c r="F65" s="268" t="s">
        <v>53</v>
      </c>
      <c r="G65" s="268" t="s">
        <v>54</v>
      </c>
    </row>
    <row r="66" spans="1:8" s="162" customFormat="1" ht="28.5" customHeight="1">
      <c r="A66" s="262" t="s">
        <v>106</v>
      </c>
      <c r="B66" s="1469" t="s">
        <v>107</v>
      </c>
      <c r="C66" s="1469"/>
      <c r="D66" s="1469"/>
      <c r="E66" s="1469"/>
      <c r="F66" s="1469"/>
      <c r="G66" s="1469"/>
    </row>
    <row r="67" spans="1:8" s="162" customFormat="1" ht="22.5" customHeight="1">
      <c r="A67" s="259" t="s">
        <v>108</v>
      </c>
      <c r="B67" s="1470" t="s">
        <v>96</v>
      </c>
      <c r="C67" s="1470"/>
      <c r="D67" s="249" t="s">
        <v>77</v>
      </c>
      <c r="E67" s="249">
        <v>40</v>
      </c>
      <c r="F67" s="235">
        <v>0</v>
      </c>
      <c r="G67" s="269">
        <f>F67*E67</f>
        <v>0</v>
      </c>
    </row>
    <row r="68" spans="1:8" s="162" customFormat="1" ht="25.5" customHeight="1">
      <c r="A68" s="259" t="s">
        <v>109</v>
      </c>
      <c r="B68" s="1464" t="s">
        <v>70</v>
      </c>
      <c r="C68" s="1464"/>
      <c r="D68" s="249" t="s">
        <v>71</v>
      </c>
      <c r="E68" s="249">
        <v>308</v>
      </c>
      <c r="F68" s="235">
        <v>0</v>
      </c>
      <c r="G68" s="269">
        <f>F68*E68</f>
        <v>0</v>
      </c>
    </row>
    <row r="69" spans="1:8" s="162" customFormat="1" ht="23.25" customHeight="1">
      <c r="A69" s="259" t="s">
        <v>110</v>
      </c>
      <c r="B69" s="1465" t="s">
        <v>64</v>
      </c>
      <c r="C69" s="1465"/>
      <c r="D69" s="249" t="s">
        <v>71</v>
      </c>
      <c r="E69" s="249">
        <v>7</v>
      </c>
      <c r="F69" s="235">
        <v>0</v>
      </c>
      <c r="G69" s="269">
        <f>F69*E69</f>
        <v>0</v>
      </c>
    </row>
    <row r="70" spans="1:8" s="162" customFormat="1" ht="21.75" customHeight="1">
      <c r="A70" s="259" t="s">
        <v>111</v>
      </c>
      <c r="B70" s="1465" t="s">
        <v>112</v>
      </c>
      <c r="C70" s="1465"/>
      <c r="D70" s="249" t="s">
        <v>71</v>
      </c>
      <c r="E70" s="249">
        <v>51</v>
      </c>
      <c r="F70" s="235">
        <v>0</v>
      </c>
      <c r="G70" s="269">
        <f>F70*E70</f>
        <v>0</v>
      </c>
    </row>
    <row r="71" spans="1:8" s="162" customFormat="1" ht="31.5" customHeight="1">
      <c r="A71" s="259"/>
      <c r="B71" s="1466" t="s">
        <v>113</v>
      </c>
      <c r="C71" s="1466"/>
      <c r="D71" s="1466"/>
      <c r="E71" s="1466"/>
      <c r="F71" s="1466"/>
      <c r="G71" s="270">
        <f>SUM(G66:G70)</f>
        <v>0</v>
      </c>
      <c r="H71" s="859"/>
    </row>
    <row r="72" spans="1:8" s="162" customFormat="1" ht="16.5">
      <c r="A72" s="227"/>
      <c r="B72" s="1447" t="s">
        <v>50</v>
      </c>
      <c r="C72" s="1447"/>
      <c r="D72" s="229" t="s">
        <v>51</v>
      </c>
      <c r="E72" s="230" t="s">
        <v>52</v>
      </c>
      <c r="F72" s="231" t="s">
        <v>53</v>
      </c>
      <c r="G72" s="231" t="s">
        <v>54</v>
      </c>
    </row>
    <row r="73" spans="1:8" s="162" customFormat="1" ht="31.5" customHeight="1">
      <c r="A73" s="262" t="s">
        <v>114</v>
      </c>
      <c r="B73" s="1463" t="s">
        <v>115</v>
      </c>
      <c r="C73" s="1463"/>
      <c r="D73" s="1463"/>
      <c r="E73" s="1463"/>
      <c r="F73" s="1463"/>
      <c r="G73" s="271"/>
    </row>
    <row r="74" spans="1:8" s="278" customFormat="1" ht="21.75" customHeight="1">
      <c r="A74" s="272" t="s">
        <v>116</v>
      </c>
      <c r="B74" s="1459" t="s">
        <v>96</v>
      </c>
      <c r="C74" s="1459"/>
      <c r="D74" s="273" t="s">
        <v>77</v>
      </c>
      <c r="E74" s="274">
        <v>2</v>
      </c>
      <c r="F74" s="275">
        <v>0</v>
      </c>
      <c r="G74" s="276">
        <f>F74*E74</f>
        <v>0</v>
      </c>
      <c r="H74" s="277"/>
    </row>
    <row r="75" spans="1:8" s="278" customFormat="1" ht="20.25" customHeight="1">
      <c r="A75" s="272" t="s">
        <v>117</v>
      </c>
      <c r="B75" s="1460" t="s">
        <v>70</v>
      </c>
      <c r="C75" s="1460"/>
      <c r="D75" s="279" t="s">
        <v>71</v>
      </c>
      <c r="E75" s="274">
        <v>54</v>
      </c>
      <c r="F75" s="280">
        <v>0</v>
      </c>
      <c r="G75" s="276">
        <f>F75*E75</f>
        <v>0</v>
      </c>
    </row>
    <row r="76" spans="1:8" s="278" customFormat="1" ht="21" customHeight="1">
      <c r="A76" s="272" t="s">
        <v>118</v>
      </c>
      <c r="B76" s="1461" t="s">
        <v>119</v>
      </c>
      <c r="C76" s="1461"/>
      <c r="D76" s="279" t="s">
        <v>71</v>
      </c>
      <c r="E76" s="274">
        <v>54</v>
      </c>
      <c r="F76" s="280">
        <v>0</v>
      </c>
      <c r="G76" s="276">
        <f>F76*E76</f>
        <v>0</v>
      </c>
    </row>
    <row r="77" spans="1:8" s="278" customFormat="1" ht="21.75" customHeight="1">
      <c r="A77" s="272" t="s">
        <v>120</v>
      </c>
      <c r="B77" s="1462" t="s">
        <v>121</v>
      </c>
      <c r="C77" s="1462"/>
      <c r="D77" s="279" t="s">
        <v>71</v>
      </c>
      <c r="E77" s="274">
        <v>54</v>
      </c>
      <c r="F77" s="280">
        <v>0</v>
      </c>
      <c r="G77" s="276">
        <f>F77*E77</f>
        <v>0</v>
      </c>
    </row>
    <row r="78" spans="1:8" s="278" customFormat="1" ht="21.75" customHeight="1">
      <c r="A78" s="272" t="s">
        <v>122</v>
      </c>
      <c r="B78" s="1462" t="s">
        <v>123</v>
      </c>
      <c r="C78" s="1462"/>
      <c r="D78" s="279" t="s">
        <v>71</v>
      </c>
      <c r="E78" s="274">
        <v>2</v>
      </c>
      <c r="F78" s="280">
        <v>0</v>
      </c>
      <c r="G78" s="276">
        <f>F78*E78</f>
        <v>0</v>
      </c>
    </row>
    <row r="79" spans="1:8" s="162" customFormat="1" ht="31.5" customHeight="1">
      <c r="A79" s="262"/>
      <c r="B79" s="1463" t="s">
        <v>124</v>
      </c>
      <c r="C79" s="1463"/>
      <c r="D79" s="1463"/>
      <c r="E79" s="1463"/>
      <c r="F79" s="1463"/>
      <c r="G79" s="271">
        <f>SUM(G74:G78)</f>
        <v>0</v>
      </c>
    </row>
    <row r="80" spans="1:8" s="162" customFormat="1" ht="16.5">
      <c r="A80" s="227"/>
      <c r="B80" s="1447" t="s">
        <v>50</v>
      </c>
      <c r="C80" s="1447"/>
      <c r="D80" s="229" t="s">
        <v>51</v>
      </c>
      <c r="E80" s="230" t="s">
        <v>52</v>
      </c>
      <c r="F80" s="231" t="s">
        <v>53</v>
      </c>
      <c r="G80" s="231" t="s">
        <v>54</v>
      </c>
    </row>
    <row r="81" spans="1:8" s="162" customFormat="1" ht="26.25" customHeight="1">
      <c r="A81" s="245" t="s">
        <v>125</v>
      </c>
      <c r="B81" s="1455" t="s">
        <v>126</v>
      </c>
      <c r="C81" s="1455"/>
      <c r="D81" s="1455"/>
      <c r="E81" s="1455"/>
      <c r="F81" s="1455"/>
      <c r="G81" s="1455"/>
      <c r="H81" s="224"/>
    </row>
    <row r="82" spans="1:8" s="162" customFormat="1" ht="20.25" customHeight="1">
      <c r="A82" s="281" t="s">
        <v>127</v>
      </c>
      <c r="B82" s="1451" t="s">
        <v>96</v>
      </c>
      <c r="C82" s="1451"/>
      <c r="D82" s="282" t="s">
        <v>77</v>
      </c>
      <c r="E82" s="242">
        <v>7</v>
      </c>
      <c r="F82" s="283">
        <v>0</v>
      </c>
      <c r="G82" s="284">
        <f t="shared" ref="G82:G88" si="5">F82*E82</f>
        <v>0</v>
      </c>
      <c r="H82" s="224"/>
    </row>
    <row r="83" spans="1:8" s="162" customFormat="1" ht="20.25" customHeight="1">
      <c r="A83" s="281" t="s">
        <v>128</v>
      </c>
      <c r="B83" s="1451" t="s">
        <v>70</v>
      </c>
      <c r="C83" s="1451"/>
      <c r="D83" s="285" t="s">
        <v>71</v>
      </c>
      <c r="E83" s="242">
        <v>140</v>
      </c>
      <c r="F83" s="283">
        <v>0</v>
      </c>
      <c r="G83" s="284">
        <f t="shared" si="5"/>
        <v>0</v>
      </c>
      <c r="H83" s="224"/>
    </row>
    <row r="84" spans="1:8" s="162" customFormat="1" ht="20.25" customHeight="1">
      <c r="A84" s="281" t="s">
        <v>129</v>
      </c>
      <c r="B84" s="1451" t="s">
        <v>130</v>
      </c>
      <c r="C84" s="1451"/>
      <c r="D84" s="285" t="s">
        <v>71</v>
      </c>
      <c r="E84" s="242">
        <v>3</v>
      </c>
      <c r="F84" s="283">
        <v>0</v>
      </c>
      <c r="G84" s="284">
        <f t="shared" si="5"/>
        <v>0</v>
      </c>
      <c r="H84" s="224"/>
    </row>
    <row r="85" spans="1:8" s="162" customFormat="1" ht="20.25" customHeight="1">
      <c r="A85" s="281" t="s">
        <v>131</v>
      </c>
      <c r="B85" s="1451" t="s">
        <v>132</v>
      </c>
      <c r="C85" s="1451"/>
      <c r="D85" s="279" t="s">
        <v>71</v>
      </c>
      <c r="E85" s="242">
        <v>6</v>
      </c>
      <c r="F85" s="283">
        <v>0</v>
      </c>
      <c r="G85" s="284">
        <f t="shared" si="5"/>
        <v>0</v>
      </c>
      <c r="H85" s="224"/>
    </row>
    <row r="86" spans="1:8" s="162" customFormat="1" ht="20.25" customHeight="1">
      <c r="A86" s="281" t="s">
        <v>133</v>
      </c>
      <c r="B86" s="1451" t="s">
        <v>134</v>
      </c>
      <c r="C86" s="1451"/>
      <c r="D86" s="279" t="s">
        <v>71</v>
      </c>
      <c r="E86" s="242">
        <v>1</v>
      </c>
      <c r="F86" s="283">
        <v>0</v>
      </c>
      <c r="G86" s="284">
        <f t="shared" si="5"/>
        <v>0</v>
      </c>
      <c r="H86" s="224"/>
    </row>
    <row r="87" spans="1:8" s="162" customFormat="1" ht="20.25" customHeight="1">
      <c r="A87" s="281" t="s">
        <v>135</v>
      </c>
      <c r="B87" s="1446" t="s">
        <v>136</v>
      </c>
      <c r="C87" s="1446"/>
      <c r="D87" s="279" t="s">
        <v>71</v>
      </c>
      <c r="E87" s="242">
        <v>40</v>
      </c>
      <c r="F87" s="283">
        <v>0</v>
      </c>
      <c r="G87" s="284">
        <f t="shared" si="5"/>
        <v>0</v>
      </c>
      <c r="H87" s="224"/>
    </row>
    <row r="88" spans="1:8" s="162" customFormat="1" ht="20.25" customHeight="1">
      <c r="A88" s="281" t="s">
        <v>137</v>
      </c>
      <c r="B88" s="1446" t="s">
        <v>64</v>
      </c>
      <c r="C88" s="1446"/>
      <c r="D88" s="279" t="s">
        <v>71</v>
      </c>
      <c r="E88" s="242">
        <v>6</v>
      </c>
      <c r="F88" s="283">
        <v>0</v>
      </c>
      <c r="G88" s="284">
        <f t="shared" si="5"/>
        <v>0</v>
      </c>
      <c r="H88" s="224"/>
    </row>
    <row r="89" spans="1:8" s="162" customFormat="1" ht="30" customHeight="1">
      <c r="A89" s="245"/>
      <c r="B89" s="1455" t="s">
        <v>138</v>
      </c>
      <c r="C89" s="1455"/>
      <c r="D89" s="1455"/>
      <c r="E89" s="1455"/>
      <c r="F89" s="1455"/>
      <c r="G89" s="252">
        <f>SUM(G82:G88)</f>
        <v>0</v>
      </c>
      <c r="H89" s="860"/>
    </row>
    <row r="90" spans="1:8" s="162" customFormat="1" ht="30" customHeight="1">
      <c r="A90" s="227"/>
      <c r="B90" s="1447" t="s">
        <v>50</v>
      </c>
      <c r="C90" s="1447"/>
      <c r="D90" s="229" t="s">
        <v>51</v>
      </c>
      <c r="E90" s="230" t="s">
        <v>52</v>
      </c>
      <c r="F90" s="231" t="s">
        <v>53</v>
      </c>
      <c r="G90" s="231" t="s">
        <v>54</v>
      </c>
    </row>
    <row r="91" spans="1:8" s="162" customFormat="1" ht="34.5" customHeight="1">
      <c r="A91" s="286" t="s">
        <v>139</v>
      </c>
      <c r="B91" s="1458" t="s">
        <v>140</v>
      </c>
      <c r="C91" s="1458"/>
      <c r="D91" s="1458"/>
      <c r="E91" s="1458"/>
      <c r="F91" s="1458"/>
      <c r="G91" s="1458"/>
    </row>
    <row r="92" spans="1:8" s="162" customFormat="1" ht="24.75" customHeight="1">
      <c r="A92" s="287" t="s">
        <v>141</v>
      </c>
      <c r="B92" s="1452" t="s">
        <v>96</v>
      </c>
      <c r="C92" s="1452"/>
      <c r="D92" s="282" t="s">
        <v>77</v>
      </c>
      <c r="E92" s="288">
        <v>10</v>
      </c>
      <c r="F92" s="289">
        <v>0</v>
      </c>
      <c r="G92" s="290">
        <f>F92*E92</f>
        <v>0</v>
      </c>
    </row>
    <row r="93" spans="1:8" s="162" customFormat="1" ht="24.75" customHeight="1">
      <c r="A93" s="287" t="s">
        <v>142</v>
      </c>
      <c r="B93" s="1451" t="s">
        <v>70</v>
      </c>
      <c r="C93" s="1451"/>
      <c r="D93" s="282" t="s">
        <v>71</v>
      </c>
      <c r="E93" s="242">
        <v>104</v>
      </c>
      <c r="F93" s="289">
        <v>0</v>
      </c>
      <c r="G93" s="290">
        <f>F93*E93</f>
        <v>0</v>
      </c>
    </row>
    <row r="94" spans="1:8" s="162" customFormat="1" ht="27" customHeight="1">
      <c r="A94" s="287" t="s">
        <v>143</v>
      </c>
      <c r="B94" s="1451" t="s">
        <v>144</v>
      </c>
      <c r="C94" s="1451"/>
      <c r="D94" s="282" t="s">
        <v>71</v>
      </c>
      <c r="E94" s="242">
        <v>8</v>
      </c>
      <c r="F94" s="289">
        <v>0</v>
      </c>
      <c r="G94" s="290">
        <f>F94*E94</f>
        <v>0</v>
      </c>
    </row>
    <row r="95" spans="1:8" s="162" customFormat="1" ht="30" customHeight="1">
      <c r="A95" s="291"/>
      <c r="B95" s="1455" t="s">
        <v>145</v>
      </c>
      <c r="C95" s="1455"/>
      <c r="D95" s="1455"/>
      <c r="E95" s="1455"/>
      <c r="F95" s="1455"/>
      <c r="G95" s="292">
        <f>SUM(G92:G94)</f>
        <v>0</v>
      </c>
      <c r="H95" s="859"/>
    </row>
    <row r="96" spans="1:8" s="162" customFormat="1" ht="30" customHeight="1">
      <c r="A96" s="293"/>
      <c r="B96" s="1457" t="s">
        <v>50</v>
      </c>
      <c r="C96" s="1457"/>
      <c r="D96" s="294" t="s">
        <v>51</v>
      </c>
      <c r="E96" s="295" t="s">
        <v>52</v>
      </c>
      <c r="F96" s="296" t="s">
        <v>53</v>
      </c>
      <c r="G96" s="296" t="s">
        <v>54</v>
      </c>
    </row>
    <row r="97" spans="1:8" s="162" customFormat="1" ht="32.25" customHeight="1">
      <c r="A97" s="291" t="s">
        <v>146</v>
      </c>
      <c r="B97" s="1455" t="s">
        <v>147</v>
      </c>
      <c r="C97" s="1455"/>
      <c r="D97" s="1455"/>
      <c r="E97" s="1455"/>
      <c r="F97" s="1455"/>
      <c r="G97" s="1455"/>
    </row>
    <row r="98" spans="1:8" s="162" customFormat="1" ht="20.25" customHeight="1">
      <c r="A98" s="88" t="s">
        <v>148</v>
      </c>
      <c r="B98" s="1452" t="s">
        <v>149</v>
      </c>
      <c r="C98" s="1452"/>
      <c r="D98" s="282" t="s">
        <v>71</v>
      </c>
      <c r="E98" s="288">
        <v>1</v>
      </c>
      <c r="F98" s="297">
        <v>0</v>
      </c>
      <c r="G98" s="290">
        <f>F98*E98</f>
        <v>0</v>
      </c>
    </row>
    <row r="99" spans="1:8" s="162" customFormat="1" ht="17.25" customHeight="1">
      <c r="A99" s="88" t="s">
        <v>150</v>
      </c>
      <c r="B99" s="1451" t="s">
        <v>151</v>
      </c>
      <c r="C99" s="1451"/>
      <c r="D99" s="282" t="s">
        <v>71</v>
      </c>
      <c r="E99" s="242">
        <v>1</v>
      </c>
      <c r="F99" s="297">
        <v>0</v>
      </c>
      <c r="G99" s="290">
        <f>F99*E99</f>
        <v>0</v>
      </c>
      <c r="H99" s="224"/>
    </row>
    <row r="100" spans="1:8" s="162" customFormat="1" ht="17.25" customHeight="1">
      <c r="A100" s="291"/>
      <c r="B100" s="1450" t="s">
        <v>152</v>
      </c>
      <c r="C100" s="1450"/>
      <c r="D100" s="1450"/>
      <c r="E100" s="1450"/>
      <c r="F100" s="1450"/>
      <c r="G100" s="292">
        <f>SUM(G98:G99)</f>
        <v>0</v>
      </c>
      <c r="H100" s="224"/>
    </row>
    <row r="101" spans="1:8" s="162" customFormat="1" ht="17.25" customHeight="1">
      <c r="A101" s="264" t="s">
        <v>153</v>
      </c>
      <c r="B101" s="1456" t="s">
        <v>154</v>
      </c>
      <c r="C101" s="1456"/>
      <c r="D101" s="1456"/>
      <c r="E101" s="1456"/>
      <c r="F101" s="1456"/>
      <c r="G101" s="1456"/>
      <c r="H101" s="278"/>
    </row>
    <row r="102" spans="1:8" s="162" customFormat="1" ht="17.25" customHeight="1">
      <c r="A102" s="264"/>
      <c r="B102" s="1454" t="s">
        <v>50</v>
      </c>
      <c r="C102" s="1454"/>
      <c r="D102" s="266" t="s">
        <v>51</v>
      </c>
      <c r="E102" s="267" t="s">
        <v>52</v>
      </c>
      <c r="F102" s="268" t="s">
        <v>53</v>
      </c>
      <c r="G102" s="268" t="s">
        <v>54</v>
      </c>
      <c r="H102" s="278"/>
    </row>
    <row r="103" spans="1:8" s="162" customFormat="1" ht="17.25" customHeight="1">
      <c r="A103" s="291" t="s">
        <v>155</v>
      </c>
      <c r="B103" s="1443" t="s">
        <v>156</v>
      </c>
      <c r="C103" s="1443"/>
      <c r="D103" s="1443"/>
      <c r="E103" s="1443"/>
      <c r="F103" s="1443"/>
      <c r="G103" s="1443"/>
      <c r="H103" s="224"/>
    </row>
    <row r="104" spans="1:8" s="162" customFormat="1" ht="17.25" customHeight="1">
      <c r="A104" s="88" t="s">
        <v>157</v>
      </c>
      <c r="B104" s="1451" t="s">
        <v>61</v>
      </c>
      <c r="C104" s="1451"/>
      <c r="D104" s="282" t="s">
        <v>77</v>
      </c>
      <c r="E104" s="298">
        <v>4</v>
      </c>
      <c r="F104" s="299">
        <v>0</v>
      </c>
      <c r="G104" s="290">
        <f>F104*E104</f>
        <v>0</v>
      </c>
      <c r="H104" s="224"/>
    </row>
    <row r="105" spans="1:8" s="162" customFormat="1" ht="17.25" customHeight="1">
      <c r="A105" s="88" t="s">
        <v>158</v>
      </c>
      <c r="B105" s="1452" t="s">
        <v>159</v>
      </c>
      <c r="C105" s="1452"/>
      <c r="D105" s="282" t="s">
        <v>71</v>
      </c>
      <c r="E105" s="298">
        <v>68</v>
      </c>
      <c r="F105" s="299">
        <v>0</v>
      </c>
      <c r="G105" s="290">
        <f>F105*E105</f>
        <v>0</v>
      </c>
      <c r="H105" s="224"/>
    </row>
    <row r="106" spans="1:8" s="162" customFormat="1" ht="30.75" customHeight="1">
      <c r="A106" s="291"/>
      <c r="B106" s="1453" t="s">
        <v>160</v>
      </c>
      <c r="C106" s="1453"/>
      <c r="D106" s="1453"/>
      <c r="E106" s="1453"/>
      <c r="F106" s="1453"/>
      <c r="G106" s="292">
        <f>SUM(G104:G105)</f>
        <v>0</v>
      </c>
      <c r="H106" s="860"/>
    </row>
    <row r="107" spans="1:8" s="162" customFormat="1" ht="30.75" customHeight="1">
      <c r="A107" s="264"/>
      <c r="B107" s="1454" t="s">
        <v>50</v>
      </c>
      <c r="C107" s="1454"/>
      <c r="D107" s="266" t="s">
        <v>51</v>
      </c>
      <c r="E107" s="267" t="s">
        <v>52</v>
      </c>
      <c r="F107" s="268" t="s">
        <v>53</v>
      </c>
      <c r="G107" s="268" t="s">
        <v>54</v>
      </c>
      <c r="H107" s="224"/>
    </row>
    <row r="108" spans="1:8" s="162" customFormat="1" ht="24.75" customHeight="1">
      <c r="A108" s="291" t="s">
        <v>161</v>
      </c>
      <c r="B108" s="1455" t="s">
        <v>162</v>
      </c>
      <c r="C108" s="1455"/>
      <c r="D108" s="1455"/>
      <c r="E108" s="1455"/>
      <c r="F108" s="1455"/>
      <c r="G108" s="1455"/>
      <c r="H108" s="224"/>
    </row>
    <row r="109" spans="1:8" s="162" customFormat="1" ht="28.5" customHeight="1">
      <c r="A109" s="88" t="s">
        <v>163</v>
      </c>
      <c r="B109" s="1448" t="s">
        <v>96</v>
      </c>
      <c r="C109" s="1448"/>
      <c r="D109" s="243" t="s">
        <v>77</v>
      </c>
      <c r="E109" s="249">
        <v>10</v>
      </c>
      <c r="F109" s="289">
        <v>0</v>
      </c>
      <c r="G109" s="300">
        <f>F109*E109</f>
        <v>0</v>
      </c>
    </row>
    <row r="110" spans="1:8" s="162" customFormat="1" ht="16.5">
      <c r="A110" s="88" t="s">
        <v>164</v>
      </c>
      <c r="B110" s="1448" t="s">
        <v>79</v>
      </c>
      <c r="C110" s="1448"/>
      <c r="D110" s="243" t="s">
        <v>71</v>
      </c>
      <c r="E110" s="301">
        <v>170</v>
      </c>
      <c r="F110" s="289">
        <v>0</v>
      </c>
      <c r="G110" s="300">
        <f>F110*E110</f>
        <v>0</v>
      </c>
    </row>
    <row r="111" spans="1:8" s="162" customFormat="1" ht="16.5">
      <c r="A111" s="88" t="s">
        <v>165</v>
      </c>
      <c r="B111" s="1449" t="s">
        <v>166</v>
      </c>
      <c r="C111" s="1449"/>
      <c r="D111" s="243" t="s">
        <v>71</v>
      </c>
      <c r="E111" s="301">
        <v>3</v>
      </c>
      <c r="F111" s="289">
        <v>0</v>
      </c>
      <c r="G111" s="300">
        <f>F111*E111</f>
        <v>0</v>
      </c>
    </row>
    <row r="112" spans="1:8" s="162" customFormat="1" ht="26.25" customHeight="1">
      <c r="A112" s="884"/>
      <c r="B112" s="1450" t="s">
        <v>167</v>
      </c>
      <c r="C112" s="1450"/>
      <c r="D112" s="1450"/>
      <c r="E112" s="1450"/>
      <c r="F112" s="1450"/>
      <c r="G112" s="246">
        <f>SUM(G109:G111)</f>
        <v>0</v>
      </c>
      <c r="H112" s="859"/>
    </row>
    <row r="113" spans="1:8" s="162" customFormat="1" ht="30" customHeight="1">
      <c r="A113" s="227"/>
      <c r="B113" s="1447" t="s">
        <v>50</v>
      </c>
      <c r="C113" s="1447"/>
      <c r="D113" s="229" t="s">
        <v>51</v>
      </c>
      <c r="E113" s="230" t="s">
        <v>52</v>
      </c>
      <c r="F113" s="231" t="s">
        <v>53</v>
      </c>
      <c r="G113" s="231" t="s">
        <v>54</v>
      </c>
    </row>
    <row r="114" spans="1:8" s="162" customFormat="1" ht="26.25" customHeight="1">
      <c r="A114" s="291" t="s">
        <v>168</v>
      </c>
      <c r="B114" s="1443" t="s">
        <v>169</v>
      </c>
      <c r="C114" s="1443"/>
      <c r="D114" s="1443"/>
      <c r="E114" s="1443"/>
      <c r="F114" s="1443"/>
      <c r="G114" s="1443"/>
    </row>
    <row r="115" spans="1:8" s="162" customFormat="1" ht="20.25" customHeight="1">
      <c r="A115" s="88" t="s">
        <v>170</v>
      </c>
      <c r="B115" s="1446" t="s">
        <v>61</v>
      </c>
      <c r="C115" s="1446"/>
      <c r="D115" s="242" t="s">
        <v>77</v>
      </c>
      <c r="E115" s="242">
        <v>5</v>
      </c>
      <c r="F115" s="302">
        <v>0</v>
      </c>
      <c r="G115" s="284">
        <f>F115*E115</f>
        <v>0</v>
      </c>
    </row>
    <row r="116" spans="1:8" s="162" customFormat="1" ht="19.5" customHeight="1">
      <c r="A116" s="88" t="s">
        <v>171</v>
      </c>
      <c r="B116" s="1446" t="s">
        <v>58</v>
      </c>
      <c r="C116" s="1446"/>
      <c r="D116" s="242" t="s">
        <v>71</v>
      </c>
      <c r="E116" s="242">
        <v>51</v>
      </c>
      <c r="F116" s="302">
        <v>0</v>
      </c>
      <c r="G116" s="284">
        <f>F116*E116</f>
        <v>0</v>
      </c>
    </row>
    <row r="117" spans="1:8" s="162" customFormat="1" ht="19.5" customHeight="1">
      <c r="A117" s="88" t="s">
        <v>172</v>
      </c>
      <c r="B117" s="1446" t="s">
        <v>89</v>
      </c>
      <c r="C117" s="1446"/>
      <c r="D117" s="242" t="s">
        <v>71</v>
      </c>
      <c r="E117" s="242">
        <v>2</v>
      </c>
      <c r="F117" s="302">
        <v>0</v>
      </c>
      <c r="G117" s="284">
        <f>F117*E117</f>
        <v>0</v>
      </c>
    </row>
    <row r="118" spans="1:8" s="162" customFormat="1" ht="19.5" customHeight="1">
      <c r="A118" s="88" t="s">
        <v>173</v>
      </c>
      <c r="B118" s="1446" t="s">
        <v>64</v>
      </c>
      <c r="C118" s="1446"/>
      <c r="D118" s="242" t="s">
        <v>71</v>
      </c>
      <c r="E118" s="242">
        <v>5</v>
      </c>
      <c r="F118" s="302">
        <v>0</v>
      </c>
      <c r="G118" s="284">
        <f>F118*E118</f>
        <v>0</v>
      </c>
    </row>
    <row r="119" spans="1:8" s="162" customFormat="1" ht="19.5" customHeight="1">
      <c r="A119" s="88" t="s">
        <v>174</v>
      </c>
      <c r="B119" s="1446" t="s">
        <v>86</v>
      </c>
      <c r="C119" s="1446"/>
      <c r="D119" s="242" t="s">
        <v>71</v>
      </c>
      <c r="E119" s="242">
        <v>2</v>
      </c>
      <c r="F119" s="302">
        <v>0</v>
      </c>
      <c r="G119" s="284">
        <f>F119*E119</f>
        <v>0</v>
      </c>
    </row>
    <row r="120" spans="1:8" s="162" customFormat="1" ht="29.25" customHeight="1">
      <c r="A120" s="884"/>
      <c r="B120" s="1443" t="s">
        <v>175</v>
      </c>
      <c r="C120" s="1443"/>
      <c r="D120" s="1443"/>
      <c r="E120" s="1443"/>
      <c r="F120" s="1443"/>
      <c r="G120" s="246">
        <f>SUM(G115:G119)</f>
        <v>0</v>
      </c>
    </row>
    <row r="121" spans="1:8" s="162" customFormat="1" ht="29.25" customHeight="1">
      <c r="A121" s="227"/>
      <c r="B121" s="1447" t="s">
        <v>50</v>
      </c>
      <c r="C121" s="1447"/>
      <c r="D121" s="229" t="s">
        <v>51</v>
      </c>
      <c r="E121" s="230" t="s">
        <v>52</v>
      </c>
      <c r="F121" s="231" t="s">
        <v>53</v>
      </c>
      <c r="G121" s="231" t="s">
        <v>54</v>
      </c>
    </row>
    <row r="122" spans="1:8" s="162" customFormat="1" ht="29.25" customHeight="1">
      <c r="A122" s="291" t="s">
        <v>176</v>
      </c>
      <c r="B122" s="1443" t="s">
        <v>177</v>
      </c>
      <c r="C122" s="1443"/>
      <c r="D122" s="1443"/>
      <c r="E122" s="1443"/>
      <c r="F122" s="1443"/>
      <c r="G122" s="1443"/>
    </row>
    <row r="123" spans="1:8" s="162" customFormat="1" ht="29.25" customHeight="1">
      <c r="A123" s="303" t="s">
        <v>178</v>
      </c>
      <c r="B123" s="1444" t="s">
        <v>61</v>
      </c>
      <c r="C123" s="1444"/>
      <c r="D123" s="273" t="s">
        <v>77</v>
      </c>
      <c r="E123" s="273">
        <v>3</v>
      </c>
      <c r="F123" s="304">
        <v>0</v>
      </c>
      <c r="G123" s="284">
        <f>F123*E123</f>
        <v>0</v>
      </c>
    </row>
    <row r="124" spans="1:8" s="162" customFormat="1" ht="29.25" customHeight="1">
      <c r="A124" s="303" t="s">
        <v>179</v>
      </c>
      <c r="B124" s="1444" t="s">
        <v>58</v>
      </c>
      <c r="C124" s="1444"/>
      <c r="D124" s="273" t="s">
        <v>71</v>
      </c>
      <c r="E124" s="273">
        <v>15</v>
      </c>
      <c r="F124" s="304">
        <v>0</v>
      </c>
      <c r="G124" s="284">
        <f>F124*E124</f>
        <v>0</v>
      </c>
    </row>
    <row r="125" spans="1:8" s="162" customFormat="1" ht="29.25" customHeight="1">
      <c r="A125" s="884"/>
      <c r="B125" s="1443" t="s">
        <v>180</v>
      </c>
      <c r="C125" s="1443"/>
      <c r="D125" s="1443"/>
      <c r="E125" s="1443"/>
      <c r="F125" s="1443"/>
      <c r="G125" s="857">
        <f>SUM(G123:G124)</f>
        <v>0</v>
      </c>
    </row>
    <row r="126" spans="1:8" s="162" customFormat="1" ht="16.5">
      <c r="A126" s="1390" t="s">
        <v>181</v>
      </c>
      <c r="B126" s="1391"/>
      <c r="C126" s="1391"/>
      <c r="D126" s="1391"/>
      <c r="E126" s="1391"/>
      <c r="F126" s="1392"/>
      <c r="G126" s="80">
        <f>G35+G41+G54+G63+G71+G79+G89+G95+G100+G106+G112+G120+G125+G47</f>
        <v>0</v>
      </c>
    </row>
    <row r="127" spans="1:8" s="162" customFormat="1" ht="24" customHeight="1">
      <c r="A127" s="149"/>
      <c r="B127"/>
      <c r="C127"/>
      <c r="D127"/>
      <c r="E127"/>
      <c r="F127"/>
      <c r="G127"/>
    </row>
    <row r="128" spans="1:8" s="162" customFormat="1" ht="54" customHeight="1">
      <c r="A128" s="1445" t="s">
        <v>182</v>
      </c>
      <c r="B128" s="1445"/>
      <c r="C128" s="1445"/>
      <c r="D128" s="1445"/>
      <c r="E128" s="1445"/>
      <c r="F128" s="1445"/>
      <c r="G128" s="1445"/>
      <c r="H128" s="1445"/>
    </row>
    <row r="129" spans="1:8" s="162" customFormat="1" ht="24" customHeight="1">
      <c r="A129" s="886" t="s">
        <v>183</v>
      </c>
      <c r="B129" s="1441" t="s">
        <v>184</v>
      </c>
      <c r="C129" s="1441"/>
      <c r="D129" s="1441"/>
      <c r="E129" s="1441"/>
      <c r="F129" s="1441"/>
      <c r="G129" s="1441"/>
      <c r="H129" s="1441"/>
    </row>
    <row r="130" spans="1:8" s="162" customFormat="1" ht="50.25" customHeight="1">
      <c r="A130" s="80" t="s">
        <v>185</v>
      </c>
      <c r="B130" s="253" t="s">
        <v>50</v>
      </c>
      <c r="C130" s="95" t="s">
        <v>51</v>
      </c>
      <c r="D130" s="96" t="s">
        <v>52</v>
      </c>
      <c r="E130" s="317" t="s">
        <v>53</v>
      </c>
      <c r="F130" s="317" t="s">
        <v>54</v>
      </c>
      <c r="G130" s="318" t="s">
        <v>186</v>
      </c>
      <c r="H130" s="319" t="s">
        <v>187</v>
      </c>
    </row>
    <row r="131" spans="1:8" s="162" customFormat="1" ht="24" customHeight="1">
      <c r="A131" s="887" t="s">
        <v>188</v>
      </c>
      <c r="B131" s="1442" t="s">
        <v>189</v>
      </c>
      <c r="C131" s="1442"/>
      <c r="D131" s="1442"/>
      <c r="E131" s="1442"/>
      <c r="F131" s="1442"/>
      <c r="G131" s="320"/>
      <c r="H131" s="321"/>
    </row>
    <row r="132" spans="1:8" s="162" customFormat="1" ht="24" customHeight="1">
      <c r="A132" s="888" t="s">
        <v>190</v>
      </c>
      <c r="B132" s="322" t="s">
        <v>191</v>
      </c>
      <c r="C132" s="323" t="s">
        <v>192</v>
      </c>
      <c r="D132" s="324">
        <v>3</v>
      </c>
      <c r="E132" s="325">
        <v>0</v>
      </c>
      <c r="F132" s="326">
        <f>ROUND((D132*E132),0)</f>
        <v>0</v>
      </c>
      <c r="G132" s="327">
        <v>75</v>
      </c>
      <c r="H132" s="328">
        <f>+F132*G132</f>
        <v>0</v>
      </c>
    </row>
    <row r="133" spans="1:8" s="162" customFormat="1" ht="24" customHeight="1">
      <c r="A133" s="888" t="s">
        <v>193</v>
      </c>
      <c r="B133" s="329" t="s">
        <v>194</v>
      </c>
      <c r="C133" s="330" t="s">
        <v>192</v>
      </c>
      <c r="D133" s="324">
        <v>5</v>
      </c>
      <c r="E133" s="325">
        <v>0</v>
      </c>
      <c r="F133" s="326">
        <f t="shared" ref="F133:F139" si="6">ROUND((D133*E133),0)</f>
        <v>0</v>
      </c>
      <c r="G133" s="327">
        <v>75</v>
      </c>
      <c r="H133" s="328">
        <f t="shared" ref="H133:H138" si="7">+F133*G133</f>
        <v>0</v>
      </c>
    </row>
    <row r="134" spans="1:8" s="162" customFormat="1" ht="24" customHeight="1">
      <c r="A134" s="888" t="s">
        <v>195</v>
      </c>
      <c r="B134" s="331" t="s">
        <v>196</v>
      </c>
      <c r="C134" s="330" t="s">
        <v>192</v>
      </c>
      <c r="D134" s="324">
        <v>2</v>
      </c>
      <c r="E134" s="325">
        <v>0</v>
      </c>
      <c r="F134" s="326">
        <f t="shared" si="6"/>
        <v>0</v>
      </c>
      <c r="G134" s="327">
        <v>75</v>
      </c>
      <c r="H134" s="328">
        <f t="shared" si="7"/>
        <v>0</v>
      </c>
    </row>
    <row r="135" spans="1:8" s="162" customFormat="1" ht="24" customHeight="1">
      <c r="A135" s="888" t="s">
        <v>197</v>
      </c>
      <c r="B135" s="322" t="s">
        <v>198</v>
      </c>
      <c r="C135" s="330" t="s">
        <v>192</v>
      </c>
      <c r="D135" s="324">
        <v>2</v>
      </c>
      <c r="E135" s="325">
        <v>0</v>
      </c>
      <c r="F135" s="326">
        <f t="shared" si="6"/>
        <v>0</v>
      </c>
      <c r="G135" s="327">
        <v>75</v>
      </c>
      <c r="H135" s="328">
        <f t="shared" si="7"/>
        <v>0</v>
      </c>
    </row>
    <row r="136" spans="1:8" s="162" customFormat="1" ht="24" customHeight="1">
      <c r="A136" s="888" t="s">
        <v>199</v>
      </c>
      <c r="B136" s="322" t="s">
        <v>200</v>
      </c>
      <c r="C136" s="330" t="s">
        <v>192</v>
      </c>
      <c r="D136" s="324">
        <v>4</v>
      </c>
      <c r="E136" s="325">
        <v>0</v>
      </c>
      <c r="F136" s="326">
        <f t="shared" si="6"/>
        <v>0</v>
      </c>
      <c r="G136" s="327">
        <v>75</v>
      </c>
      <c r="H136" s="328">
        <f t="shared" si="7"/>
        <v>0</v>
      </c>
    </row>
    <row r="137" spans="1:8" s="162" customFormat="1" ht="24" customHeight="1">
      <c r="A137" s="888" t="s">
        <v>201</v>
      </c>
      <c r="B137" s="322" t="s">
        <v>202</v>
      </c>
      <c r="C137" s="330" t="s">
        <v>192</v>
      </c>
      <c r="D137" s="324">
        <v>0.5</v>
      </c>
      <c r="E137" s="325">
        <v>0</v>
      </c>
      <c r="F137" s="326">
        <f t="shared" si="6"/>
        <v>0</v>
      </c>
      <c r="G137" s="327">
        <v>75</v>
      </c>
      <c r="H137" s="328">
        <f t="shared" si="7"/>
        <v>0</v>
      </c>
    </row>
    <row r="138" spans="1:8" s="162" customFormat="1" ht="24" customHeight="1">
      <c r="A138" s="888" t="s">
        <v>203</v>
      </c>
      <c r="B138" s="322" t="s">
        <v>204</v>
      </c>
      <c r="C138" s="330" t="s">
        <v>192</v>
      </c>
      <c r="D138" s="324">
        <v>0.5</v>
      </c>
      <c r="E138" s="325">
        <v>0</v>
      </c>
      <c r="F138" s="326">
        <f t="shared" si="6"/>
        <v>0</v>
      </c>
      <c r="G138" s="327">
        <v>75</v>
      </c>
      <c r="H138" s="328">
        <f t="shared" si="7"/>
        <v>0</v>
      </c>
    </row>
    <row r="139" spans="1:8" s="162" customFormat="1" ht="24" customHeight="1">
      <c r="A139" s="889" t="s">
        <v>205</v>
      </c>
      <c r="B139" s="332" t="s">
        <v>206</v>
      </c>
      <c r="C139" s="330" t="s">
        <v>192</v>
      </c>
      <c r="D139" s="324">
        <v>4</v>
      </c>
      <c r="E139" s="325">
        <v>0</v>
      </c>
      <c r="F139" s="326">
        <f t="shared" si="6"/>
        <v>0</v>
      </c>
      <c r="G139" s="327">
        <v>75</v>
      </c>
      <c r="H139" s="333">
        <f>+F139*G139</f>
        <v>0</v>
      </c>
    </row>
    <row r="140" spans="1:8" s="162" customFormat="1" ht="30.75" customHeight="1">
      <c r="A140" s="888"/>
      <c r="B140" s="334" t="s">
        <v>207</v>
      </c>
      <c r="C140" s="335"/>
      <c r="D140" s="324"/>
      <c r="E140" s="336"/>
      <c r="F140" s="337">
        <f>SUM(F132:F139)</f>
        <v>0</v>
      </c>
      <c r="G140" s="338"/>
      <c r="H140" s="339">
        <f>SUM(H132:H138)</f>
        <v>0</v>
      </c>
    </row>
    <row r="141" spans="1:8" s="162" customFormat="1" ht="39.75" customHeight="1">
      <c r="A141" s="887" t="s">
        <v>208</v>
      </c>
      <c r="B141" s="340" t="s">
        <v>209</v>
      </c>
      <c r="C141" s="81" t="s">
        <v>210</v>
      </c>
      <c r="D141" s="341" t="s">
        <v>52</v>
      </c>
      <c r="E141" s="342" t="s">
        <v>211</v>
      </c>
      <c r="F141" s="317" t="s">
        <v>54</v>
      </c>
      <c r="G141" s="318" t="s">
        <v>186</v>
      </c>
      <c r="H141" s="344" t="s">
        <v>212</v>
      </c>
    </row>
    <row r="142" spans="1:8" s="162" customFormat="1" ht="27">
      <c r="A142" s="890" t="s">
        <v>213</v>
      </c>
      <c r="B142" s="345" t="s">
        <v>214</v>
      </c>
      <c r="C142" s="346" t="s">
        <v>215</v>
      </c>
      <c r="D142" s="347">
        <v>192</v>
      </c>
      <c r="E142" s="325">
        <v>0</v>
      </c>
      <c r="F142" s="326">
        <f t="shared" ref="F142:F148" si="8">ROUND((D142*E142),0)</f>
        <v>0</v>
      </c>
      <c r="G142" s="348">
        <v>75</v>
      </c>
      <c r="H142" s="328">
        <f t="shared" ref="H142:H148" si="9">+F142*G142</f>
        <v>0</v>
      </c>
    </row>
    <row r="143" spans="1:8" s="162" customFormat="1" ht="27">
      <c r="A143" s="890" t="s">
        <v>216</v>
      </c>
      <c r="B143" s="345" t="s">
        <v>217</v>
      </c>
      <c r="C143" s="346" t="s">
        <v>215</v>
      </c>
      <c r="D143" s="347">
        <v>115</v>
      </c>
      <c r="E143" s="325">
        <v>0</v>
      </c>
      <c r="F143" s="326">
        <f t="shared" si="8"/>
        <v>0</v>
      </c>
      <c r="G143" s="348">
        <v>75</v>
      </c>
      <c r="H143" s="349">
        <f t="shared" si="9"/>
        <v>0</v>
      </c>
    </row>
    <row r="144" spans="1:8" s="162" customFormat="1" ht="27">
      <c r="A144" s="890" t="s">
        <v>218</v>
      </c>
      <c r="B144" s="345" t="s">
        <v>219</v>
      </c>
      <c r="C144" s="346" t="s">
        <v>215</v>
      </c>
      <c r="D144" s="347">
        <v>77</v>
      </c>
      <c r="E144" s="325">
        <v>0</v>
      </c>
      <c r="F144" s="326">
        <f t="shared" si="8"/>
        <v>0</v>
      </c>
      <c r="G144" s="348">
        <v>75</v>
      </c>
      <c r="H144" s="350">
        <f t="shared" si="9"/>
        <v>0</v>
      </c>
    </row>
    <row r="145" spans="1:8" s="162" customFormat="1" ht="16.5">
      <c r="A145" s="890" t="s">
        <v>220</v>
      </c>
      <c r="B145" s="351" t="s">
        <v>221</v>
      </c>
      <c r="C145" s="346" t="s">
        <v>215</v>
      </c>
      <c r="D145" s="347">
        <v>384</v>
      </c>
      <c r="E145" s="325">
        <v>0</v>
      </c>
      <c r="F145" s="326">
        <f t="shared" si="8"/>
        <v>0</v>
      </c>
      <c r="G145" s="348">
        <v>75</v>
      </c>
      <c r="H145" s="328">
        <f t="shared" si="9"/>
        <v>0</v>
      </c>
    </row>
    <row r="146" spans="1:8" s="162" customFormat="1" ht="27">
      <c r="A146" s="890" t="s">
        <v>222</v>
      </c>
      <c r="B146" s="351" t="s">
        <v>223</v>
      </c>
      <c r="C146" s="346" t="s">
        <v>224</v>
      </c>
      <c r="D146" s="352">
        <f>((D142+D143+D144)*1.5)/50</f>
        <v>11.52</v>
      </c>
      <c r="E146" s="325">
        <v>0</v>
      </c>
      <c r="F146" s="326">
        <f t="shared" si="8"/>
        <v>0</v>
      </c>
      <c r="G146" s="348">
        <v>75</v>
      </c>
      <c r="H146" s="328">
        <f t="shared" si="9"/>
        <v>0</v>
      </c>
    </row>
    <row r="147" spans="1:8" s="162" customFormat="1" ht="16.5">
      <c r="A147" s="890" t="s">
        <v>225</v>
      </c>
      <c r="B147" s="330" t="s">
        <v>226</v>
      </c>
      <c r="C147" s="346" t="s">
        <v>227</v>
      </c>
      <c r="D147" s="352">
        <f>((D142+D143+D144)*3)/1000</f>
        <v>1.1519999999999999</v>
      </c>
      <c r="E147" s="325">
        <v>0</v>
      </c>
      <c r="F147" s="326">
        <f t="shared" si="8"/>
        <v>0</v>
      </c>
      <c r="G147" s="348">
        <v>75</v>
      </c>
      <c r="H147" s="328">
        <f t="shared" si="9"/>
        <v>0</v>
      </c>
    </row>
    <row r="148" spans="1:8" s="162" customFormat="1" ht="16.5">
      <c r="A148" s="890" t="s">
        <v>228</v>
      </c>
      <c r="B148" s="330" t="s">
        <v>229</v>
      </c>
      <c r="C148" s="346" t="s">
        <v>230</v>
      </c>
      <c r="D148" s="352">
        <v>1</v>
      </c>
      <c r="E148" s="325">
        <v>0</v>
      </c>
      <c r="F148" s="326">
        <f t="shared" si="8"/>
        <v>0</v>
      </c>
      <c r="G148" s="348">
        <v>75</v>
      </c>
      <c r="H148" s="353">
        <f t="shared" si="9"/>
        <v>0</v>
      </c>
    </row>
    <row r="149" spans="1:8" s="162" customFormat="1" ht="16.5">
      <c r="A149" s="890" t="s">
        <v>231</v>
      </c>
      <c r="B149" s="330" t="s">
        <v>232</v>
      </c>
      <c r="C149" s="346" t="s">
        <v>233</v>
      </c>
      <c r="D149" s="347">
        <f>1.4*4</f>
        <v>5.6</v>
      </c>
      <c r="E149" s="325">
        <v>0</v>
      </c>
      <c r="F149" s="326">
        <f>ROUND((+D149*E149),0)</f>
        <v>0</v>
      </c>
      <c r="G149" s="354">
        <v>75</v>
      </c>
      <c r="H149" s="353">
        <f>+F149*G149</f>
        <v>0</v>
      </c>
    </row>
    <row r="150" spans="1:8" s="162" customFormat="1" ht="33">
      <c r="A150" s="891"/>
      <c r="B150" s="355" t="s">
        <v>234</v>
      </c>
      <c r="C150" s="83"/>
      <c r="D150" s="356"/>
      <c r="E150" s="357">
        <f>SUM(E142:E148)</f>
        <v>0</v>
      </c>
      <c r="F150" s="358">
        <f>SUM(F142:F149)</f>
        <v>0</v>
      </c>
      <c r="G150" s="359"/>
      <c r="H150" s="339">
        <f>SUM(H142:H148)</f>
        <v>0</v>
      </c>
    </row>
    <row r="151" spans="1:8" s="162" customFormat="1" ht="49.5">
      <c r="A151" s="493" t="s">
        <v>235</v>
      </c>
      <c r="B151" s="360" t="s">
        <v>236</v>
      </c>
      <c r="C151" s="95" t="s">
        <v>51</v>
      </c>
      <c r="D151" s="96" t="s">
        <v>52</v>
      </c>
      <c r="E151" s="317" t="s">
        <v>53</v>
      </c>
      <c r="F151" s="317" t="s">
        <v>54</v>
      </c>
      <c r="G151" s="318" t="s">
        <v>186</v>
      </c>
      <c r="H151" s="344" t="s">
        <v>212</v>
      </c>
    </row>
    <row r="152" spans="1:8" s="162" customFormat="1" ht="33">
      <c r="A152" s="494" t="s">
        <v>237</v>
      </c>
      <c r="B152" s="361" t="s">
        <v>238</v>
      </c>
      <c r="C152" s="361"/>
      <c r="D152" s="361"/>
      <c r="E152" s="361"/>
      <c r="F152" s="362">
        <f>ROUND((5%*(F140)),0)</f>
        <v>0</v>
      </c>
      <c r="G152" s="348">
        <v>75</v>
      </c>
      <c r="H152" s="363">
        <f>+F152*G152</f>
        <v>0</v>
      </c>
    </row>
    <row r="153" spans="1:8" s="162" customFormat="1" ht="16.5">
      <c r="A153" s="494" t="s">
        <v>239</v>
      </c>
      <c r="B153" s="1432" t="s">
        <v>240</v>
      </c>
      <c r="C153" s="1432"/>
      <c r="D153" s="1432"/>
      <c r="E153" s="1432"/>
      <c r="F153" s="362">
        <f>ROUND((8%*(F150-F142-F143-F144)),0)</f>
        <v>0</v>
      </c>
      <c r="G153" s="348">
        <v>75</v>
      </c>
      <c r="H153" s="363">
        <f>+F153*G153</f>
        <v>0</v>
      </c>
    </row>
    <row r="154" spans="1:8" s="162" customFormat="1" ht="16.5">
      <c r="A154" s="494" t="s">
        <v>241</v>
      </c>
      <c r="B154" s="169" t="s">
        <v>242</v>
      </c>
      <c r="C154" s="169" t="s">
        <v>243</v>
      </c>
      <c r="D154" s="94" t="s">
        <v>243</v>
      </c>
      <c r="E154" s="170" t="s">
        <v>243</v>
      </c>
      <c r="F154" s="171">
        <f>SUM(F152:F153)</f>
        <v>0</v>
      </c>
      <c r="G154" s="348">
        <v>75</v>
      </c>
      <c r="H154" s="364">
        <f>+H152+H153</f>
        <v>0</v>
      </c>
    </row>
    <row r="155" spans="1:8" s="162" customFormat="1" ht="16.5">
      <c r="A155" s="494"/>
      <c r="B155" s="169" t="s">
        <v>244</v>
      </c>
      <c r="C155" s="172"/>
      <c r="D155" s="94"/>
      <c r="E155" s="170"/>
      <c r="F155" s="173">
        <f>+F140+F150</f>
        <v>0</v>
      </c>
      <c r="G155" s="365">
        <v>75</v>
      </c>
      <c r="H155" s="366">
        <f>+F155*G155</f>
        <v>0</v>
      </c>
    </row>
    <row r="156" spans="1:8" s="162" customFormat="1" ht="33">
      <c r="A156" s="494"/>
      <c r="B156" s="367" t="s">
        <v>245</v>
      </c>
      <c r="C156" s="368"/>
      <c r="D156" s="369"/>
      <c r="E156" s="370">
        <f>E138+E150</f>
        <v>0</v>
      </c>
      <c r="F156" s="371">
        <f>+F155+F154</f>
        <v>0</v>
      </c>
      <c r="G156" s="365">
        <v>75</v>
      </c>
      <c r="H156" s="370">
        <f>+F156*G156</f>
        <v>0</v>
      </c>
    </row>
    <row r="157" spans="1:8" s="162" customFormat="1" ht="16.5">
      <c r="A157" s="888" t="s">
        <v>246</v>
      </c>
      <c r="B157" s="1438" t="s">
        <v>247</v>
      </c>
      <c r="C157" s="1438"/>
      <c r="D157" s="1438"/>
      <c r="E157" s="1438"/>
      <c r="F157" s="1438"/>
      <c r="G157" s="1438"/>
      <c r="H157" s="1438"/>
    </row>
    <row r="158" spans="1:8" s="162" customFormat="1" ht="49.5">
      <c r="A158" s="80" t="s">
        <v>241</v>
      </c>
      <c r="B158" s="253" t="s">
        <v>50</v>
      </c>
      <c r="C158" s="81" t="s">
        <v>210</v>
      </c>
      <c r="D158" s="341" t="s">
        <v>52</v>
      </c>
      <c r="E158" s="342" t="s">
        <v>211</v>
      </c>
      <c r="F158" s="343" t="s">
        <v>248</v>
      </c>
      <c r="G158" s="318" t="s">
        <v>186</v>
      </c>
      <c r="H158" s="344" t="s">
        <v>212</v>
      </c>
    </row>
    <row r="159" spans="1:8" s="162" customFormat="1" ht="16.5">
      <c r="A159" s="888" t="s">
        <v>249</v>
      </c>
      <c r="B159" s="1434" t="s">
        <v>189</v>
      </c>
      <c r="C159" s="1434"/>
      <c r="D159" s="1434"/>
      <c r="E159" s="1434"/>
      <c r="F159" s="1434"/>
      <c r="G159" s="372"/>
      <c r="H159" s="373"/>
    </row>
    <row r="160" spans="1:8" s="162" customFormat="1" ht="16.5">
      <c r="A160" s="888" t="s">
        <v>250</v>
      </c>
      <c r="B160" s="374" t="s">
        <v>251</v>
      </c>
      <c r="C160" s="375" t="s">
        <v>252</v>
      </c>
      <c r="D160" s="376">
        <v>1</v>
      </c>
      <c r="E160" s="377">
        <v>0</v>
      </c>
      <c r="F160" s="326">
        <f>ROUND((D160*E160),0)</f>
        <v>0</v>
      </c>
      <c r="G160" s="348">
        <v>45</v>
      </c>
      <c r="H160" s="328">
        <f>+F160*G160</f>
        <v>0</v>
      </c>
    </row>
    <row r="161" spans="1:8" s="162" customFormat="1" ht="16.5">
      <c r="A161" s="888" t="s">
        <v>253</v>
      </c>
      <c r="B161" s="331" t="s">
        <v>196</v>
      </c>
      <c r="C161" s="378" t="s">
        <v>252</v>
      </c>
      <c r="D161" s="379">
        <v>0.5</v>
      </c>
      <c r="E161" s="377">
        <v>0</v>
      </c>
      <c r="F161" s="326">
        <f t="shared" ref="F161:F166" si="10">ROUND((D161*E161),0)</f>
        <v>0</v>
      </c>
      <c r="G161" s="327">
        <f t="shared" ref="G161:G167" si="11">+G160</f>
        <v>45</v>
      </c>
      <c r="H161" s="328">
        <f t="shared" ref="H161:H166" si="12">+F161*G161</f>
        <v>0</v>
      </c>
    </row>
    <row r="162" spans="1:8" s="162" customFormat="1" ht="16.5">
      <c r="A162" s="888" t="s">
        <v>254</v>
      </c>
      <c r="B162" s="374" t="s">
        <v>255</v>
      </c>
      <c r="C162" s="378" t="s">
        <v>252</v>
      </c>
      <c r="D162" s="379">
        <v>1</v>
      </c>
      <c r="E162" s="377">
        <v>0</v>
      </c>
      <c r="F162" s="326">
        <f t="shared" si="10"/>
        <v>0</v>
      </c>
      <c r="G162" s="327">
        <f t="shared" si="11"/>
        <v>45</v>
      </c>
      <c r="H162" s="328">
        <f t="shared" si="12"/>
        <v>0</v>
      </c>
    </row>
    <row r="163" spans="1:8" s="162" customFormat="1" ht="16.5">
      <c r="A163" s="888" t="s">
        <v>256</v>
      </c>
      <c r="B163" s="374" t="s">
        <v>257</v>
      </c>
      <c r="C163" s="378" t="s">
        <v>252</v>
      </c>
      <c r="D163" s="379">
        <v>2</v>
      </c>
      <c r="E163" s="377">
        <v>0</v>
      </c>
      <c r="F163" s="326">
        <f t="shared" si="10"/>
        <v>0</v>
      </c>
      <c r="G163" s="327">
        <f t="shared" si="11"/>
        <v>45</v>
      </c>
      <c r="H163" s="328">
        <f t="shared" si="12"/>
        <v>0</v>
      </c>
    </row>
    <row r="164" spans="1:8" s="162" customFormat="1" ht="16.5">
      <c r="A164" s="888" t="s">
        <v>258</v>
      </c>
      <c r="B164" s="322" t="s">
        <v>202</v>
      </c>
      <c r="C164" s="378" t="s">
        <v>252</v>
      </c>
      <c r="D164" s="379">
        <v>0.5</v>
      </c>
      <c r="E164" s="377">
        <v>0</v>
      </c>
      <c r="F164" s="326">
        <f t="shared" si="10"/>
        <v>0</v>
      </c>
      <c r="G164" s="327">
        <f t="shared" si="11"/>
        <v>45</v>
      </c>
      <c r="H164" s="328">
        <f t="shared" si="12"/>
        <v>0</v>
      </c>
    </row>
    <row r="165" spans="1:8" s="162" customFormat="1" ht="16.5">
      <c r="A165" s="888" t="s">
        <v>259</v>
      </c>
      <c r="B165" s="322" t="s">
        <v>204</v>
      </c>
      <c r="C165" s="380" t="s">
        <v>192</v>
      </c>
      <c r="D165" s="379">
        <v>1</v>
      </c>
      <c r="E165" s="377">
        <v>0</v>
      </c>
      <c r="F165" s="326">
        <f t="shared" si="10"/>
        <v>0</v>
      </c>
      <c r="G165" s="327">
        <f t="shared" si="11"/>
        <v>45</v>
      </c>
      <c r="H165" s="328">
        <f t="shared" si="12"/>
        <v>0</v>
      </c>
    </row>
    <row r="166" spans="1:8" s="162" customFormat="1" ht="16.5">
      <c r="A166" s="888" t="s">
        <v>260</v>
      </c>
      <c r="B166" s="332" t="s">
        <v>206</v>
      </c>
      <c r="C166" s="378" t="s">
        <v>252</v>
      </c>
      <c r="D166" s="379">
        <v>1</v>
      </c>
      <c r="E166" s="377">
        <v>0</v>
      </c>
      <c r="F166" s="326">
        <f t="shared" si="10"/>
        <v>0</v>
      </c>
      <c r="G166" s="327">
        <f t="shared" si="11"/>
        <v>45</v>
      </c>
      <c r="H166" s="328">
        <f t="shared" si="12"/>
        <v>0</v>
      </c>
    </row>
    <row r="167" spans="1:8" s="162" customFormat="1" ht="33">
      <c r="A167" s="888"/>
      <c r="B167" s="381" t="s">
        <v>261</v>
      </c>
      <c r="C167" s="382" t="s">
        <v>241</v>
      </c>
      <c r="D167" s="383" t="s">
        <v>241</v>
      </c>
      <c r="E167" s="377" t="s">
        <v>241</v>
      </c>
      <c r="F167" s="326">
        <f>ROUND((SUM(F160:F166)),0)</f>
        <v>0</v>
      </c>
      <c r="G167" s="327">
        <f t="shared" si="11"/>
        <v>45</v>
      </c>
      <c r="H167" s="384">
        <f>SUM(H160:H166)</f>
        <v>0</v>
      </c>
    </row>
    <row r="168" spans="1:8" s="162" customFormat="1" ht="49.5">
      <c r="A168" s="887" t="s">
        <v>262</v>
      </c>
      <c r="B168" s="340" t="s">
        <v>209</v>
      </c>
      <c r="C168" s="81" t="s">
        <v>51</v>
      </c>
      <c r="D168" s="341" t="s">
        <v>52</v>
      </c>
      <c r="E168" s="342" t="s">
        <v>211</v>
      </c>
      <c r="F168" s="343" t="s">
        <v>248</v>
      </c>
      <c r="G168" s="318" t="s">
        <v>186</v>
      </c>
      <c r="H168" s="344" t="s">
        <v>212</v>
      </c>
    </row>
    <row r="169" spans="1:8" s="162" customFormat="1" ht="27">
      <c r="A169" s="890" t="s">
        <v>263</v>
      </c>
      <c r="B169" s="351" t="s">
        <v>219</v>
      </c>
      <c r="C169" s="385" t="s">
        <v>215</v>
      </c>
      <c r="D169" s="386">
        <v>77</v>
      </c>
      <c r="E169" s="377">
        <v>0</v>
      </c>
      <c r="F169" s="326">
        <f>ROUND((D169*E169),0)</f>
        <v>0</v>
      </c>
      <c r="G169" s="348">
        <f t="shared" ref="G169:G171" si="13">+G160</f>
        <v>45</v>
      </c>
      <c r="H169" s="328">
        <f t="shared" ref="H169:H174" si="14">+F169*G169</f>
        <v>0</v>
      </c>
    </row>
    <row r="170" spans="1:8" s="162" customFormat="1" ht="16.5">
      <c r="A170" s="890" t="s">
        <v>264</v>
      </c>
      <c r="B170" s="351" t="s">
        <v>221</v>
      </c>
      <c r="C170" s="386" t="s">
        <v>215</v>
      </c>
      <c r="D170" s="386">
        <f>D169</f>
        <v>77</v>
      </c>
      <c r="E170" s="377">
        <v>0</v>
      </c>
      <c r="F170" s="326">
        <f t="shared" ref="F170:F174" si="15">ROUND((D170*E170),0)</f>
        <v>0</v>
      </c>
      <c r="G170" s="387">
        <f t="shared" si="13"/>
        <v>45</v>
      </c>
      <c r="H170" s="349">
        <f t="shared" si="14"/>
        <v>0</v>
      </c>
    </row>
    <row r="171" spans="1:8" s="162" customFormat="1" ht="16.5">
      <c r="A171" s="890" t="s">
        <v>265</v>
      </c>
      <c r="B171" s="346" t="s">
        <v>223</v>
      </c>
      <c r="C171" s="385" t="s">
        <v>224</v>
      </c>
      <c r="D171" s="352">
        <f>((D169)*1.5)/50</f>
        <v>2.31</v>
      </c>
      <c r="E171" s="377">
        <v>0</v>
      </c>
      <c r="F171" s="326">
        <f t="shared" si="15"/>
        <v>0</v>
      </c>
      <c r="G171" s="348">
        <f t="shared" si="13"/>
        <v>45</v>
      </c>
      <c r="H171" s="350">
        <f t="shared" si="14"/>
        <v>0</v>
      </c>
    </row>
    <row r="172" spans="1:8" s="162" customFormat="1" ht="16.5">
      <c r="A172" s="890" t="s">
        <v>266</v>
      </c>
      <c r="B172" s="385" t="s">
        <v>267</v>
      </c>
      <c r="C172" s="385" t="s">
        <v>227</v>
      </c>
      <c r="D172" s="352">
        <f>((D169)*1)/1000</f>
        <v>7.6999999999999999E-2</v>
      </c>
      <c r="E172" s="377">
        <v>0</v>
      </c>
      <c r="F172" s="326">
        <f t="shared" si="15"/>
        <v>0</v>
      </c>
      <c r="G172" s="388">
        <f t="shared" ref="G172:G174" si="16">+G164</f>
        <v>45</v>
      </c>
      <c r="H172" s="328">
        <f t="shared" si="14"/>
        <v>0</v>
      </c>
    </row>
    <row r="173" spans="1:8" s="162" customFormat="1" ht="16.5">
      <c r="A173" s="890" t="s">
        <v>268</v>
      </c>
      <c r="B173" s="389" t="s">
        <v>229</v>
      </c>
      <c r="C173" s="385" t="s">
        <v>230</v>
      </c>
      <c r="D173" s="352">
        <v>1</v>
      </c>
      <c r="E173" s="377">
        <v>0</v>
      </c>
      <c r="F173" s="326">
        <f t="shared" si="15"/>
        <v>0</v>
      </c>
      <c r="G173" s="348">
        <f t="shared" si="16"/>
        <v>45</v>
      </c>
      <c r="H173" s="328">
        <f t="shared" si="14"/>
        <v>0</v>
      </c>
    </row>
    <row r="174" spans="1:8" s="162" customFormat="1" ht="16.5">
      <c r="A174" s="890" t="s">
        <v>269</v>
      </c>
      <c r="B174" s="389" t="s">
        <v>232</v>
      </c>
      <c r="C174" s="346" t="s">
        <v>233</v>
      </c>
      <c r="D174" s="347">
        <f>1.4*8</f>
        <v>11.2</v>
      </c>
      <c r="E174" s="377">
        <v>0</v>
      </c>
      <c r="F174" s="326">
        <f t="shared" si="15"/>
        <v>0</v>
      </c>
      <c r="G174" s="348">
        <f t="shared" si="16"/>
        <v>45</v>
      </c>
      <c r="H174" s="328">
        <f t="shared" si="14"/>
        <v>0</v>
      </c>
    </row>
    <row r="175" spans="1:8" s="162" customFormat="1" ht="33">
      <c r="A175" s="888"/>
      <c r="B175" s="381" t="s">
        <v>270</v>
      </c>
      <c r="C175" s="382"/>
      <c r="D175" s="390"/>
      <c r="E175" s="377"/>
      <c r="F175" s="326">
        <f>ROUND((SUM(F169:F174)),0)</f>
        <v>0</v>
      </c>
      <c r="G175" s="387">
        <f>+G167</f>
        <v>45</v>
      </c>
      <c r="H175" s="353">
        <f>SUM(H169:H174)</f>
        <v>0</v>
      </c>
    </row>
    <row r="176" spans="1:8" s="162" customFormat="1" ht="49.5">
      <c r="A176" s="493" t="s">
        <v>271</v>
      </c>
      <c r="B176" s="360" t="s">
        <v>272</v>
      </c>
      <c r="C176" s="95" t="s">
        <v>51</v>
      </c>
      <c r="D176" s="96" t="s">
        <v>52</v>
      </c>
      <c r="E176" s="317" t="s">
        <v>53</v>
      </c>
      <c r="F176" s="317" t="s">
        <v>54</v>
      </c>
      <c r="G176" s="318" t="s">
        <v>186</v>
      </c>
      <c r="H176" s="344" t="s">
        <v>212</v>
      </c>
    </row>
    <row r="177" spans="1:8" s="162" customFormat="1" ht="16.5">
      <c r="A177" s="494" t="s">
        <v>273</v>
      </c>
      <c r="B177" s="1432" t="s">
        <v>274</v>
      </c>
      <c r="C177" s="1432"/>
      <c r="D177" s="1432"/>
      <c r="E177" s="1432"/>
      <c r="F177" s="362">
        <f>ROUND((5%*(F167)),0)</f>
        <v>0</v>
      </c>
      <c r="G177" s="348">
        <f t="shared" ref="G177:G180" si="17">+G169</f>
        <v>45</v>
      </c>
      <c r="H177" s="363">
        <f>+F177*G177</f>
        <v>0</v>
      </c>
    </row>
    <row r="178" spans="1:8" s="162" customFormat="1" ht="16.5">
      <c r="A178" s="494" t="s">
        <v>275</v>
      </c>
      <c r="B178" s="1432" t="s">
        <v>276</v>
      </c>
      <c r="C178" s="1432"/>
      <c r="D178" s="1432"/>
      <c r="E178" s="1432"/>
      <c r="F178" s="362">
        <f>ROUND((8%*(F175-F169)),0)</f>
        <v>0</v>
      </c>
      <c r="G178" s="348">
        <f t="shared" si="17"/>
        <v>45</v>
      </c>
      <c r="H178" s="363">
        <f>+F178*G178</f>
        <v>0</v>
      </c>
    </row>
    <row r="179" spans="1:8" s="162" customFormat="1" ht="16.5">
      <c r="A179" s="494"/>
      <c r="B179" s="169" t="s">
        <v>277</v>
      </c>
      <c r="C179" s="169" t="s">
        <v>243</v>
      </c>
      <c r="D179" s="94" t="s">
        <v>243</v>
      </c>
      <c r="E179" s="170" t="s">
        <v>243</v>
      </c>
      <c r="F179" s="171">
        <f>SUM(F177:F178)</f>
        <v>0</v>
      </c>
      <c r="G179" s="348">
        <f t="shared" si="17"/>
        <v>45</v>
      </c>
      <c r="H179" s="364">
        <f>+H177+H178</f>
        <v>0</v>
      </c>
    </row>
    <row r="180" spans="1:8" s="162" customFormat="1" ht="16.5">
      <c r="A180" s="494"/>
      <c r="B180" s="169" t="s">
        <v>278</v>
      </c>
      <c r="C180" s="172"/>
      <c r="D180" s="94"/>
      <c r="E180" s="170"/>
      <c r="F180" s="391">
        <f>+F167+F175</f>
        <v>0</v>
      </c>
      <c r="G180" s="348">
        <f t="shared" si="17"/>
        <v>45</v>
      </c>
      <c r="H180" s="366">
        <f>+F180*G180</f>
        <v>0</v>
      </c>
    </row>
    <row r="181" spans="1:8" s="162" customFormat="1" ht="33">
      <c r="A181" s="494"/>
      <c r="B181" s="367" t="s">
        <v>279</v>
      </c>
      <c r="C181" s="368"/>
      <c r="D181" s="369"/>
      <c r="E181" s="370">
        <f>E166+E175</f>
        <v>0</v>
      </c>
      <c r="F181" s="371">
        <f>+F180+F179</f>
        <v>0</v>
      </c>
      <c r="G181" s="354">
        <f>+G173</f>
        <v>45</v>
      </c>
      <c r="H181" s="370">
        <f>+F181*G181</f>
        <v>0</v>
      </c>
    </row>
    <row r="182" spans="1:8" s="162" customFormat="1" ht="16.5">
      <c r="A182" s="888" t="s">
        <v>280</v>
      </c>
      <c r="B182" s="1439" t="s">
        <v>281</v>
      </c>
      <c r="C182" s="1439"/>
      <c r="D182" s="1439"/>
      <c r="E182" s="1439"/>
      <c r="F182" s="1439"/>
      <c r="G182" s="1439"/>
      <c r="H182" s="1439"/>
    </row>
    <row r="183" spans="1:8" s="162" customFormat="1" ht="16.5">
      <c r="A183" s="887" t="s">
        <v>241</v>
      </c>
      <c r="B183" s="392" t="s">
        <v>4</v>
      </c>
      <c r="C183" s="1440" t="s">
        <v>282</v>
      </c>
      <c r="D183" s="1440"/>
      <c r="E183" s="1440"/>
      <c r="F183" s="1440" t="s">
        <v>283</v>
      </c>
      <c r="G183" s="1440" t="s">
        <v>284</v>
      </c>
      <c r="H183" s="1440" t="s">
        <v>212</v>
      </c>
    </row>
    <row r="184" spans="1:8" s="162" customFormat="1" ht="16.5">
      <c r="A184" s="887"/>
      <c r="B184" s="340"/>
      <c r="C184" s="393" t="s">
        <v>59</v>
      </c>
      <c r="D184" s="393" t="s">
        <v>285</v>
      </c>
      <c r="E184" s="393" t="s">
        <v>286</v>
      </c>
      <c r="F184" s="1440"/>
      <c r="G184" s="1440"/>
      <c r="H184" s="1440"/>
    </row>
    <row r="185" spans="1:8" s="162" customFormat="1" ht="16.5">
      <c r="A185" s="888" t="s">
        <v>287</v>
      </c>
      <c r="B185" s="1436" t="s">
        <v>189</v>
      </c>
      <c r="C185" s="1436"/>
      <c r="D185" s="1436"/>
      <c r="E185" s="1436"/>
      <c r="F185" s="1436"/>
      <c r="G185" s="394"/>
      <c r="H185" s="373"/>
    </row>
    <row r="186" spans="1:8" s="162" customFormat="1" ht="16.5">
      <c r="A186" s="890" t="s">
        <v>288</v>
      </c>
      <c r="B186" s="395" t="s">
        <v>289</v>
      </c>
      <c r="C186" s="396" t="s">
        <v>290</v>
      </c>
      <c r="D186" s="397">
        <v>1</v>
      </c>
      <c r="E186" s="377">
        <v>0</v>
      </c>
      <c r="F186" s="398">
        <f t="shared" ref="F186:F192" si="18">+(D186*E186)/1000</f>
        <v>0</v>
      </c>
      <c r="G186" s="917">
        <v>50120.25</v>
      </c>
      <c r="H186" s="328">
        <f t="shared" ref="H186:H192" si="19">ROUND((F186*G186),0)</f>
        <v>0</v>
      </c>
    </row>
    <row r="187" spans="1:8" s="162" customFormat="1" ht="16.5">
      <c r="A187" s="890" t="s">
        <v>291</v>
      </c>
      <c r="B187" s="395" t="s">
        <v>251</v>
      </c>
      <c r="C187" s="396" t="s">
        <v>290</v>
      </c>
      <c r="D187" s="397">
        <v>6</v>
      </c>
      <c r="E187" s="377">
        <v>0</v>
      </c>
      <c r="F187" s="399">
        <f t="shared" si="18"/>
        <v>0</v>
      </c>
      <c r="G187" s="917">
        <f t="shared" ref="G187:G192" si="20">+G186</f>
        <v>50120.25</v>
      </c>
      <c r="H187" s="328">
        <f t="shared" si="19"/>
        <v>0</v>
      </c>
    </row>
    <row r="188" spans="1:8" s="162" customFormat="1" ht="16.5">
      <c r="A188" s="890" t="s">
        <v>292</v>
      </c>
      <c r="B188" s="395" t="s">
        <v>293</v>
      </c>
      <c r="C188" s="396" t="s">
        <v>290</v>
      </c>
      <c r="D188" s="397">
        <v>2</v>
      </c>
      <c r="E188" s="377">
        <v>0</v>
      </c>
      <c r="F188" s="399">
        <f t="shared" si="18"/>
        <v>0</v>
      </c>
      <c r="G188" s="917">
        <f t="shared" si="20"/>
        <v>50120.25</v>
      </c>
      <c r="H188" s="333">
        <f t="shared" si="19"/>
        <v>0</v>
      </c>
    </row>
    <row r="189" spans="1:8" s="162" customFormat="1" ht="16.5">
      <c r="A189" s="890" t="s">
        <v>294</v>
      </c>
      <c r="B189" s="395" t="s">
        <v>295</v>
      </c>
      <c r="C189" s="396" t="s">
        <v>290</v>
      </c>
      <c r="D189" s="397">
        <v>1</v>
      </c>
      <c r="E189" s="377">
        <v>0</v>
      </c>
      <c r="F189" s="399">
        <f t="shared" si="18"/>
        <v>0</v>
      </c>
      <c r="G189" s="917">
        <f t="shared" si="20"/>
        <v>50120.25</v>
      </c>
      <c r="H189" s="328">
        <f t="shared" si="19"/>
        <v>0</v>
      </c>
    </row>
    <row r="190" spans="1:8" s="162" customFormat="1" ht="16.5">
      <c r="A190" s="890" t="s">
        <v>296</v>
      </c>
      <c r="B190" s="395" t="s">
        <v>297</v>
      </c>
      <c r="C190" s="396" t="s">
        <v>290</v>
      </c>
      <c r="D190" s="397">
        <v>4</v>
      </c>
      <c r="E190" s="377">
        <v>0</v>
      </c>
      <c r="F190" s="399">
        <f t="shared" si="18"/>
        <v>0</v>
      </c>
      <c r="G190" s="917">
        <f t="shared" si="20"/>
        <v>50120.25</v>
      </c>
      <c r="H190" s="328">
        <f t="shared" si="19"/>
        <v>0</v>
      </c>
    </row>
    <row r="191" spans="1:8" s="162" customFormat="1" ht="16.5">
      <c r="A191" s="890" t="s">
        <v>298</v>
      </c>
      <c r="B191" s="395" t="s">
        <v>299</v>
      </c>
      <c r="C191" s="396" t="s">
        <v>290</v>
      </c>
      <c r="D191" s="397">
        <v>1</v>
      </c>
      <c r="E191" s="377">
        <v>0</v>
      </c>
      <c r="F191" s="399">
        <f t="shared" si="18"/>
        <v>0</v>
      </c>
      <c r="G191" s="917">
        <f t="shared" si="20"/>
        <v>50120.25</v>
      </c>
      <c r="H191" s="328">
        <f t="shared" si="19"/>
        <v>0</v>
      </c>
    </row>
    <row r="192" spans="1:8" s="162" customFormat="1" ht="16.5">
      <c r="A192" s="890" t="s">
        <v>300</v>
      </c>
      <c r="B192" s="395" t="s">
        <v>301</v>
      </c>
      <c r="C192" s="396" t="s">
        <v>290</v>
      </c>
      <c r="D192" s="397">
        <v>4</v>
      </c>
      <c r="E192" s="377">
        <v>0</v>
      </c>
      <c r="F192" s="399">
        <f t="shared" si="18"/>
        <v>0</v>
      </c>
      <c r="G192" s="917">
        <f t="shared" si="20"/>
        <v>50120.25</v>
      </c>
      <c r="H192" s="333">
        <f t="shared" si="19"/>
        <v>0</v>
      </c>
    </row>
    <row r="193" spans="1:8" s="162" customFormat="1" ht="33">
      <c r="A193" s="891"/>
      <c r="B193" s="334" t="s">
        <v>302</v>
      </c>
      <c r="C193" s="83"/>
      <c r="D193" s="356"/>
      <c r="E193" s="357" t="s">
        <v>241</v>
      </c>
      <c r="F193" s="400">
        <f>+ROUND((F186+F187+F188+F189+F190+F191+F192),0)</f>
        <v>0</v>
      </c>
      <c r="G193" s="400"/>
      <c r="H193" s="400">
        <f>+ROUND((H186+H187+H188+H189+H190+H191+H192),0)</f>
        <v>0</v>
      </c>
    </row>
    <row r="194" spans="1:8" s="162" customFormat="1" ht="49.5">
      <c r="A194" s="887" t="s">
        <v>303</v>
      </c>
      <c r="B194" s="265" t="s">
        <v>304</v>
      </c>
      <c r="C194" s="187" t="s">
        <v>210</v>
      </c>
      <c r="D194" s="401" t="s">
        <v>52</v>
      </c>
      <c r="E194" s="402" t="s">
        <v>211</v>
      </c>
      <c r="F194" s="403" t="s">
        <v>283</v>
      </c>
      <c r="G194" s="404" t="s">
        <v>305</v>
      </c>
      <c r="H194" s="405" t="s">
        <v>212</v>
      </c>
    </row>
    <row r="195" spans="1:8" s="162" customFormat="1" ht="16.5">
      <c r="A195" s="892" t="s">
        <v>306</v>
      </c>
      <c r="B195" s="395" t="s">
        <v>307</v>
      </c>
      <c r="C195" s="406" t="s">
        <v>308</v>
      </c>
      <c r="D195" s="407">
        <v>12</v>
      </c>
      <c r="E195" s="377">
        <v>0</v>
      </c>
      <c r="F195" s="408">
        <f t="shared" ref="F195:F202" si="21">ROUND((D195*E195),0)/1000</f>
        <v>0</v>
      </c>
      <c r="G195" s="348">
        <f>+G192</f>
        <v>50120.25</v>
      </c>
      <c r="H195" s="328">
        <f t="shared" ref="H195:H202" si="22">(F195*G195)</f>
        <v>0</v>
      </c>
    </row>
    <row r="196" spans="1:8" s="162" customFormat="1" ht="16.5">
      <c r="A196" s="892" t="s">
        <v>309</v>
      </c>
      <c r="B196" s="395" t="s">
        <v>310</v>
      </c>
      <c r="C196" s="406" t="s">
        <v>215</v>
      </c>
      <c r="D196" s="407">
        <v>400</v>
      </c>
      <c r="E196" s="377">
        <v>0</v>
      </c>
      <c r="F196" s="326">
        <f t="shared" si="21"/>
        <v>0</v>
      </c>
      <c r="G196" s="348">
        <f t="shared" ref="G196:G202" si="23">+G195</f>
        <v>50120.25</v>
      </c>
      <c r="H196" s="328">
        <f t="shared" si="22"/>
        <v>0</v>
      </c>
    </row>
    <row r="197" spans="1:8" s="162" customFormat="1" ht="16.5">
      <c r="A197" s="892" t="s">
        <v>311</v>
      </c>
      <c r="B197" s="395" t="s">
        <v>312</v>
      </c>
      <c r="C197" s="406" t="s">
        <v>215</v>
      </c>
      <c r="D197" s="407">
        <v>40</v>
      </c>
      <c r="E197" s="377">
        <v>0</v>
      </c>
      <c r="F197" s="326">
        <f t="shared" si="21"/>
        <v>0</v>
      </c>
      <c r="G197" s="348">
        <f t="shared" si="23"/>
        <v>50120.25</v>
      </c>
      <c r="H197" s="328">
        <f t="shared" si="22"/>
        <v>0</v>
      </c>
    </row>
    <row r="198" spans="1:8" s="162" customFormat="1" ht="16.5">
      <c r="A198" s="892" t="s">
        <v>313</v>
      </c>
      <c r="B198" s="395" t="s">
        <v>314</v>
      </c>
      <c r="C198" s="406" t="s">
        <v>315</v>
      </c>
      <c r="D198" s="407">
        <v>3</v>
      </c>
      <c r="E198" s="377">
        <v>0</v>
      </c>
      <c r="F198" s="326">
        <f t="shared" si="21"/>
        <v>0</v>
      </c>
      <c r="G198" s="348">
        <f t="shared" si="23"/>
        <v>50120.25</v>
      </c>
      <c r="H198" s="328">
        <f t="shared" si="22"/>
        <v>0</v>
      </c>
    </row>
    <row r="199" spans="1:8" s="162" customFormat="1" ht="16.5">
      <c r="A199" s="892" t="s">
        <v>316</v>
      </c>
      <c r="B199" s="395" t="s">
        <v>317</v>
      </c>
      <c r="C199" s="406" t="s">
        <v>315</v>
      </c>
      <c r="D199" s="407">
        <v>4</v>
      </c>
      <c r="E199" s="377">
        <v>0</v>
      </c>
      <c r="F199" s="326">
        <f t="shared" si="21"/>
        <v>0</v>
      </c>
      <c r="G199" s="348">
        <f t="shared" si="23"/>
        <v>50120.25</v>
      </c>
      <c r="H199" s="328">
        <f t="shared" si="22"/>
        <v>0</v>
      </c>
    </row>
    <row r="200" spans="1:8" s="162" customFormat="1" ht="16.5">
      <c r="A200" s="892" t="s">
        <v>318</v>
      </c>
      <c r="B200" s="409" t="s">
        <v>319</v>
      </c>
      <c r="C200" s="406" t="s">
        <v>315</v>
      </c>
      <c r="D200" s="407">
        <v>8</v>
      </c>
      <c r="E200" s="377">
        <v>0</v>
      </c>
      <c r="F200" s="326">
        <f t="shared" si="21"/>
        <v>0</v>
      </c>
      <c r="G200" s="348">
        <f t="shared" si="23"/>
        <v>50120.25</v>
      </c>
      <c r="H200" s="328">
        <f t="shared" si="22"/>
        <v>0</v>
      </c>
    </row>
    <row r="201" spans="1:8" s="162" customFormat="1" ht="16.5">
      <c r="A201" s="892" t="s">
        <v>320</v>
      </c>
      <c r="B201" s="395" t="s">
        <v>321</v>
      </c>
      <c r="C201" s="406" t="s">
        <v>227</v>
      </c>
      <c r="D201" s="407">
        <v>7</v>
      </c>
      <c r="E201" s="377">
        <v>0</v>
      </c>
      <c r="F201" s="326">
        <f t="shared" si="21"/>
        <v>0</v>
      </c>
      <c r="G201" s="348">
        <f t="shared" si="23"/>
        <v>50120.25</v>
      </c>
      <c r="H201" s="328">
        <f t="shared" si="22"/>
        <v>0</v>
      </c>
    </row>
    <row r="202" spans="1:8" s="162" customFormat="1" ht="16.5">
      <c r="A202" s="892" t="s">
        <v>322</v>
      </c>
      <c r="B202" s="395" t="s">
        <v>323</v>
      </c>
      <c r="C202" s="406" t="s">
        <v>324</v>
      </c>
      <c r="D202" s="407">
        <v>1</v>
      </c>
      <c r="E202" s="377">
        <v>0</v>
      </c>
      <c r="F202" s="326">
        <f t="shared" si="21"/>
        <v>0</v>
      </c>
      <c r="G202" s="348">
        <f t="shared" si="23"/>
        <v>50120.25</v>
      </c>
      <c r="H202" s="328">
        <f t="shared" si="22"/>
        <v>0</v>
      </c>
    </row>
    <row r="203" spans="1:8" s="162" customFormat="1" ht="33">
      <c r="A203" s="891"/>
      <c r="B203" s="410" t="s">
        <v>325</v>
      </c>
      <c r="C203" s="411"/>
      <c r="D203" s="412"/>
      <c r="E203" s="357"/>
      <c r="F203" s="400">
        <f>+ROUND((F195+F196+F197+F198+F199+F200+F201+F202),0)</f>
        <v>0</v>
      </c>
      <c r="G203" s="412"/>
      <c r="H203" s="400">
        <f>+ROUND((H195+H196+H197+H198+H199+H200+H201+H202),0)</f>
        <v>0</v>
      </c>
    </row>
    <row r="204" spans="1:8" s="162" customFormat="1" ht="49.5">
      <c r="A204" s="493" t="s">
        <v>326</v>
      </c>
      <c r="B204" s="360" t="s">
        <v>327</v>
      </c>
      <c r="C204" s="187" t="s">
        <v>210</v>
      </c>
      <c r="D204" s="401" t="s">
        <v>52</v>
      </c>
      <c r="E204" s="402" t="s">
        <v>211</v>
      </c>
      <c r="F204" s="403" t="s">
        <v>328</v>
      </c>
      <c r="G204" s="404" t="s">
        <v>305</v>
      </c>
      <c r="H204" s="405" t="s">
        <v>329</v>
      </c>
    </row>
    <row r="205" spans="1:8" s="162" customFormat="1" ht="16.5">
      <c r="A205" s="893"/>
      <c r="B205" s="413"/>
      <c r="C205" s="414"/>
      <c r="D205" s="415"/>
      <c r="E205" s="416"/>
      <c r="F205" s="317"/>
      <c r="G205" s="417"/>
      <c r="H205" s="344"/>
    </row>
    <row r="206" spans="1:8" s="162" customFormat="1" ht="16.5">
      <c r="A206" s="494" t="s">
        <v>330</v>
      </c>
      <c r="B206" s="1437" t="s">
        <v>331</v>
      </c>
      <c r="C206" s="1437"/>
      <c r="D206" s="1437"/>
      <c r="E206" s="1437"/>
      <c r="F206" s="362">
        <f>ROUND((5%*(F193)),0)</f>
        <v>0</v>
      </c>
      <c r="G206" s="348">
        <f>+G202</f>
        <v>50120.25</v>
      </c>
      <c r="H206" s="363">
        <f>(F206*G206)</f>
        <v>0</v>
      </c>
    </row>
    <row r="207" spans="1:8" s="162" customFormat="1" ht="16.5">
      <c r="A207" s="494" t="s">
        <v>332</v>
      </c>
      <c r="B207" s="1432" t="s">
        <v>333</v>
      </c>
      <c r="C207" s="1432"/>
      <c r="D207" s="1432"/>
      <c r="E207" s="1432"/>
      <c r="F207" s="362">
        <f>ROUND((8%*(F203)),0)</f>
        <v>0</v>
      </c>
      <c r="G207" s="348">
        <f>+G206</f>
        <v>50120.25</v>
      </c>
      <c r="H207" s="363">
        <f>(F207*G207)</f>
        <v>0</v>
      </c>
    </row>
    <row r="208" spans="1:8" s="162" customFormat="1" ht="16.5">
      <c r="A208" s="494" t="s">
        <v>241</v>
      </c>
      <c r="B208" s="169" t="s">
        <v>334</v>
      </c>
      <c r="C208" s="169" t="s">
        <v>243</v>
      </c>
      <c r="D208" s="94" t="s">
        <v>243</v>
      </c>
      <c r="E208" s="170" t="s">
        <v>243</v>
      </c>
      <c r="F208" s="418">
        <f>ROUND((F206+F207),2)</f>
        <v>0</v>
      </c>
      <c r="G208" s="348">
        <f>+G207</f>
        <v>50120.25</v>
      </c>
      <c r="H208" s="419">
        <f>(F208*G208)</f>
        <v>0</v>
      </c>
    </row>
    <row r="209" spans="1:8" s="162" customFormat="1" ht="16.5">
      <c r="A209" s="494"/>
      <c r="B209" s="169" t="s">
        <v>335</v>
      </c>
      <c r="C209" s="172"/>
      <c r="D209" s="94"/>
      <c r="E209" s="170"/>
      <c r="F209" s="391">
        <f>ROUND((F193+F203),2)</f>
        <v>0</v>
      </c>
      <c r="G209" s="348">
        <f>+G208</f>
        <v>50120.25</v>
      </c>
      <c r="H209" s="419">
        <f>(F209*G209)</f>
        <v>0</v>
      </c>
    </row>
    <row r="210" spans="1:8" s="162" customFormat="1" ht="33">
      <c r="A210" s="494"/>
      <c r="B210" s="367" t="s">
        <v>336</v>
      </c>
      <c r="C210" s="368"/>
      <c r="D210" s="369"/>
      <c r="E210" s="370" t="s">
        <v>241</v>
      </c>
      <c r="F210" s="549">
        <f>ROUND((F209+F208),2)</f>
        <v>0</v>
      </c>
      <c r="G210" s="348">
        <f>+G209</f>
        <v>50120.25</v>
      </c>
      <c r="H210" s="420">
        <f>(F210*G210)</f>
        <v>0</v>
      </c>
    </row>
    <row r="211" spans="1:8" s="162" customFormat="1" ht="16.5">
      <c r="A211" s="888" t="s">
        <v>337</v>
      </c>
      <c r="B211" s="1438" t="s">
        <v>338</v>
      </c>
      <c r="C211" s="1438"/>
      <c r="D211" s="1438"/>
      <c r="E211" s="1438"/>
      <c r="F211" s="1438"/>
      <c r="G211" s="1438"/>
      <c r="H211" s="1438"/>
    </row>
    <row r="212" spans="1:8" s="162" customFormat="1" ht="49.5">
      <c r="A212" s="887" t="s">
        <v>241</v>
      </c>
      <c r="B212" s="392" t="s">
        <v>4</v>
      </c>
      <c r="C212" s="81" t="s">
        <v>210</v>
      </c>
      <c r="D212" s="341" t="s">
        <v>52</v>
      </c>
      <c r="E212" s="342" t="s">
        <v>211</v>
      </c>
      <c r="F212" s="343" t="s">
        <v>248</v>
      </c>
      <c r="G212" s="318" t="s">
        <v>186</v>
      </c>
      <c r="H212" s="344" t="s">
        <v>212</v>
      </c>
    </row>
    <row r="213" spans="1:8" s="162" customFormat="1" ht="16.5">
      <c r="A213" s="888" t="s">
        <v>339</v>
      </c>
      <c r="B213" s="1436" t="s">
        <v>189</v>
      </c>
      <c r="C213" s="1436"/>
      <c r="D213" s="1436"/>
      <c r="E213" s="1436"/>
      <c r="F213" s="1436"/>
      <c r="G213" s="372"/>
      <c r="H213" s="373"/>
    </row>
    <row r="214" spans="1:8" s="162" customFormat="1" ht="16.5">
      <c r="A214" s="890" t="s">
        <v>340</v>
      </c>
      <c r="B214" s="346" t="s">
        <v>206</v>
      </c>
      <c r="C214" s="324" t="s">
        <v>341</v>
      </c>
      <c r="D214" s="421">
        <v>1</v>
      </c>
      <c r="E214" s="377">
        <v>0</v>
      </c>
      <c r="F214" s="326">
        <f>ROUND((D214*E214),0)</f>
        <v>0</v>
      </c>
      <c r="G214" s="348">
        <v>75</v>
      </c>
      <c r="H214" s="328">
        <f t="shared" ref="H214:H219" si="24">+F214*G214</f>
        <v>0</v>
      </c>
    </row>
    <row r="215" spans="1:8" s="162" customFormat="1" ht="16.5">
      <c r="A215" s="890" t="s">
        <v>342</v>
      </c>
      <c r="B215" s="346" t="s">
        <v>343</v>
      </c>
      <c r="C215" s="324" t="s">
        <v>344</v>
      </c>
      <c r="D215" s="422">
        <v>0.5</v>
      </c>
      <c r="E215" s="377">
        <v>0</v>
      </c>
      <c r="F215" s="326">
        <f t="shared" ref="F215:F219" si="25">ROUND((D215*E215),0)</f>
        <v>0</v>
      </c>
      <c r="G215" s="348">
        <f t="shared" ref="G215:G219" si="26">+G214</f>
        <v>75</v>
      </c>
      <c r="H215" s="328">
        <f t="shared" si="24"/>
        <v>0</v>
      </c>
    </row>
    <row r="216" spans="1:8" s="162" customFormat="1" ht="16.5">
      <c r="A216" s="890" t="s">
        <v>345</v>
      </c>
      <c r="B216" s="423" t="s">
        <v>346</v>
      </c>
      <c r="C216" s="324" t="s">
        <v>341</v>
      </c>
      <c r="D216" s="422">
        <v>1</v>
      </c>
      <c r="E216" s="377">
        <v>0</v>
      </c>
      <c r="F216" s="326">
        <f t="shared" si="25"/>
        <v>0</v>
      </c>
      <c r="G216" s="348">
        <f t="shared" si="26"/>
        <v>75</v>
      </c>
      <c r="H216" s="350">
        <f t="shared" si="24"/>
        <v>0</v>
      </c>
    </row>
    <row r="217" spans="1:8" s="162" customFormat="1" ht="16.5">
      <c r="A217" s="890" t="s">
        <v>347</v>
      </c>
      <c r="B217" s="423" t="s">
        <v>348</v>
      </c>
      <c r="C217" s="324" t="s">
        <v>341</v>
      </c>
      <c r="D217" s="424">
        <v>0.25</v>
      </c>
      <c r="E217" s="377">
        <v>0</v>
      </c>
      <c r="F217" s="326">
        <f t="shared" si="25"/>
        <v>0</v>
      </c>
      <c r="G217" s="348">
        <f t="shared" si="26"/>
        <v>75</v>
      </c>
      <c r="H217" s="328">
        <f t="shared" si="24"/>
        <v>0</v>
      </c>
    </row>
    <row r="218" spans="1:8" s="162" customFormat="1" ht="16.5">
      <c r="A218" s="890" t="s">
        <v>349</v>
      </c>
      <c r="B218" s="425" t="s">
        <v>350</v>
      </c>
      <c r="C218" s="330" t="s">
        <v>344</v>
      </c>
      <c r="D218" s="422">
        <v>0.5</v>
      </c>
      <c r="E218" s="377">
        <v>0</v>
      </c>
      <c r="F218" s="326">
        <f t="shared" si="25"/>
        <v>0</v>
      </c>
      <c r="G218" s="348">
        <f t="shared" si="26"/>
        <v>75</v>
      </c>
      <c r="H218" s="328">
        <f t="shared" si="24"/>
        <v>0</v>
      </c>
    </row>
    <row r="219" spans="1:8" s="162" customFormat="1" ht="16.5">
      <c r="A219" s="890" t="s">
        <v>351</v>
      </c>
      <c r="B219" s="385" t="s">
        <v>352</v>
      </c>
      <c r="C219" s="324" t="s">
        <v>341</v>
      </c>
      <c r="D219" s="422">
        <v>0.5</v>
      </c>
      <c r="E219" s="377">
        <v>0</v>
      </c>
      <c r="F219" s="326">
        <f t="shared" si="25"/>
        <v>0</v>
      </c>
      <c r="G219" s="348">
        <f t="shared" si="26"/>
        <v>75</v>
      </c>
      <c r="H219" s="328">
        <f t="shared" si="24"/>
        <v>0</v>
      </c>
    </row>
    <row r="220" spans="1:8" s="162" customFormat="1" ht="33">
      <c r="A220" s="891"/>
      <c r="B220" s="355" t="s">
        <v>353</v>
      </c>
      <c r="C220" s="335"/>
      <c r="D220" s="356"/>
      <c r="E220" s="357" t="s">
        <v>241</v>
      </c>
      <c r="F220" s="426">
        <f>SUM(F214:F219)</f>
        <v>0</v>
      </c>
      <c r="G220" s="412"/>
      <c r="H220" s="339">
        <f>SUM(H214:H219)</f>
        <v>0</v>
      </c>
    </row>
    <row r="221" spans="1:8" s="162" customFormat="1" ht="49.5">
      <c r="A221" s="887" t="s">
        <v>354</v>
      </c>
      <c r="B221" s="392" t="s">
        <v>209</v>
      </c>
      <c r="C221" s="81" t="s">
        <v>210</v>
      </c>
      <c r="D221" s="341" t="s">
        <v>52</v>
      </c>
      <c r="E221" s="342" t="s">
        <v>211</v>
      </c>
      <c r="F221" s="343" t="s">
        <v>248</v>
      </c>
      <c r="G221" s="318" t="s">
        <v>186</v>
      </c>
      <c r="H221" s="344" t="s">
        <v>212</v>
      </c>
    </row>
    <row r="222" spans="1:8" s="162" customFormat="1" ht="27">
      <c r="A222" s="891" t="s">
        <v>355</v>
      </c>
      <c r="B222" s="427" t="s">
        <v>214</v>
      </c>
      <c r="C222" s="346" t="s">
        <v>215</v>
      </c>
      <c r="D222" s="428">
        <f>192*0.1</f>
        <v>19.200000000000003</v>
      </c>
      <c r="E222" s="377">
        <v>0</v>
      </c>
      <c r="F222" s="408">
        <f t="shared" ref="F222:F228" si="27">ROUND((D222*E222),0)</f>
        <v>0</v>
      </c>
      <c r="G222" s="348">
        <v>75</v>
      </c>
      <c r="H222" s="328">
        <f>+F222*G222</f>
        <v>0</v>
      </c>
    </row>
    <row r="223" spans="1:8" s="162" customFormat="1" ht="27">
      <c r="A223" s="891" t="s">
        <v>356</v>
      </c>
      <c r="B223" s="331" t="s">
        <v>217</v>
      </c>
      <c r="C223" s="346" t="s">
        <v>215</v>
      </c>
      <c r="D223" s="428">
        <f>115*0.1</f>
        <v>11.5</v>
      </c>
      <c r="E223" s="377">
        <v>0</v>
      </c>
      <c r="F223" s="408">
        <f t="shared" si="27"/>
        <v>0</v>
      </c>
      <c r="G223" s="348">
        <f t="shared" ref="G223:G228" si="28">+G222</f>
        <v>75</v>
      </c>
      <c r="H223" s="328">
        <f t="shared" ref="H223:H228" si="29">+F223*G223</f>
        <v>0</v>
      </c>
    </row>
    <row r="224" spans="1:8" s="162" customFormat="1" ht="27">
      <c r="A224" s="891" t="s">
        <v>357</v>
      </c>
      <c r="B224" s="331" t="s">
        <v>219</v>
      </c>
      <c r="C224" s="346" t="s">
        <v>215</v>
      </c>
      <c r="D224" s="428">
        <f>77*0.1</f>
        <v>7.7</v>
      </c>
      <c r="E224" s="377">
        <v>0</v>
      </c>
      <c r="F224" s="408">
        <f t="shared" si="27"/>
        <v>0</v>
      </c>
      <c r="G224" s="348">
        <f t="shared" si="28"/>
        <v>75</v>
      </c>
      <c r="H224" s="328">
        <f t="shared" si="29"/>
        <v>0</v>
      </c>
    </row>
    <row r="225" spans="1:8" s="162" customFormat="1" ht="16.5">
      <c r="A225" s="891" t="s">
        <v>358</v>
      </c>
      <c r="B225" s="331" t="s">
        <v>221</v>
      </c>
      <c r="C225" s="346" t="s">
        <v>215</v>
      </c>
      <c r="D225" s="429">
        <v>38</v>
      </c>
      <c r="E225" s="377">
        <v>0</v>
      </c>
      <c r="F225" s="408">
        <f t="shared" si="27"/>
        <v>0</v>
      </c>
      <c r="G225" s="348">
        <f t="shared" si="28"/>
        <v>75</v>
      </c>
      <c r="H225" s="328">
        <f t="shared" si="29"/>
        <v>0</v>
      </c>
    </row>
    <row r="226" spans="1:8" s="162" customFormat="1" ht="27">
      <c r="A226" s="891" t="s">
        <v>359</v>
      </c>
      <c r="B226" s="331" t="s">
        <v>223</v>
      </c>
      <c r="C226" s="385" t="s">
        <v>224</v>
      </c>
      <c r="D226" s="352">
        <f>(384*1)/50</f>
        <v>7.68</v>
      </c>
      <c r="E226" s="377">
        <v>0</v>
      </c>
      <c r="F226" s="408">
        <f t="shared" si="27"/>
        <v>0</v>
      </c>
      <c r="G226" s="348">
        <f t="shared" si="28"/>
        <v>75</v>
      </c>
      <c r="H226" s="328">
        <f t="shared" si="29"/>
        <v>0</v>
      </c>
    </row>
    <row r="227" spans="1:8" s="162" customFormat="1" ht="16.5">
      <c r="A227" s="891" t="s">
        <v>360</v>
      </c>
      <c r="B227" s="430" t="s">
        <v>229</v>
      </c>
      <c r="C227" s="346" t="s">
        <v>230</v>
      </c>
      <c r="D227" s="352">
        <v>1</v>
      </c>
      <c r="E227" s="377">
        <v>0</v>
      </c>
      <c r="F227" s="408">
        <f t="shared" si="27"/>
        <v>0</v>
      </c>
      <c r="G227" s="348">
        <f t="shared" si="28"/>
        <v>75</v>
      </c>
      <c r="H227" s="328">
        <f t="shared" si="29"/>
        <v>0</v>
      </c>
    </row>
    <row r="228" spans="1:8" s="162" customFormat="1" ht="16.5">
      <c r="A228" s="891" t="s">
        <v>361</v>
      </c>
      <c r="B228" s="430" t="s">
        <v>232</v>
      </c>
      <c r="C228" s="346" t="s">
        <v>233</v>
      </c>
      <c r="D228" s="347">
        <f>1.4*4</f>
        <v>5.6</v>
      </c>
      <c r="E228" s="377">
        <v>0</v>
      </c>
      <c r="F228" s="408">
        <f t="shared" si="27"/>
        <v>0</v>
      </c>
      <c r="G228" s="348">
        <f t="shared" si="28"/>
        <v>75</v>
      </c>
      <c r="H228" s="328">
        <f t="shared" si="29"/>
        <v>0</v>
      </c>
    </row>
    <row r="229" spans="1:8" s="162" customFormat="1" ht="33">
      <c r="A229" s="891"/>
      <c r="B229" s="431" t="s">
        <v>362</v>
      </c>
      <c r="C229" s="411"/>
      <c r="D229" s="412"/>
      <c r="E229" s="357"/>
      <c r="F229" s="426">
        <f>SUM(F222:F228)</f>
        <v>0</v>
      </c>
      <c r="G229" s="412"/>
      <c r="H229" s="432">
        <f>SUM(H222:H228)</f>
        <v>0</v>
      </c>
    </row>
    <row r="230" spans="1:8" s="162" customFormat="1" ht="49.5">
      <c r="A230" s="493" t="s">
        <v>363</v>
      </c>
      <c r="B230" s="360" t="s">
        <v>364</v>
      </c>
      <c r="C230" s="95" t="s">
        <v>51</v>
      </c>
      <c r="D230" s="96" t="s">
        <v>52</v>
      </c>
      <c r="E230" s="317" t="s">
        <v>53</v>
      </c>
      <c r="F230" s="317" t="s">
        <v>54</v>
      </c>
      <c r="G230" s="318" t="s">
        <v>186</v>
      </c>
      <c r="H230" s="344" t="s">
        <v>212</v>
      </c>
    </row>
    <row r="231" spans="1:8" s="162" customFormat="1" ht="16.5">
      <c r="A231" s="494" t="s">
        <v>365</v>
      </c>
      <c r="B231" s="1432" t="s">
        <v>366</v>
      </c>
      <c r="C231" s="1432"/>
      <c r="D231" s="1432"/>
      <c r="E231" s="1432"/>
      <c r="F231" s="362">
        <f>ROUND((5%*(F220)),0)</f>
        <v>0</v>
      </c>
      <c r="G231" s="348">
        <v>75</v>
      </c>
      <c r="H231" s="363">
        <f>+F231*G231</f>
        <v>0</v>
      </c>
    </row>
    <row r="232" spans="1:8" s="162" customFormat="1" ht="16.5">
      <c r="A232" s="494" t="s">
        <v>367</v>
      </c>
      <c r="B232" s="1432" t="s">
        <v>368</v>
      </c>
      <c r="C232" s="1432"/>
      <c r="D232" s="1432"/>
      <c r="E232" s="1432"/>
      <c r="F232" s="433">
        <f>ROUND((8%*(F229-F222)),0)</f>
        <v>0</v>
      </c>
      <c r="G232" s="348">
        <f>+G231</f>
        <v>75</v>
      </c>
      <c r="H232" s="363">
        <f>+F232*G232</f>
        <v>0</v>
      </c>
    </row>
    <row r="233" spans="1:8" s="162" customFormat="1" ht="16.5">
      <c r="A233" s="494" t="s">
        <v>241</v>
      </c>
      <c r="B233" s="169" t="s">
        <v>369</v>
      </c>
      <c r="C233" s="169" t="s">
        <v>243</v>
      </c>
      <c r="D233" s="94" t="s">
        <v>243</v>
      </c>
      <c r="E233" s="170" t="s">
        <v>243</v>
      </c>
      <c r="F233" s="171">
        <f>SUM(F231:F232)</f>
        <v>0</v>
      </c>
      <c r="G233" s="348">
        <f>+G232</f>
        <v>75</v>
      </c>
      <c r="H233" s="364">
        <f>+H231+H232</f>
        <v>0</v>
      </c>
    </row>
    <row r="234" spans="1:8" s="162" customFormat="1" ht="16.5">
      <c r="A234" s="494"/>
      <c r="B234" s="169" t="s">
        <v>370</v>
      </c>
      <c r="C234" s="172"/>
      <c r="D234" s="94"/>
      <c r="E234" s="170"/>
      <c r="F234" s="391">
        <f>+F220+F229</f>
        <v>0</v>
      </c>
      <c r="G234" s="348">
        <f>+G233</f>
        <v>75</v>
      </c>
      <c r="H234" s="366">
        <f>+F234*G234</f>
        <v>0</v>
      </c>
    </row>
    <row r="235" spans="1:8" s="162" customFormat="1" ht="33">
      <c r="A235" s="494"/>
      <c r="B235" s="367" t="s">
        <v>371</v>
      </c>
      <c r="C235" s="368"/>
      <c r="D235" s="369"/>
      <c r="E235" s="370" t="s">
        <v>241</v>
      </c>
      <c r="F235" s="434">
        <f>+F234+F233</f>
        <v>0</v>
      </c>
      <c r="G235" s="348">
        <f>+G234</f>
        <v>75</v>
      </c>
      <c r="H235" s="370">
        <f>+F235*G235</f>
        <v>0</v>
      </c>
    </row>
    <row r="236" spans="1:8" s="162" customFormat="1" ht="16.5">
      <c r="A236" s="894" t="s">
        <v>372</v>
      </c>
      <c r="B236" s="1420" t="s">
        <v>373</v>
      </c>
      <c r="C236" s="1420"/>
      <c r="D236" s="1420"/>
      <c r="E236" s="1420"/>
      <c r="F236" s="1420"/>
      <c r="G236" s="1420"/>
      <c r="H236" s="1420"/>
    </row>
    <row r="237" spans="1:8" s="162" customFormat="1" ht="49.5">
      <c r="A237" s="80" t="s">
        <v>185</v>
      </c>
      <c r="B237" s="253" t="s">
        <v>50</v>
      </c>
      <c r="C237" s="81" t="s">
        <v>210</v>
      </c>
      <c r="D237" s="341" t="s">
        <v>52</v>
      </c>
      <c r="E237" s="342" t="s">
        <v>211</v>
      </c>
      <c r="F237" s="343" t="s">
        <v>248</v>
      </c>
      <c r="G237" s="318" t="s">
        <v>186</v>
      </c>
      <c r="H237" s="344" t="s">
        <v>212</v>
      </c>
    </row>
    <row r="238" spans="1:8" s="162" customFormat="1" ht="16.5">
      <c r="A238" s="895" t="s">
        <v>374</v>
      </c>
      <c r="B238" s="1434" t="s">
        <v>189</v>
      </c>
      <c r="C238" s="1434"/>
      <c r="D238" s="1434"/>
      <c r="E238" s="1434"/>
      <c r="F238" s="1434"/>
      <c r="G238" s="84"/>
      <c r="H238" s="328">
        <f t="shared" ref="H238:H244" si="30">+F238*G238</f>
        <v>0</v>
      </c>
    </row>
    <row r="239" spans="1:8" s="162" customFormat="1" ht="16.5">
      <c r="A239" s="495" t="s">
        <v>375</v>
      </c>
      <c r="B239" s="436" t="s">
        <v>206</v>
      </c>
      <c r="C239" s="437" t="s">
        <v>290</v>
      </c>
      <c r="D239" s="438">
        <v>1.25</v>
      </c>
      <c r="E239" s="377">
        <v>0</v>
      </c>
      <c r="F239" s="326">
        <f t="shared" ref="F239:F244" si="31">ROUND((D239*E239),0)</f>
        <v>0</v>
      </c>
      <c r="G239" s="439">
        <v>45</v>
      </c>
      <c r="H239" s="328">
        <f t="shared" si="30"/>
        <v>0</v>
      </c>
    </row>
    <row r="240" spans="1:8" s="162" customFormat="1" ht="16.5">
      <c r="A240" s="495" t="s">
        <v>376</v>
      </c>
      <c r="B240" s="436" t="s">
        <v>343</v>
      </c>
      <c r="C240" s="440" t="s">
        <v>290</v>
      </c>
      <c r="D240" s="438">
        <v>0.25</v>
      </c>
      <c r="E240" s="377">
        <v>0</v>
      </c>
      <c r="F240" s="326">
        <f t="shared" si="31"/>
        <v>0</v>
      </c>
      <c r="G240" s="439">
        <v>45</v>
      </c>
      <c r="H240" s="328">
        <f t="shared" si="30"/>
        <v>0</v>
      </c>
    </row>
    <row r="241" spans="1:8" s="162" customFormat="1" ht="16.5">
      <c r="A241" s="495" t="s">
        <v>377</v>
      </c>
      <c r="B241" s="436" t="s">
        <v>346</v>
      </c>
      <c r="C241" s="441" t="s">
        <v>290</v>
      </c>
      <c r="D241" s="438">
        <v>0.5</v>
      </c>
      <c r="E241" s="377">
        <v>0</v>
      </c>
      <c r="F241" s="326">
        <f t="shared" si="31"/>
        <v>0</v>
      </c>
      <c r="G241" s="439">
        <v>45</v>
      </c>
      <c r="H241" s="328">
        <f t="shared" si="30"/>
        <v>0</v>
      </c>
    </row>
    <row r="242" spans="1:8" s="162" customFormat="1" ht="16.5">
      <c r="A242" s="495" t="s">
        <v>378</v>
      </c>
      <c r="B242" s="436" t="s">
        <v>348</v>
      </c>
      <c r="C242" s="441" t="s">
        <v>290</v>
      </c>
      <c r="D242" s="438">
        <v>0.25</v>
      </c>
      <c r="E242" s="377">
        <v>0</v>
      </c>
      <c r="F242" s="326">
        <f t="shared" si="31"/>
        <v>0</v>
      </c>
      <c r="G242" s="439">
        <v>45</v>
      </c>
      <c r="H242" s="328">
        <f t="shared" si="30"/>
        <v>0</v>
      </c>
    </row>
    <row r="243" spans="1:8" s="162" customFormat="1" ht="16.5">
      <c r="A243" s="495" t="s">
        <v>379</v>
      </c>
      <c r="B243" s="436" t="s">
        <v>350</v>
      </c>
      <c r="C243" s="441" t="s">
        <v>290</v>
      </c>
      <c r="D243" s="438">
        <v>0.5</v>
      </c>
      <c r="E243" s="377">
        <v>0</v>
      </c>
      <c r="F243" s="326">
        <f t="shared" si="31"/>
        <v>0</v>
      </c>
      <c r="G243" s="439">
        <v>45</v>
      </c>
      <c r="H243" s="328">
        <f t="shared" si="30"/>
        <v>0</v>
      </c>
    </row>
    <row r="244" spans="1:8" s="162" customFormat="1" ht="16.5">
      <c r="A244" s="495" t="s">
        <v>380</v>
      </c>
      <c r="B244" s="436" t="s">
        <v>352</v>
      </c>
      <c r="C244" s="441" t="s">
        <v>290</v>
      </c>
      <c r="D244" s="438">
        <v>0.5</v>
      </c>
      <c r="E244" s="377">
        <v>0</v>
      </c>
      <c r="F244" s="326">
        <f t="shared" si="31"/>
        <v>0</v>
      </c>
      <c r="G244" s="439">
        <v>45</v>
      </c>
      <c r="H244" s="328">
        <f t="shared" si="30"/>
        <v>0</v>
      </c>
    </row>
    <row r="245" spans="1:8" s="162" customFormat="1" ht="33">
      <c r="A245" s="83"/>
      <c r="B245" s="443" t="s">
        <v>381</v>
      </c>
      <c r="C245" s="83"/>
      <c r="D245" s="356" t="s">
        <v>241</v>
      </c>
      <c r="E245" s="336">
        <f>SUM(E239:E244)</f>
        <v>0</v>
      </c>
      <c r="F245" s="444">
        <f>SUM(F239:F244)</f>
        <v>0</v>
      </c>
      <c r="G245" s="445"/>
      <c r="H245" s="446">
        <f>SUM(H238:H244)</f>
        <v>0</v>
      </c>
    </row>
    <row r="246" spans="1:8" s="162" customFormat="1" ht="49.5">
      <c r="A246" s="321" t="s">
        <v>382</v>
      </c>
      <c r="B246" s="228" t="s">
        <v>304</v>
      </c>
      <c r="C246" s="81" t="s">
        <v>210</v>
      </c>
      <c r="D246" s="341" t="s">
        <v>52</v>
      </c>
      <c r="E246" s="342" t="s">
        <v>211</v>
      </c>
      <c r="F246" s="343" t="s">
        <v>248</v>
      </c>
      <c r="G246" s="318" t="s">
        <v>186</v>
      </c>
      <c r="H246" s="344" t="s">
        <v>212</v>
      </c>
    </row>
    <row r="247" spans="1:8" s="162" customFormat="1" ht="27">
      <c r="A247" s="495" t="s">
        <v>383</v>
      </c>
      <c r="B247" s="447" t="s">
        <v>219</v>
      </c>
      <c r="C247" s="448" t="s">
        <v>215</v>
      </c>
      <c r="D247" s="449">
        <f>77*0.1</f>
        <v>7.7</v>
      </c>
      <c r="E247" s="377">
        <v>0</v>
      </c>
      <c r="F247" s="326">
        <f>ROUND((D247*E247),0)</f>
        <v>0</v>
      </c>
      <c r="G247" s="439">
        <f>+G239</f>
        <v>45</v>
      </c>
      <c r="H247" s="328">
        <f t="shared" ref="H247:H251" si="32">+F247*G247</f>
        <v>0</v>
      </c>
    </row>
    <row r="248" spans="1:8" s="162" customFormat="1" ht="16.5">
      <c r="A248" s="495" t="s">
        <v>384</v>
      </c>
      <c r="B248" s="447" t="s">
        <v>221</v>
      </c>
      <c r="C248" s="448" t="s">
        <v>215</v>
      </c>
      <c r="D248" s="449">
        <v>8</v>
      </c>
      <c r="E248" s="377">
        <v>0</v>
      </c>
      <c r="F248" s="326">
        <f t="shared" ref="F248:F251" si="33">ROUND((D248*E248),0)</f>
        <v>0</v>
      </c>
      <c r="G248" s="439">
        <f>+G247</f>
        <v>45</v>
      </c>
      <c r="H248" s="328">
        <f t="shared" si="32"/>
        <v>0</v>
      </c>
    </row>
    <row r="249" spans="1:8" s="162" customFormat="1" ht="27">
      <c r="A249" s="495" t="s">
        <v>385</v>
      </c>
      <c r="B249" s="447" t="s">
        <v>223</v>
      </c>
      <c r="C249" s="154" t="s">
        <v>224</v>
      </c>
      <c r="D249" s="450">
        <f>(77*1)/50</f>
        <v>1.54</v>
      </c>
      <c r="E249" s="377">
        <v>0</v>
      </c>
      <c r="F249" s="326">
        <f t="shared" si="33"/>
        <v>0</v>
      </c>
      <c r="G249" s="439">
        <f>+G248</f>
        <v>45</v>
      </c>
      <c r="H249" s="328">
        <f t="shared" si="32"/>
        <v>0</v>
      </c>
    </row>
    <row r="250" spans="1:8" s="162" customFormat="1" ht="16.5">
      <c r="A250" s="495" t="s">
        <v>386</v>
      </c>
      <c r="B250" s="447" t="s">
        <v>229</v>
      </c>
      <c r="C250" s="448" t="s">
        <v>230</v>
      </c>
      <c r="D250" s="449">
        <v>1</v>
      </c>
      <c r="E250" s="377">
        <v>0</v>
      </c>
      <c r="F250" s="326">
        <f t="shared" si="33"/>
        <v>0</v>
      </c>
      <c r="G250" s="439">
        <f>+G249</f>
        <v>45</v>
      </c>
      <c r="H250" s="328">
        <f t="shared" si="32"/>
        <v>0</v>
      </c>
    </row>
    <row r="251" spans="1:8" s="162" customFormat="1" ht="16.5">
      <c r="A251" s="495" t="s">
        <v>387</v>
      </c>
      <c r="B251" s="447" t="s">
        <v>232</v>
      </c>
      <c r="C251" s="448" t="s">
        <v>233</v>
      </c>
      <c r="D251" s="449">
        <v>5.6</v>
      </c>
      <c r="E251" s="377">
        <v>0</v>
      </c>
      <c r="F251" s="326">
        <f t="shared" si="33"/>
        <v>0</v>
      </c>
      <c r="G251" s="439">
        <f>+G250</f>
        <v>45</v>
      </c>
      <c r="H251" s="328">
        <f t="shared" si="32"/>
        <v>0</v>
      </c>
    </row>
    <row r="252" spans="1:8" s="162" customFormat="1" ht="33">
      <c r="A252" s="896"/>
      <c r="B252" s="443" t="s">
        <v>388</v>
      </c>
      <c r="C252" s="83"/>
      <c r="D252" s="356" t="s">
        <v>241</v>
      </c>
      <c r="E252" s="336">
        <f>SUM(E247:E251)</f>
        <v>0</v>
      </c>
      <c r="F252" s="444">
        <f>SUM(F247:F251)</f>
        <v>0</v>
      </c>
      <c r="G252" s="445"/>
      <c r="H252" s="446">
        <f>SUM(H246:H251)</f>
        <v>0</v>
      </c>
    </row>
    <row r="253" spans="1:8" s="162" customFormat="1" ht="49.5">
      <c r="A253" s="897" t="s">
        <v>389</v>
      </c>
      <c r="B253" s="360" t="s">
        <v>390</v>
      </c>
      <c r="C253" s="452" t="s">
        <v>51</v>
      </c>
      <c r="D253" s="453" t="s">
        <v>52</v>
      </c>
      <c r="E253" s="454" t="s">
        <v>53</v>
      </c>
      <c r="F253" s="317" t="s">
        <v>54</v>
      </c>
      <c r="G253" s="318" t="s">
        <v>186</v>
      </c>
      <c r="H253" s="344" t="s">
        <v>212</v>
      </c>
    </row>
    <row r="254" spans="1:8" s="162" customFormat="1" ht="16.5">
      <c r="A254" s="898" t="s">
        <v>391</v>
      </c>
      <c r="B254" s="1425" t="s">
        <v>392</v>
      </c>
      <c r="C254" s="1425"/>
      <c r="D254" s="1425"/>
      <c r="E254" s="1425"/>
      <c r="F254" s="456">
        <f>ROUND((5%*(F245)),0)</f>
        <v>0</v>
      </c>
      <c r="G254" s="439">
        <f>+G247</f>
        <v>45</v>
      </c>
      <c r="H254" s="363">
        <f>+F254*G254</f>
        <v>0</v>
      </c>
    </row>
    <row r="255" spans="1:8" s="162" customFormat="1" ht="16.5">
      <c r="A255" s="898" t="s">
        <v>393</v>
      </c>
      <c r="B255" s="1425" t="s">
        <v>394</v>
      </c>
      <c r="C255" s="1425"/>
      <c r="D255" s="1425"/>
      <c r="E255" s="1425"/>
      <c r="F255" s="456">
        <f>ROUND(8%*(F252-F247),0)</f>
        <v>0</v>
      </c>
      <c r="G255" s="439">
        <f>+G254</f>
        <v>45</v>
      </c>
      <c r="H255" s="363">
        <f>+F255*G255</f>
        <v>0</v>
      </c>
    </row>
    <row r="256" spans="1:8" s="162" customFormat="1" ht="16.5">
      <c r="A256" s="899" t="s">
        <v>241</v>
      </c>
      <c r="B256" s="169" t="s">
        <v>395</v>
      </c>
      <c r="C256" s="169" t="s">
        <v>243</v>
      </c>
      <c r="D256" s="94" t="s">
        <v>243</v>
      </c>
      <c r="E256" s="170" t="s">
        <v>243</v>
      </c>
      <c r="F256" s="457">
        <f>+F254+F255</f>
        <v>0</v>
      </c>
      <c r="G256" s="439">
        <f>+G255</f>
        <v>45</v>
      </c>
      <c r="H256" s="363">
        <f>+F256*G256</f>
        <v>0</v>
      </c>
    </row>
    <row r="257" spans="1:8" s="162" customFormat="1" ht="16.5">
      <c r="A257" s="898"/>
      <c r="B257" s="169" t="s">
        <v>396</v>
      </c>
      <c r="C257" s="172"/>
      <c r="D257" s="94"/>
      <c r="E257" s="170"/>
      <c r="F257" s="458">
        <f>+F252+F245</f>
        <v>0</v>
      </c>
      <c r="G257" s="439">
        <f>+G256</f>
        <v>45</v>
      </c>
      <c r="H257" s="366">
        <f>+F257*G257</f>
        <v>0</v>
      </c>
    </row>
    <row r="258" spans="1:8" s="162" customFormat="1" ht="33">
      <c r="A258" s="898"/>
      <c r="B258" s="368" t="s">
        <v>397</v>
      </c>
      <c r="C258" s="368"/>
      <c r="D258" s="369"/>
      <c r="E258" s="459" t="s">
        <v>241</v>
      </c>
      <c r="F258" s="460">
        <f>+F257+F256</f>
        <v>0</v>
      </c>
      <c r="G258" s="461">
        <f>+G257</f>
        <v>45</v>
      </c>
      <c r="H258" s="366">
        <f>+H257+H256</f>
        <v>0</v>
      </c>
    </row>
    <row r="259" spans="1:8" s="162" customFormat="1" ht="16.5">
      <c r="A259" s="900" t="s">
        <v>398</v>
      </c>
      <c r="B259" s="1420" t="s">
        <v>399</v>
      </c>
      <c r="C259" s="1420"/>
      <c r="D259" s="1420"/>
      <c r="E259" s="1420"/>
      <c r="F259" s="1420"/>
      <c r="G259" s="1420"/>
      <c r="H259" s="1420"/>
    </row>
    <row r="260" spans="1:8" s="162" customFormat="1" ht="49.5">
      <c r="A260" s="80" t="s">
        <v>185</v>
      </c>
      <c r="B260" s="253" t="s">
        <v>50</v>
      </c>
      <c r="C260" s="81" t="s">
        <v>210</v>
      </c>
      <c r="D260" s="341" t="s">
        <v>52</v>
      </c>
      <c r="E260" s="342" t="s">
        <v>211</v>
      </c>
      <c r="F260" s="343" t="s">
        <v>248</v>
      </c>
      <c r="G260" s="318" t="s">
        <v>186</v>
      </c>
      <c r="H260" s="344" t="s">
        <v>212</v>
      </c>
    </row>
    <row r="261" spans="1:8" s="162" customFormat="1" ht="16.5">
      <c r="A261" s="894" t="s">
        <v>400</v>
      </c>
      <c r="B261" s="1434" t="s">
        <v>189</v>
      </c>
      <c r="C261" s="1434"/>
      <c r="D261" s="1434"/>
      <c r="E261" s="1434"/>
      <c r="F261" s="1434"/>
      <c r="G261" s="84"/>
      <c r="H261" s="328">
        <f t="shared" ref="H261:H267" si="34">+F261*G261</f>
        <v>0</v>
      </c>
    </row>
    <row r="262" spans="1:8" s="162" customFormat="1" ht="16.5">
      <c r="A262" s="491" t="s">
        <v>401</v>
      </c>
      <c r="B262" s="462" t="s">
        <v>206</v>
      </c>
      <c r="C262" s="463" t="s">
        <v>290</v>
      </c>
      <c r="D262" s="464">
        <v>1</v>
      </c>
      <c r="E262" s="377">
        <v>0</v>
      </c>
      <c r="F262" s="326">
        <f t="shared" ref="F262:F265" si="35">ROUND((D262*E262),0)</f>
        <v>0</v>
      </c>
      <c r="G262" s="439">
        <v>75</v>
      </c>
      <c r="H262" s="328">
        <f t="shared" si="34"/>
        <v>0</v>
      </c>
    </row>
    <row r="263" spans="1:8" s="162" customFormat="1" ht="16.5">
      <c r="A263" s="491" t="s">
        <v>402</v>
      </c>
      <c r="B263" s="462" t="s">
        <v>343</v>
      </c>
      <c r="C263" s="465" t="s">
        <v>290</v>
      </c>
      <c r="D263" s="464">
        <v>0.5</v>
      </c>
      <c r="E263" s="377">
        <v>0</v>
      </c>
      <c r="F263" s="326">
        <f t="shared" si="35"/>
        <v>0</v>
      </c>
      <c r="G263" s="439">
        <v>75</v>
      </c>
      <c r="H263" s="328">
        <f t="shared" si="34"/>
        <v>0</v>
      </c>
    </row>
    <row r="264" spans="1:8" s="162" customFormat="1" ht="16.5">
      <c r="A264" s="491" t="s">
        <v>403</v>
      </c>
      <c r="B264" s="462" t="s">
        <v>350</v>
      </c>
      <c r="C264" s="466" t="s">
        <v>290</v>
      </c>
      <c r="D264" s="464">
        <v>0.5</v>
      </c>
      <c r="E264" s="377">
        <v>0</v>
      </c>
      <c r="F264" s="326">
        <f t="shared" si="35"/>
        <v>0</v>
      </c>
      <c r="G264" s="439">
        <v>75</v>
      </c>
      <c r="H264" s="328">
        <f t="shared" si="34"/>
        <v>0</v>
      </c>
    </row>
    <row r="265" spans="1:8" s="162" customFormat="1" ht="16.5">
      <c r="A265" s="491" t="s">
        <v>404</v>
      </c>
      <c r="B265" s="462" t="s">
        <v>352</v>
      </c>
      <c r="C265" s="466" t="s">
        <v>290</v>
      </c>
      <c r="D265" s="464">
        <v>0.5</v>
      </c>
      <c r="E265" s="377">
        <v>0</v>
      </c>
      <c r="F265" s="326">
        <f t="shared" si="35"/>
        <v>0</v>
      </c>
      <c r="G265" s="439">
        <v>75</v>
      </c>
      <c r="H265" s="328">
        <f t="shared" si="34"/>
        <v>0</v>
      </c>
    </row>
    <row r="266" spans="1:8" s="162" customFormat="1" ht="16.5">
      <c r="A266" s="895"/>
      <c r="B266" s="441"/>
      <c r="C266" s="441"/>
      <c r="D266" s="467"/>
      <c r="E266" s="377"/>
      <c r="F266" s="326"/>
      <c r="G266" s="439"/>
      <c r="H266" s="328">
        <f t="shared" si="34"/>
        <v>0</v>
      </c>
    </row>
    <row r="267" spans="1:8" s="162" customFormat="1" ht="16.5">
      <c r="A267" s="82"/>
      <c r="B267" s="441"/>
      <c r="C267" s="441"/>
      <c r="D267" s="467"/>
      <c r="E267" s="377"/>
      <c r="F267" s="326"/>
      <c r="G267" s="439"/>
      <c r="H267" s="328">
        <f t="shared" si="34"/>
        <v>0</v>
      </c>
    </row>
    <row r="268" spans="1:8" s="162" customFormat="1" ht="33">
      <c r="A268" s="83"/>
      <c r="B268" s="443" t="s">
        <v>405</v>
      </c>
      <c r="C268" s="83"/>
      <c r="D268" s="356" t="s">
        <v>241</v>
      </c>
      <c r="E268" s="336">
        <f>SUM(E262:E267)</f>
        <v>0</v>
      </c>
      <c r="F268" s="444">
        <f>SUM(F262:F267)</f>
        <v>0</v>
      </c>
      <c r="G268" s="445"/>
      <c r="H268" s="446">
        <f>SUM(H261:H267)</f>
        <v>0</v>
      </c>
    </row>
    <row r="269" spans="1:8" s="162" customFormat="1" ht="49.5">
      <c r="A269" s="321" t="s">
        <v>406</v>
      </c>
      <c r="B269" s="228" t="s">
        <v>304</v>
      </c>
      <c r="C269" s="81" t="s">
        <v>210</v>
      </c>
      <c r="D269" s="341" t="s">
        <v>52</v>
      </c>
      <c r="E269" s="342" t="s">
        <v>211</v>
      </c>
      <c r="F269" s="343" t="s">
        <v>248</v>
      </c>
      <c r="G269" s="318" t="s">
        <v>186</v>
      </c>
      <c r="H269" s="344" t="s">
        <v>212</v>
      </c>
    </row>
    <row r="270" spans="1:8" s="162" customFormat="1" ht="16.5">
      <c r="A270" s="901" t="s">
        <v>407</v>
      </c>
      <c r="B270" s="436" t="s">
        <v>223</v>
      </c>
      <c r="C270" s="469" t="s">
        <v>224</v>
      </c>
      <c r="D270" s="449">
        <f>(384*1)/50</f>
        <v>7.68</v>
      </c>
      <c r="E270" s="377">
        <v>0</v>
      </c>
      <c r="F270" s="326">
        <f>ROUND((E270*D270),0)</f>
        <v>0</v>
      </c>
      <c r="G270" s="439">
        <v>75</v>
      </c>
      <c r="H270" s="328">
        <f>+F270*G270</f>
        <v>0</v>
      </c>
    </row>
    <row r="271" spans="1:8" s="162" customFormat="1" ht="16.5">
      <c r="A271" s="901" t="s">
        <v>408</v>
      </c>
      <c r="B271" s="436" t="s">
        <v>229</v>
      </c>
      <c r="C271" s="470" t="s">
        <v>230</v>
      </c>
      <c r="D271" s="471">
        <v>1</v>
      </c>
      <c r="E271" s="377">
        <v>0</v>
      </c>
      <c r="F271" s="326">
        <f>ROUND((E271*D271),0)</f>
        <v>0</v>
      </c>
      <c r="G271" s="439">
        <v>75</v>
      </c>
      <c r="H271" s="328">
        <f>+F271*G271</f>
        <v>0</v>
      </c>
    </row>
    <row r="272" spans="1:8" s="162" customFormat="1" ht="16.5">
      <c r="A272" s="901" t="s">
        <v>409</v>
      </c>
      <c r="B272" s="436" t="s">
        <v>232</v>
      </c>
      <c r="C272" s="470" t="s">
        <v>233</v>
      </c>
      <c r="D272" s="450">
        <f>1.4*4</f>
        <v>5.6</v>
      </c>
      <c r="E272" s="377">
        <v>0</v>
      </c>
      <c r="F272" s="326">
        <f>ROUND((E272*D272),0)</f>
        <v>0</v>
      </c>
      <c r="G272" s="439">
        <v>75</v>
      </c>
      <c r="H272" s="328">
        <f>+F272*G272</f>
        <v>0</v>
      </c>
    </row>
    <row r="273" spans="1:8" s="162" customFormat="1" ht="16.5">
      <c r="A273" s="901" t="s">
        <v>410</v>
      </c>
      <c r="B273" s="436"/>
      <c r="C273" s="472"/>
      <c r="D273" s="449"/>
      <c r="E273" s="377"/>
      <c r="F273" s="326"/>
      <c r="G273" s="439"/>
      <c r="H273" s="328">
        <f>+F273*G273</f>
        <v>0</v>
      </c>
    </row>
    <row r="274" spans="1:8" s="162" customFormat="1" ht="33">
      <c r="A274" s="896"/>
      <c r="B274" s="443" t="s">
        <v>411</v>
      </c>
      <c r="C274" s="83"/>
      <c r="D274" s="356" t="s">
        <v>241</v>
      </c>
      <c r="E274" s="336">
        <f>SUM(E270:E273)</f>
        <v>0</v>
      </c>
      <c r="F274" s="473">
        <f>ROUND(SUM(F270:F273),0)</f>
        <v>0</v>
      </c>
      <c r="G274" s="445"/>
      <c r="H274" s="446">
        <f>SUM(H269:H273)</f>
        <v>0</v>
      </c>
    </row>
    <row r="275" spans="1:8" s="162" customFormat="1" ht="49.5">
      <c r="A275" s="897" t="s">
        <v>412</v>
      </c>
      <c r="B275" s="360" t="s">
        <v>413</v>
      </c>
      <c r="C275" s="452" t="s">
        <v>51</v>
      </c>
      <c r="D275" s="453" t="s">
        <v>52</v>
      </c>
      <c r="E275" s="454" t="s">
        <v>53</v>
      </c>
      <c r="F275" s="317" t="s">
        <v>54</v>
      </c>
      <c r="G275" s="318" t="s">
        <v>186</v>
      </c>
      <c r="H275" s="344" t="s">
        <v>212</v>
      </c>
    </row>
    <row r="276" spans="1:8" s="162" customFormat="1" ht="16.5">
      <c r="A276" s="898" t="s">
        <v>414</v>
      </c>
      <c r="B276" s="1425" t="s">
        <v>415</v>
      </c>
      <c r="C276" s="1425"/>
      <c r="D276" s="1425"/>
      <c r="E276" s="1425"/>
      <c r="F276" s="474">
        <f>ROUND((5%*(F268)),0)</f>
        <v>0</v>
      </c>
      <c r="G276" s="439">
        <f>+G270</f>
        <v>75</v>
      </c>
      <c r="H276" s="363">
        <f>+F276*G276</f>
        <v>0</v>
      </c>
    </row>
    <row r="277" spans="1:8" s="162" customFormat="1" ht="16.5">
      <c r="A277" s="898" t="s">
        <v>416</v>
      </c>
      <c r="B277" s="1425" t="s">
        <v>417</v>
      </c>
      <c r="C277" s="1425"/>
      <c r="D277" s="1425"/>
      <c r="E277" s="1425"/>
      <c r="F277" s="474">
        <f>ROUND((8%*(F274)),0)</f>
        <v>0</v>
      </c>
      <c r="G277" s="439">
        <f>+G276</f>
        <v>75</v>
      </c>
      <c r="H277" s="363">
        <f>+F277*G277</f>
        <v>0</v>
      </c>
    </row>
    <row r="278" spans="1:8" s="162" customFormat="1" ht="16.5">
      <c r="A278" s="899" t="s">
        <v>241</v>
      </c>
      <c r="B278" s="169" t="s">
        <v>418</v>
      </c>
      <c r="C278" s="169" t="s">
        <v>243</v>
      </c>
      <c r="D278" s="94" t="s">
        <v>243</v>
      </c>
      <c r="E278" s="170" t="s">
        <v>243</v>
      </c>
      <c r="F278" s="171">
        <f>+F276+F277</f>
        <v>0</v>
      </c>
      <c r="G278" s="439">
        <f>+G277</f>
        <v>75</v>
      </c>
      <c r="H278" s="363">
        <f>+F278*G278</f>
        <v>0</v>
      </c>
    </row>
    <row r="279" spans="1:8" s="162" customFormat="1" ht="16.5">
      <c r="A279" s="898"/>
      <c r="B279" s="169" t="s">
        <v>419</v>
      </c>
      <c r="C279" s="172"/>
      <c r="D279" s="94"/>
      <c r="E279" s="170"/>
      <c r="F279" s="475">
        <f>+F274+F268</f>
        <v>0</v>
      </c>
      <c r="G279" s="439">
        <f>+G278</f>
        <v>75</v>
      </c>
      <c r="H279" s="363">
        <f>+F279*G279</f>
        <v>0</v>
      </c>
    </row>
    <row r="280" spans="1:8" s="162" customFormat="1" ht="33">
      <c r="A280" s="898"/>
      <c r="B280" s="368" t="s">
        <v>420</v>
      </c>
      <c r="C280" s="368"/>
      <c r="D280" s="369"/>
      <c r="E280" s="459" t="s">
        <v>241</v>
      </c>
      <c r="F280" s="460">
        <f>+F279+F278</f>
        <v>0</v>
      </c>
      <c r="G280" s="461">
        <f>+G279</f>
        <v>75</v>
      </c>
      <c r="H280" s="476">
        <f>+H278+H279</f>
        <v>0</v>
      </c>
    </row>
    <row r="281" spans="1:8" s="162" customFormat="1" ht="16.5">
      <c r="A281" s="888" t="s">
        <v>421</v>
      </c>
      <c r="B281" s="1435" t="s">
        <v>422</v>
      </c>
      <c r="C281" s="1435"/>
      <c r="D281" s="1435"/>
      <c r="E281" s="1435"/>
      <c r="F281" s="1435"/>
      <c r="G281" s="1435"/>
      <c r="H281" s="1435"/>
    </row>
    <row r="282" spans="1:8" s="162" customFormat="1" ht="49.5">
      <c r="A282" s="887" t="s">
        <v>241</v>
      </c>
      <c r="B282" s="340" t="s">
        <v>4</v>
      </c>
      <c r="C282" s="153" t="s">
        <v>210</v>
      </c>
      <c r="D282" s="477" t="s">
        <v>52</v>
      </c>
      <c r="E282" s="478" t="s">
        <v>211</v>
      </c>
      <c r="F282" s="479" t="s">
        <v>248</v>
      </c>
      <c r="G282" s="318" t="s">
        <v>186</v>
      </c>
      <c r="H282" s="344" t="s">
        <v>212</v>
      </c>
    </row>
    <row r="283" spans="1:8" s="162" customFormat="1" ht="16.5">
      <c r="A283" s="890" t="s">
        <v>423</v>
      </c>
      <c r="B283" s="1434" t="s">
        <v>189</v>
      </c>
      <c r="C283" s="1434"/>
      <c r="D283" s="1434"/>
      <c r="E283" s="1434"/>
      <c r="F283" s="1434"/>
      <c r="G283" s="480"/>
      <c r="H283" s="373"/>
    </row>
    <row r="284" spans="1:8" s="162" customFormat="1" ht="16.5">
      <c r="A284" s="890" t="s">
        <v>424</v>
      </c>
      <c r="B284" s="448" t="s">
        <v>206</v>
      </c>
      <c r="C284" s="448" t="s">
        <v>290</v>
      </c>
      <c r="D284" s="464">
        <v>1.25</v>
      </c>
      <c r="E284" s="377">
        <v>0</v>
      </c>
      <c r="F284" s="481">
        <f>ROUND((D284*E284),0)</f>
        <v>0</v>
      </c>
      <c r="G284" s="482">
        <v>45</v>
      </c>
      <c r="H284" s="328">
        <f>+F284*G284</f>
        <v>0</v>
      </c>
    </row>
    <row r="285" spans="1:8" s="162" customFormat="1" ht="16.5">
      <c r="A285" s="890" t="s">
        <v>425</v>
      </c>
      <c r="B285" s="448" t="s">
        <v>343</v>
      </c>
      <c r="C285" s="448" t="s">
        <v>290</v>
      </c>
      <c r="D285" s="464">
        <v>0.25</v>
      </c>
      <c r="E285" s="377">
        <v>0</v>
      </c>
      <c r="F285" s="481">
        <f>ROUND((D285*E285),0)</f>
        <v>0</v>
      </c>
      <c r="G285" s="482">
        <v>45</v>
      </c>
      <c r="H285" s="328">
        <f>+F285*G285</f>
        <v>0</v>
      </c>
    </row>
    <row r="286" spans="1:8" s="162" customFormat="1" ht="16.5">
      <c r="A286" s="890" t="s">
        <v>426</v>
      </c>
      <c r="B286" s="448" t="s">
        <v>350</v>
      </c>
      <c r="C286" s="448" t="s">
        <v>290</v>
      </c>
      <c r="D286" s="464">
        <v>0.5</v>
      </c>
      <c r="E286" s="377">
        <v>0</v>
      </c>
      <c r="F286" s="481">
        <f>ROUND((D286*E286),0)</f>
        <v>0</v>
      </c>
      <c r="G286" s="482">
        <v>45</v>
      </c>
      <c r="H286" s="350">
        <f>+F286*G286</f>
        <v>0</v>
      </c>
    </row>
    <row r="287" spans="1:8" s="162" customFormat="1" ht="16.5">
      <c r="A287" s="890" t="s">
        <v>427</v>
      </c>
      <c r="B287" s="448" t="s">
        <v>352</v>
      </c>
      <c r="C287" s="448" t="s">
        <v>290</v>
      </c>
      <c r="D287" s="464">
        <v>0.5</v>
      </c>
      <c r="E287" s="377">
        <v>0</v>
      </c>
      <c r="F287" s="481">
        <f>ROUND((D287*E287),0)</f>
        <v>0</v>
      </c>
      <c r="G287" s="482">
        <v>45</v>
      </c>
      <c r="H287" s="328">
        <f>+F287*G287</f>
        <v>0</v>
      </c>
    </row>
    <row r="288" spans="1:8" s="162" customFormat="1" ht="33">
      <c r="A288" s="892"/>
      <c r="B288" s="334" t="s">
        <v>428</v>
      </c>
      <c r="C288" s="83"/>
      <c r="D288" s="356"/>
      <c r="E288" s="357">
        <f>SUM(E284:E287)</f>
        <v>0</v>
      </c>
      <c r="F288" s="357">
        <f>SUM(F284:F287)</f>
        <v>0</v>
      </c>
      <c r="G288" s="483"/>
      <c r="H288" s="339">
        <f>SUM(H258:H280)</f>
        <v>0</v>
      </c>
    </row>
    <row r="289" spans="1:9" s="162" customFormat="1" ht="49.5">
      <c r="A289" s="887" t="s">
        <v>429</v>
      </c>
      <c r="B289" s="484" t="s">
        <v>209</v>
      </c>
      <c r="C289" s="485" t="s">
        <v>210</v>
      </c>
      <c r="D289" s="486" t="s">
        <v>52</v>
      </c>
      <c r="E289" s="487" t="s">
        <v>211</v>
      </c>
      <c r="F289" s="488" t="s">
        <v>248</v>
      </c>
      <c r="G289" s="318" t="s">
        <v>186</v>
      </c>
      <c r="H289" s="344" t="s">
        <v>212</v>
      </c>
    </row>
    <row r="290" spans="1:9" s="162" customFormat="1" ht="16.5">
      <c r="A290" s="891" t="s">
        <v>430</v>
      </c>
      <c r="B290" s="436" t="s">
        <v>223</v>
      </c>
      <c r="C290" s="489" t="s">
        <v>224</v>
      </c>
      <c r="D290" s="490">
        <v>1.54</v>
      </c>
      <c r="E290" s="508">
        <v>0</v>
      </c>
      <c r="F290" s="326">
        <f>E290*D290</f>
        <v>0</v>
      </c>
      <c r="G290" s="348">
        <v>45</v>
      </c>
      <c r="H290" s="328">
        <f>+F290*G290</f>
        <v>0</v>
      </c>
    </row>
    <row r="291" spans="1:9" s="162" customFormat="1" ht="16.5">
      <c r="A291" s="891" t="s">
        <v>431</v>
      </c>
      <c r="B291" s="436" t="s">
        <v>229</v>
      </c>
      <c r="C291" s="448" t="s">
        <v>230</v>
      </c>
      <c r="D291" s="491">
        <v>1</v>
      </c>
      <c r="E291" s="508">
        <v>0</v>
      </c>
      <c r="F291" s="326">
        <f t="shared" ref="F291:F292" si="36">E291*D291</f>
        <v>0</v>
      </c>
      <c r="G291" s="348">
        <v>45</v>
      </c>
      <c r="H291" s="328">
        <f t="shared" ref="H291:H293" si="37">+F291*G291</f>
        <v>0</v>
      </c>
    </row>
    <row r="292" spans="1:9" s="162" customFormat="1" ht="16.5">
      <c r="A292" s="891" t="s">
        <v>432</v>
      </c>
      <c r="B292" s="436" t="s">
        <v>232</v>
      </c>
      <c r="C292" s="448" t="s">
        <v>233</v>
      </c>
      <c r="D292" s="491">
        <v>5.6</v>
      </c>
      <c r="E292" s="508">
        <v>0</v>
      </c>
      <c r="F292" s="326">
        <f t="shared" si="36"/>
        <v>0</v>
      </c>
      <c r="G292" s="348">
        <v>45</v>
      </c>
      <c r="H292" s="328">
        <f t="shared" si="37"/>
        <v>0</v>
      </c>
    </row>
    <row r="293" spans="1:9" s="162" customFormat="1" ht="16.5">
      <c r="A293" s="891"/>
      <c r="B293" s="382"/>
      <c r="C293" s="451"/>
      <c r="D293" s="492"/>
      <c r="E293" s="377"/>
      <c r="F293" s="326"/>
      <c r="G293" s="348"/>
      <c r="H293" s="328">
        <f t="shared" si="37"/>
        <v>0</v>
      </c>
    </row>
    <row r="294" spans="1:9" s="162" customFormat="1" ht="16.5">
      <c r="A294" s="891"/>
      <c r="B294" s="431"/>
      <c r="C294" s="411"/>
      <c r="D294" s="412"/>
      <c r="E294" s="357"/>
      <c r="F294" s="426">
        <f>ROUND((SUM(F290:F293)),0)</f>
        <v>0</v>
      </c>
      <c r="G294" s="412"/>
      <c r="H294" s="432">
        <f>SUM(H290:H293)</f>
        <v>0</v>
      </c>
    </row>
    <row r="295" spans="1:9" s="162" customFormat="1" ht="49.5">
      <c r="A295" s="493" t="s">
        <v>433</v>
      </c>
      <c r="B295" s="360" t="s">
        <v>434</v>
      </c>
      <c r="C295" s="95" t="s">
        <v>51</v>
      </c>
      <c r="D295" s="96" t="s">
        <v>52</v>
      </c>
      <c r="E295" s="317" t="s">
        <v>53</v>
      </c>
      <c r="F295" s="317" t="s">
        <v>54</v>
      </c>
      <c r="G295" s="318" t="s">
        <v>186</v>
      </c>
      <c r="H295" s="344" t="s">
        <v>212</v>
      </c>
    </row>
    <row r="296" spans="1:9" s="162" customFormat="1" ht="16.5">
      <c r="A296" s="494" t="s">
        <v>435</v>
      </c>
      <c r="B296" s="1432" t="s">
        <v>436</v>
      </c>
      <c r="C296" s="1432"/>
      <c r="D296" s="1432"/>
      <c r="E296" s="1432"/>
      <c r="F296" s="362">
        <f>ROUND((5%*(F288)),0)</f>
        <v>0</v>
      </c>
      <c r="G296" s="348">
        <v>45</v>
      </c>
      <c r="H296" s="363">
        <f>+F296*G296</f>
        <v>0</v>
      </c>
    </row>
    <row r="297" spans="1:9" s="162" customFormat="1" ht="16.5">
      <c r="A297" s="494" t="s">
        <v>437</v>
      </c>
      <c r="B297" s="1432" t="s">
        <v>438</v>
      </c>
      <c r="C297" s="1432"/>
      <c r="D297" s="1432"/>
      <c r="E297" s="1432"/>
      <c r="F297" s="362">
        <f>ROUND((8%*(F294)),0)</f>
        <v>0</v>
      </c>
      <c r="G297" s="348">
        <f>+G296</f>
        <v>45</v>
      </c>
      <c r="H297" s="363">
        <f>+F297*G297</f>
        <v>0</v>
      </c>
    </row>
    <row r="298" spans="1:9" s="162" customFormat="1" ht="16.5">
      <c r="A298" s="494" t="s">
        <v>241</v>
      </c>
      <c r="B298" s="169" t="s">
        <v>439</v>
      </c>
      <c r="C298" s="169" t="s">
        <v>243</v>
      </c>
      <c r="D298" s="94" t="s">
        <v>243</v>
      </c>
      <c r="E298" s="170" t="s">
        <v>243</v>
      </c>
      <c r="F298" s="171">
        <f>ROUND((SUM(F296:F297)),0)</f>
        <v>0</v>
      </c>
      <c r="G298" s="348">
        <f t="shared" ref="G298:G299" si="38">+G297</f>
        <v>45</v>
      </c>
      <c r="H298" s="364">
        <f>+H296+H297</f>
        <v>0</v>
      </c>
    </row>
    <row r="299" spans="1:9" s="162" customFormat="1" ht="16.5">
      <c r="A299" s="494"/>
      <c r="B299" s="169" t="s">
        <v>440</v>
      </c>
      <c r="C299" s="172"/>
      <c r="D299" s="94"/>
      <c r="E299" s="170"/>
      <c r="F299" s="391">
        <f>+F288+F294</f>
        <v>0</v>
      </c>
      <c r="G299" s="348">
        <f t="shared" si="38"/>
        <v>45</v>
      </c>
      <c r="H299" s="366">
        <f>+F299*G299</f>
        <v>0</v>
      </c>
    </row>
    <row r="300" spans="1:9" s="162" customFormat="1" ht="33">
      <c r="A300" s="494"/>
      <c r="B300" s="367" t="s">
        <v>441</v>
      </c>
      <c r="C300" s="368"/>
      <c r="D300" s="369"/>
      <c r="E300" s="370" t="s">
        <v>241</v>
      </c>
      <c r="F300" s="371">
        <f>+F299+F298</f>
        <v>0</v>
      </c>
      <c r="G300" s="348"/>
      <c r="H300" s="370">
        <f>+H298+H299</f>
        <v>0</v>
      </c>
      <c r="I300" s="859"/>
    </row>
    <row r="301" spans="1:9" s="162" customFormat="1" ht="16.5">
      <c r="A301" s="495" t="s">
        <v>442</v>
      </c>
      <c r="B301" s="1433" t="s">
        <v>443</v>
      </c>
      <c r="C301" s="1433"/>
      <c r="D301" s="1433"/>
      <c r="E301" s="1433"/>
      <c r="F301" s="1433"/>
      <c r="G301" s="1433"/>
      <c r="H301" s="1433"/>
    </row>
    <row r="302" spans="1:9" s="162" customFormat="1" ht="49.5">
      <c r="A302" s="887" t="s">
        <v>241</v>
      </c>
      <c r="B302" s="392" t="s">
        <v>4</v>
      </c>
      <c r="C302" s="81" t="s">
        <v>210</v>
      </c>
      <c r="D302" s="341" t="s">
        <v>52</v>
      </c>
      <c r="E302" s="342" t="s">
        <v>211</v>
      </c>
      <c r="F302" s="343" t="s">
        <v>248</v>
      </c>
      <c r="G302" s="496" t="s">
        <v>186</v>
      </c>
      <c r="H302" s="344" t="s">
        <v>212</v>
      </c>
    </row>
    <row r="303" spans="1:9" s="162" customFormat="1" ht="16.5">
      <c r="A303" s="888" t="s">
        <v>444</v>
      </c>
      <c r="B303" s="1434" t="s">
        <v>189</v>
      </c>
      <c r="C303" s="1434"/>
      <c r="D303" s="1434"/>
      <c r="E303" s="1434"/>
      <c r="F303" s="1434"/>
      <c r="G303" s="372"/>
      <c r="H303" s="373"/>
    </row>
    <row r="304" spans="1:9" s="162" customFormat="1" ht="16.5">
      <c r="A304" s="888" t="s">
        <v>445</v>
      </c>
      <c r="B304" s="497" t="s">
        <v>446</v>
      </c>
      <c r="C304" s="498" t="s">
        <v>341</v>
      </c>
      <c r="D304" s="435">
        <v>1</v>
      </c>
      <c r="E304" s="508">
        <v>0</v>
      </c>
      <c r="F304" s="326">
        <f t="shared" ref="F304:F305" si="39">ROUND((D304*E304),0)</f>
        <v>0</v>
      </c>
      <c r="G304" s="348">
        <v>150</v>
      </c>
      <c r="H304" s="328">
        <f>+F304*G304</f>
        <v>0</v>
      </c>
    </row>
    <row r="305" spans="1:8" s="162" customFormat="1" ht="16.5">
      <c r="A305" s="888"/>
      <c r="B305" s="382"/>
      <c r="C305" s="382"/>
      <c r="D305" s="390"/>
      <c r="E305" s="390"/>
      <c r="F305" s="326">
        <f t="shared" si="39"/>
        <v>0</v>
      </c>
      <c r="G305" s="348"/>
      <c r="H305" s="328">
        <f>+F305*G305</f>
        <v>0</v>
      </c>
    </row>
    <row r="306" spans="1:8" s="162" customFormat="1" ht="33">
      <c r="A306" s="891"/>
      <c r="B306" s="334" t="s">
        <v>447</v>
      </c>
      <c r="C306" s="83"/>
      <c r="D306" s="356"/>
      <c r="E306" s="357">
        <f>SUM(E304:E305)</f>
        <v>0</v>
      </c>
      <c r="F306" s="357">
        <f>SUM(F304:F305)</f>
        <v>0</v>
      </c>
      <c r="G306" s="412"/>
      <c r="H306" s="339">
        <f>SUM(H304:H305)</f>
        <v>0</v>
      </c>
    </row>
    <row r="307" spans="1:8" s="162" customFormat="1" ht="49.5">
      <c r="A307" s="887" t="s">
        <v>448</v>
      </c>
      <c r="B307" s="392" t="s">
        <v>209</v>
      </c>
      <c r="C307" s="81" t="s">
        <v>210</v>
      </c>
      <c r="D307" s="341" t="s">
        <v>52</v>
      </c>
      <c r="E307" s="342" t="s">
        <v>211</v>
      </c>
      <c r="F307" s="343" t="s">
        <v>248</v>
      </c>
      <c r="G307" s="318" t="s">
        <v>186</v>
      </c>
      <c r="H307" s="344" t="s">
        <v>212</v>
      </c>
    </row>
    <row r="308" spans="1:8" s="162" customFormat="1" ht="25.5">
      <c r="A308" s="891" t="s">
        <v>449</v>
      </c>
      <c r="B308" s="499" t="s">
        <v>450</v>
      </c>
      <c r="C308" s="500" t="s">
        <v>451</v>
      </c>
      <c r="D308" s="469">
        <v>8</v>
      </c>
      <c r="E308" s="377">
        <v>0</v>
      </c>
      <c r="F308" s="326">
        <f>ROUND((D308*E308),0)</f>
        <v>0</v>
      </c>
      <c r="G308" s="348">
        <f>+G304</f>
        <v>150</v>
      </c>
      <c r="H308" s="328">
        <f>+F308*G308</f>
        <v>0</v>
      </c>
    </row>
    <row r="309" spans="1:8" s="162" customFormat="1" ht="25.5">
      <c r="A309" s="891" t="s">
        <v>452</v>
      </c>
      <c r="B309" s="499" t="s">
        <v>453</v>
      </c>
      <c r="C309" s="500" t="s">
        <v>71</v>
      </c>
      <c r="D309" s="501">
        <v>3</v>
      </c>
      <c r="E309" s="377">
        <v>0</v>
      </c>
      <c r="F309" s="326">
        <f t="shared" ref="F309:F310" si="40">ROUND((D309*E309),0)</f>
        <v>0</v>
      </c>
      <c r="G309" s="348">
        <f>+G308</f>
        <v>150</v>
      </c>
      <c r="H309" s="328">
        <f t="shared" ref="H309:H310" si="41">+F309*G309</f>
        <v>0</v>
      </c>
    </row>
    <row r="310" spans="1:8" s="162" customFormat="1" ht="16.5">
      <c r="A310" s="891" t="s">
        <v>454</v>
      </c>
      <c r="B310" s="499" t="s">
        <v>455</v>
      </c>
      <c r="C310" s="500" t="s">
        <v>451</v>
      </c>
      <c r="D310" s="469">
        <v>4</v>
      </c>
      <c r="E310" s="377">
        <v>0</v>
      </c>
      <c r="F310" s="326">
        <f t="shared" si="40"/>
        <v>0</v>
      </c>
      <c r="G310" s="348">
        <f>+G309</f>
        <v>150</v>
      </c>
      <c r="H310" s="328">
        <f t="shared" si="41"/>
        <v>0</v>
      </c>
    </row>
    <row r="311" spans="1:8" s="162" customFormat="1" ht="16.5">
      <c r="A311" s="891"/>
      <c r="B311" s="431" t="s">
        <v>456</v>
      </c>
      <c r="C311" s="411"/>
      <c r="D311" s="412"/>
      <c r="E311" s="357"/>
      <c r="F311" s="426">
        <f>SUM(F308:F310)</f>
        <v>0</v>
      </c>
      <c r="G311" s="412"/>
      <c r="H311" s="432">
        <f>SUM(H308:H310)</f>
        <v>0</v>
      </c>
    </row>
    <row r="312" spans="1:8" s="162" customFormat="1" ht="49.5">
      <c r="A312" s="493" t="s">
        <v>457</v>
      </c>
      <c r="B312" s="360" t="s">
        <v>458</v>
      </c>
      <c r="C312" s="95" t="s">
        <v>51</v>
      </c>
      <c r="D312" s="96" t="s">
        <v>52</v>
      </c>
      <c r="E312" s="317" t="s">
        <v>53</v>
      </c>
      <c r="F312" s="317" t="s">
        <v>54</v>
      </c>
      <c r="G312" s="318" t="s">
        <v>186</v>
      </c>
      <c r="H312" s="405" t="s">
        <v>212</v>
      </c>
    </row>
    <row r="313" spans="1:8" s="162" customFormat="1" ht="16.5">
      <c r="A313" s="494" t="s">
        <v>459</v>
      </c>
      <c r="B313" s="1432" t="s">
        <v>460</v>
      </c>
      <c r="C313" s="1432"/>
      <c r="D313" s="1432"/>
      <c r="E313" s="1432"/>
      <c r="F313" s="362">
        <f>ROUND((5%*(F306)),0)</f>
        <v>0</v>
      </c>
      <c r="G313" s="348">
        <f>+G310</f>
        <v>150</v>
      </c>
      <c r="H313" s="363">
        <f>+F313*G313</f>
        <v>0</v>
      </c>
    </row>
    <row r="314" spans="1:8" s="162" customFormat="1" ht="16.5">
      <c r="A314" s="494" t="s">
        <v>461</v>
      </c>
      <c r="B314" s="1432" t="s">
        <v>462</v>
      </c>
      <c r="C314" s="1432"/>
      <c r="D314" s="1432"/>
      <c r="E314" s="1432"/>
      <c r="F314" s="362">
        <f>ROUND((8%*(F311)),0)</f>
        <v>0</v>
      </c>
      <c r="G314" s="348">
        <f>+G313</f>
        <v>150</v>
      </c>
      <c r="H314" s="363">
        <f>+F314*G314</f>
        <v>0</v>
      </c>
    </row>
    <row r="315" spans="1:8" s="162" customFormat="1" ht="16.5">
      <c r="A315" s="494" t="s">
        <v>463</v>
      </c>
      <c r="B315" s="1430" t="s">
        <v>464</v>
      </c>
      <c r="C315" s="1430"/>
      <c r="D315" s="1430"/>
      <c r="E315" s="170" t="s">
        <v>243</v>
      </c>
      <c r="F315" s="171">
        <f>SUM(F313:F314)</f>
        <v>0</v>
      </c>
      <c r="G315" s="348">
        <f t="shared" ref="G315:G316" si="42">+G314</f>
        <v>150</v>
      </c>
      <c r="H315" s="364">
        <f>+H313+H314</f>
        <v>0</v>
      </c>
    </row>
    <row r="316" spans="1:8" s="162" customFormat="1" ht="16.5">
      <c r="A316" s="494" t="s">
        <v>465</v>
      </c>
      <c r="B316" s="1430" t="s">
        <v>466</v>
      </c>
      <c r="C316" s="1430"/>
      <c r="D316" s="1430"/>
      <c r="E316" s="170"/>
      <c r="F316" s="391">
        <f>+F306+F311</f>
        <v>0</v>
      </c>
      <c r="G316" s="348">
        <f t="shared" si="42"/>
        <v>150</v>
      </c>
      <c r="H316" s="366">
        <f>+F316*G316</f>
        <v>0</v>
      </c>
    </row>
    <row r="317" spans="1:8" s="162" customFormat="1" ht="33">
      <c r="A317" s="494"/>
      <c r="B317" s="367" t="s">
        <v>467</v>
      </c>
      <c r="C317" s="368"/>
      <c r="D317" s="369"/>
      <c r="E317" s="370" t="s">
        <v>241</v>
      </c>
      <c r="F317" s="371">
        <f>+F316+F315</f>
        <v>0</v>
      </c>
      <c r="G317" s="348"/>
      <c r="H317" s="370">
        <f>+H315+H316</f>
        <v>0</v>
      </c>
    </row>
    <row r="318" spans="1:8" s="162" customFormat="1" ht="16.5">
      <c r="A318" s="902" t="s">
        <v>468</v>
      </c>
      <c r="B318" s="1426" t="s">
        <v>469</v>
      </c>
      <c r="C318" s="1426"/>
      <c r="D318" s="1426"/>
      <c r="E318" s="1426"/>
      <c r="F318" s="1426"/>
      <c r="G318" s="1426"/>
      <c r="H318" s="1426"/>
    </row>
    <row r="319" spans="1:8" s="162" customFormat="1" ht="16.5">
      <c r="A319" s="1427" t="s">
        <v>470</v>
      </c>
      <c r="B319" s="1428" t="s">
        <v>4</v>
      </c>
      <c r="C319" s="1427" t="s">
        <v>282</v>
      </c>
      <c r="D319" s="1427"/>
      <c r="E319" s="1427"/>
      <c r="F319" s="1427" t="s">
        <v>248</v>
      </c>
      <c r="G319" s="1429" t="s">
        <v>186</v>
      </c>
      <c r="H319" s="1431" t="s">
        <v>212</v>
      </c>
    </row>
    <row r="320" spans="1:8" s="162" customFormat="1" ht="16.5">
      <c r="A320" s="1427"/>
      <c r="B320" s="1428"/>
      <c r="C320" s="502" t="s">
        <v>59</v>
      </c>
      <c r="D320" s="502" t="s">
        <v>285</v>
      </c>
      <c r="E320" s="502" t="s">
        <v>286</v>
      </c>
      <c r="F320" s="1427"/>
      <c r="G320" s="1429"/>
      <c r="H320" s="1431"/>
    </row>
    <row r="321" spans="1:8" s="162" customFormat="1" ht="16.5">
      <c r="A321" s="82" t="s">
        <v>471</v>
      </c>
      <c r="B321" s="381" t="s">
        <v>472</v>
      </c>
      <c r="C321" s="382"/>
      <c r="D321" s="503"/>
      <c r="E321" s="377"/>
      <c r="F321" s="326"/>
      <c r="G321" s="439"/>
      <c r="H321" s="328">
        <f t="shared" ref="H321:H323" si="43">+F321*G321</f>
        <v>0</v>
      </c>
    </row>
    <row r="322" spans="1:8" s="162" customFormat="1" ht="16.5">
      <c r="A322" s="82"/>
      <c r="B322" s="382" t="s">
        <v>473</v>
      </c>
      <c r="C322" s="503" t="s">
        <v>341</v>
      </c>
      <c r="D322" s="435">
        <v>2</v>
      </c>
      <c r="E322" s="504">
        <v>0</v>
      </c>
      <c r="F322" s="505">
        <f>ROUND((E322*D322),0)</f>
        <v>0</v>
      </c>
      <c r="G322" s="439">
        <v>45</v>
      </c>
      <c r="H322" s="328">
        <f>+E322*G322</f>
        <v>0</v>
      </c>
    </row>
    <row r="323" spans="1:8" s="162" customFormat="1" ht="16.5">
      <c r="A323" s="82"/>
      <c r="B323" s="382"/>
      <c r="C323" s="382"/>
      <c r="D323" s="503"/>
      <c r="E323" s="377"/>
      <c r="F323" s="326">
        <f t="shared" ref="F323" si="44">ROUND((D323*E323),0)/1000</f>
        <v>0</v>
      </c>
      <c r="G323" s="439"/>
      <c r="H323" s="328">
        <f t="shared" si="43"/>
        <v>0</v>
      </c>
    </row>
    <row r="324" spans="1:8" s="162" customFormat="1" ht="16.5">
      <c r="A324" s="83"/>
      <c r="B324" s="443" t="s">
        <v>474</v>
      </c>
      <c r="C324" s="83"/>
      <c r="D324" s="356"/>
      <c r="E324" s="336"/>
      <c r="F324" s="444">
        <f>SUM(F321:F323)</f>
        <v>0</v>
      </c>
      <c r="G324" s="445"/>
      <c r="H324" s="446">
        <f>SUM(H320:H323)</f>
        <v>0</v>
      </c>
    </row>
    <row r="325" spans="1:8" s="162" customFormat="1" ht="49.5">
      <c r="A325" s="321"/>
      <c r="B325" s="253" t="s">
        <v>304</v>
      </c>
      <c r="C325" s="81" t="s">
        <v>210</v>
      </c>
      <c r="D325" s="341" t="s">
        <v>52</v>
      </c>
      <c r="E325" s="342" t="s">
        <v>211</v>
      </c>
      <c r="F325" s="403" t="s">
        <v>248</v>
      </c>
      <c r="G325" s="318" t="s">
        <v>186</v>
      </c>
      <c r="H325" s="344" t="s">
        <v>212</v>
      </c>
    </row>
    <row r="326" spans="1:8" s="162" customFormat="1" ht="16.5">
      <c r="A326" s="82" t="s">
        <v>475</v>
      </c>
      <c r="B326" s="382"/>
      <c r="C326" s="506"/>
      <c r="D326" s="507"/>
      <c r="E326" s="508"/>
      <c r="F326" s="408">
        <f>+(D326*E326)/1000</f>
        <v>0</v>
      </c>
      <c r="G326" s="439"/>
      <c r="H326" s="328">
        <f>+F326*G326</f>
        <v>0</v>
      </c>
    </row>
    <row r="327" spans="1:8" s="162" customFormat="1" ht="16.5">
      <c r="A327" s="82"/>
      <c r="B327" s="382"/>
      <c r="C327" s="506"/>
      <c r="D327" s="507"/>
      <c r="E327" s="508"/>
      <c r="F327" s="326">
        <f t="shared" ref="F327" si="45">+(D327*E327)/1000</f>
        <v>0</v>
      </c>
      <c r="G327" s="439"/>
      <c r="H327" s="328">
        <f>+F327*G327</f>
        <v>0</v>
      </c>
    </row>
    <row r="328" spans="1:8" s="162" customFormat="1" ht="16.5">
      <c r="A328" s="896"/>
      <c r="B328" s="443" t="s">
        <v>476</v>
      </c>
      <c r="C328" s="509"/>
      <c r="D328" s="509"/>
      <c r="E328" s="510" t="s">
        <v>241</v>
      </c>
      <c r="F328" s="511">
        <f>SUM(F326:F327)</f>
        <v>0</v>
      </c>
      <c r="G328" s="87"/>
      <c r="H328" s="512">
        <f>SUM(H326:H327)</f>
        <v>0</v>
      </c>
    </row>
    <row r="329" spans="1:8" s="162" customFormat="1" ht="49.5">
      <c r="A329" s="897" t="s">
        <v>477</v>
      </c>
      <c r="B329" s="360" t="s">
        <v>478</v>
      </c>
      <c r="C329" s="81" t="s">
        <v>210</v>
      </c>
      <c r="D329" s="341" t="s">
        <v>52</v>
      </c>
      <c r="E329" s="342" t="s">
        <v>211</v>
      </c>
      <c r="F329" s="403" t="s">
        <v>248</v>
      </c>
      <c r="G329" s="318" t="s">
        <v>186</v>
      </c>
      <c r="H329" s="344" t="s">
        <v>212</v>
      </c>
    </row>
    <row r="330" spans="1:8" s="162" customFormat="1" ht="16.5">
      <c r="A330" s="903" t="s">
        <v>479</v>
      </c>
      <c r="B330" s="1425" t="s">
        <v>480</v>
      </c>
      <c r="C330" s="1425"/>
      <c r="D330" s="1425"/>
      <c r="E330" s="1425"/>
      <c r="F330" s="513">
        <f>ROUND((5%*(F324)),0)</f>
        <v>0</v>
      </c>
      <c r="G330" s="964">
        <v>45</v>
      </c>
      <c r="H330" s="363">
        <f>+F330*G330</f>
        <v>0</v>
      </c>
    </row>
    <row r="331" spans="1:8" s="162" customFormat="1" ht="16.5">
      <c r="A331" s="903" t="s">
        <v>481</v>
      </c>
      <c r="B331" s="1425" t="s">
        <v>482</v>
      </c>
      <c r="C331" s="1425"/>
      <c r="D331" s="1425"/>
      <c r="E331" s="1425"/>
      <c r="F331" s="474">
        <f>+F328*8%</f>
        <v>0</v>
      </c>
      <c r="G331" s="439"/>
      <c r="H331" s="363">
        <f>+F331*G331</f>
        <v>0</v>
      </c>
    </row>
    <row r="332" spans="1:8" s="162" customFormat="1" ht="16.5">
      <c r="A332" s="899" t="s">
        <v>241</v>
      </c>
      <c r="B332" s="169" t="s">
        <v>483</v>
      </c>
      <c r="C332" s="169" t="s">
        <v>243</v>
      </c>
      <c r="D332" s="94" t="s">
        <v>243</v>
      </c>
      <c r="E332" s="170" t="s">
        <v>243</v>
      </c>
      <c r="F332" s="171">
        <f>+F330+F331</f>
        <v>0</v>
      </c>
      <c r="G332" s="439">
        <v>45</v>
      </c>
      <c r="H332" s="363">
        <f>+F332*G332</f>
        <v>0</v>
      </c>
    </row>
    <row r="333" spans="1:8" s="162" customFormat="1" ht="16.5">
      <c r="A333" s="898"/>
      <c r="B333" s="169" t="s">
        <v>484</v>
      </c>
      <c r="C333" s="172"/>
      <c r="D333" s="94"/>
      <c r="E333" s="170"/>
      <c r="F333" s="391">
        <f>+F328+F324</f>
        <v>0</v>
      </c>
      <c r="G333" s="439">
        <v>45</v>
      </c>
      <c r="H333" s="366">
        <f>+F333*G333</f>
        <v>0</v>
      </c>
    </row>
    <row r="334" spans="1:8" s="162" customFormat="1" ht="33">
      <c r="A334" s="898"/>
      <c r="B334" s="368" t="s">
        <v>485</v>
      </c>
      <c r="C334" s="368"/>
      <c r="D334" s="369"/>
      <c r="E334" s="370" t="s">
        <v>241</v>
      </c>
      <c r="F334" s="371">
        <f>+F333+F332</f>
        <v>0</v>
      </c>
      <c r="G334" s="439"/>
      <c r="H334" s="370">
        <f>+H332+H333</f>
        <v>0</v>
      </c>
    </row>
    <row r="335" spans="1:8" s="162" customFormat="1" ht="16.5">
      <c r="A335" s="902" t="s">
        <v>486</v>
      </c>
      <c r="B335" s="1426" t="s">
        <v>487</v>
      </c>
      <c r="C335" s="1426"/>
      <c r="D335" s="1426"/>
      <c r="E335" s="1426"/>
      <c r="F335" s="1426"/>
      <c r="G335" s="1426"/>
      <c r="H335" s="1426"/>
    </row>
    <row r="336" spans="1:8" s="162" customFormat="1" ht="16.5">
      <c r="A336" s="1427" t="s">
        <v>470</v>
      </c>
      <c r="B336" s="1428" t="s">
        <v>4</v>
      </c>
      <c r="C336" s="1427" t="s">
        <v>282</v>
      </c>
      <c r="D336" s="1427"/>
      <c r="E336" s="1427"/>
      <c r="F336" s="1427" t="s">
        <v>248</v>
      </c>
      <c r="G336" s="1429" t="s">
        <v>186</v>
      </c>
      <c r="H336" s="1429" t="s">
        <v>212</v>
      </c>
    </row>
    <row r="337" spans="1:8" s="162" customFormat="1" ht="16.5">
      <c r="A337" s="1427"/>
      <c r="B337" s="1428"/>
      <c r="C337" s="502" t="s">
        <v>59</v>
      </c>
      <c r="D337" s="502" t="s">
        <v>285</v>
      </c>
      <c r="E337" s="502" t="s">
        <v>286</v>
      </c>
      <c r="F337" s="1427"/>
      <c r="G337" s="1429"/>
      <c r="H337" s="1429"/>
    </row>
    <row r="338" spans="1:8" s="162" customFormat="1" ht="16.5">
      <c r="A338" s="904" t="s">
        <v>488</v>
      </c>
      <c r="B338" s="368" t="s">
        <v>489</v>
      </c>
      <c r="C338" s="368"/>
      <c r="D338" s="369"/>
      <c r="E338" s="370"/>
      <c r="F338" s="371"/>
      <c r="G338" s="439"/>
      <c r="H338" s="370"/>
    </row>
    <row r="339" spans="1:8" s="162" customFormat="1" ht="16.5">
      <c r="A339" s="82"/>
      <c r="B339" s="514" t="s">
        <v>490</v>
      </c>
      <c r="C339" s="82" t="s">
        <v>341</v>
      </c>
      <c r="D339" s="316">
        <v>2</v>
      </c>
      <c r="E339" s="515">
        <v>0</v>
      </c>
      <c r="F339" s="516">
        <f>ROUND((+D339*E339),0)</f>
        <v>0</v>
      </c>
      <c r="G339" s="517">
        <v>45</v>
      </c>
      <c r="H339" s="518">
        <f>+F339*G339</f>
        <v>0</v>
      </c>
    </row>
    <row r="340" spans="1:8" s="162" customFormat="1" ht="33">
      <c r="A340" s="905"/>
      <c r="B340" s="443" t="s">
        <v>491</v>
      </c>
      <c r="C340" s="519"/>
      <c r="D340" s="520"/>
      <c r="E340" s="521"/>
      <c r="F340" s="522">
        <f>SUM(F339:F339)</f>
        <v>0</v>
      </c>
      <c r="G340" s="523"/>
      <c r="H340" s="524">
        <f>SUM(H339:H339)</f>
        <v>0</v>
      </c>
    </row>
    <row r="341" spans="1:8" s="162" customFormat="1" ht="49.5">
      <c r="A341" s="906" t="s">
        <v>492</v>
      </c>
      <c r="B341" s="253" t="s">
        <v>304</v>
      </c>
      <c r="C341" s="81" t="s">
        <v>210</v>
      </c>
      <c r="D341" s="477" t="s">
        <v>52</v>
      </c>
      <c r="E341" s="478" t="s">
        <v>211</v>
      </c>
      <c r="F341" s="479" t="s">
        <v>248</v>
      </c>
      <c r="G341" s="496" t="s">
        <v>186</v>
      </c>
      <c r="H341" s="344" t="s">
        <v>212</v>
      </c>
    </row>
    <row r="342" spans="1:8" s="162" customFormat="1" ht="16.5">
      <c r="A342" s="82"/>
      <c r="B342" s="514"/>
      <c r="C342" s="506"/>
      <c r="D342" s="525"/>
      <c r="E342" s="515"/>
      <c r="F342" s="468">
        <f>+(D342*E342)/1000</f>
        <v>0</v>
      </c>
      <c r="G342" s="518"/>
      <c r="H342" s="518">
        <f>+F342*G342</f>
        <v>0</v>
      </c>
    </row>
    <row r="343" spans="1:8" s="162" customFormat="1" ht="16.5">
      <c r="A343" s="905"/>
      <c r="B343" s="443" t="s">
        <v>493</v>
      </c>
      <c r="C343" s="316"/>
      <c r="D343" s="316"/>
      <c r="E343" s="526"/>
      <c r="F343" s="527">
        <f>SUM(F342:F342)</f>
        <v>0</v>
      </c>
      <c r="G343" s="316"/>
      <c r="H343" s="518">
        <f>SUM(H342:H342)</f>
        <v>0</v>
      </c>
    </row>
    <row r="344" spans="1:8" s="162" customFormat="1" ht="49.5">
      <c r="A344" s="897" t="s">
        <v>494</v>
      </c>
      <c r="B344" s="360" t="s">
        <v>495</v>
      </c>
      <c r="C344" s="81" t="s">
        <v>210</v>
      </c>
      <c r="D344" s="341" t="s">
        <v>52</v>
      </c>
      <c r="E344" s="342" t="s">
        <v>211</v>
      </c>
      <c r="F344" s="479" t="s">
        <v>248</v>
      </c>
      <c r="G344" s="496" t="s">
        <v>186</v>
      </c>
      <c r="H344" s="344" t="s">
        <v>212</v>
      </c>
    </row>
    <row r="345" spans="1:8" s="162" customFormat="1" ht="33">
      <c r="A345" s="898" t="s">
        <v>496</v>
      </c>
      <c r="B345" s="455" t="s">
        <v>497</v>
      </c>
      <c r="C345" s="455"/>
      <c r="D345" s="455"/>
      <c r="E345" s="455"/>
      <c r="F345" s="528">
        <f>ROUND((5%*(F340)),0)</f>
        <v>0</v>
      </c>
      <c r="G345" s="439">
        <v>45</v>
      </c>
      <c r="H345" s="363">
        <f>+F345*G345</f>
        <v>0</v>
      </c>
    </row>
    <row r="346" spans="1:8" s="162" customFormat="1" ht="33">
      <c r="A346" s="898" t="s">
        <v>498</v>
      </c>
      <c r="B346" s="455" t="s">
        <v>499</v>
      </c>
      <c r="C346" s="455"/>
      <c r="D346" s="455"/>
      <c r="E346" s="455"/>
      <c r="F346" s="528">
        <f>ROUND((8%*(F343)),2)</f>
        <v>0</v>
      </c>
      <c r="G346" s="439"/>
      <c r="H346" s="363">
        <f>+F346*G346</f>
        <v>0</v>
      </c>
    </row>
    <row r="347" spans="1:8" s="162" customFormat="1" ht="16.5">
      <c r="A347" s="899" t="s">
        <v>241</v>
      </c>
      <c r="B347" s="169" t="s">
        <v>500</v>
      </c>
      <c r="C347" s="169" t="s">
        <v>243</v>
      </c>
      <c r="D347" s="94" t="s">
        <v>243</v>
      </c>
      <c r="E347" s="170" t="s">
        <v>243</v>
      </c>
      <c r="F347" s="529">
        <f>+F345+F346</f>
        <v>0</v>
      </c>
      <c r="G347" s="439">
        <v>45</v>
      </c>
      <c r="H347" s="363">
        <f>+F347*G347</f>
        <v>0</v>
      </c>
    </row>
    <row r="348" spans="1:8" s="162" customFormat="1" ht="16.5">
      <c r="A348" s="898"/>
      <c r="B348" s="169" t="s">
        <v>501</v>
      </c>
      <c r="C348" s="172"/>
      <c r="D348" s="94"/>
      <c r="E348" s="170"/>
      <c r="F348" s="391">
        <f>+F343+F340</f>
        <v>0</v>
      </c>
      <c r="G348" s="439">
        <v>45</v>
      </c>
      <c r="H348" s="366">
        <f>+F348*G348</f>
        <v>0</v>
      </c>
    </row>
    <row r="349" spans="1:8" s="162" customFormat="1" ht="49.5">
      <c r="A349" s="898"/>
      <c r="B349" s="368" t="s">
        <v>502</v>
      </c>
      <c r="C349" s="368"/>
      <c r="D349" s="369"/>
      <c r="E349" s="370" t="s">
        <v>241</v>
      </c>
      <c r="F349" s="371">
        <f>+F348+F347</f>
        <v>0</v>
      </c>
      <c r="G349" s="439">
        <f>+G348</f>
        <v>45</v>
      </c>
      <c r="H349" s="370">
        <f>+F349*G349</f>
        <v>0</v>
      </c>
    </row>
    <row r="350" spans="1:8" s="162" customFormat="1" ht="16.5">
      <c r="A350" s="900" t="s">
        <v>503</v>
      </c>
      <c r="B350" s="1420" t="s">
        <v>504</v>
      </c>
      <c r="C350" s="1420"/>
      <c r="D350" s="1420"/>
      <c r="E350" s="1420"/>
      <c r="F350" s="1420"/>
      <c r="G350" s="1420"/>
      <c r="H350" s="1420"/>
    </row>
    <row r="351" spans="1:8" s="162" customFormat="1" ht="49.5">
      <c r="A351" s="907"/>
      <c r="B351" s="228" t="s">
        <v>50</v>
      </c>
      <c r="C351" s="153" t="s">
        <v>210</v>
      </c>
      <c r="D351" s="477" t="s">
        <v>52</v>
      </c>
      <c r="E351" s="478" t="s">
        <v>211</v>
      </c>
      <c r="F351" s="479" t="s">
        <v>248</v>
      </c>
      <c r="G351" s="496" t="s">
        <v>186</v>
      </c>
      <c r="H351" s="344" t="s">
        <v>212</v>
      </c>
    </row>
    <row r="352" spans="1:8" s="162" customFormat="1" ht="16.5">
      <c r="A352" s="520" t="s">
        <v>505</v>
      </c>
      <c r="B352" s="1421" t="s">
        <v>189</v>
      </c>
      <c r="C352" s="1421"/>
      <c r="D352" s="1421"/>
      <c r="E352" s="1421"/>
      <c r="F352" s="1421"/>
      <c r="G352" s="530"/>
      <c r="H352" s="353">
        <f>+F352*G352</f>
        <v>0</v>
      </c>
    </row>
    <row r="353" spans="1:8" s="162" customFormat="1" ht="198">
      <c r="A353" s="520" t="s">
        <v>506</v>
      </c>
      <c r="B353" s="531" t="s">
        <v>507</v>
      </c>
      <c r="C353" s="520" t="s">
        <v>71</v>
      </c>
      <c r="D353" s="520">
        <v>1</v>
      </c>
      <c r="E353" s="532">
        <v>0</v>
      </c>
      <c r="F353" s="521">
        <f>E353</f>
        <v>0</v>
      </c>
      <c r="G353" s="520">
        <v>1</v>
      </c>
      <c r="H353" s="521">
        <f>F353</f>
        <v>0</v>
      </c>
    </row>
    <row r="354" spans="1:8" s="162" customFormat="1" ht="16.5">
      <c r="A354" s="82"/>
      <c r="B354" s="840" t="s">
        <v>508</v>
      </c>
      <c r="C354" s="533"/>
      <c r="D354" s="533"/>
      <c r="E354" s="533"/>
      <c r="F354" s="534">
        <f>F353</f>
        <v>0</v>
      </c>
      <c r="G354" s="442"/>
      <c r="H354" s="534">
        <f>F354</f>
        <v>0</v>
      </c>
    </row>
    <row r="355" spans="1:8" s="162" customFormat="1" ht="16.5">
      <c r="A355" s="82"/>
      <c r="B355" s="840" t="s">
        <v>509</v>
      </c>
      <c r="C355" s="533"/>
      <c r="D355" s="533"/>
      <c r="E355" s="533"/>
      <c r="F355" s="534">
        <f>F354</f>
        <v>0</v>
      </c>
      <c r="G355" s="442"/>
      <c r="H355" s="534">
        <f>H354</f>
        <v>0</v>
      </c>
    </row>
    <row r="356" spans="1:8" s="162" customFormat="1" ht="16.5">
      <c r="A356" s="83" t="s">
        <v>510</v>
      </c>
      <c r="B356" s="1422" t="s">
        <v>511</v>
      </c>
      <c r="C356" s="1422"/>
      <c r="D356" s="1422"/>
      <c r="E356" s="1422"/>
      <c r="F356" s="1422"/>
      <c r="G356" s="1422"/>
      <c r="H356" s="1422"/>
    </row>
    <row r="357" spans="1:8" s="162" customFormat="1" ht="49.5">
      <c r="A357" s="908"/>
      <c r="B357" s="841" t="s">
        <v>50</v>
      </c>
      <c r="C357" s="160" t="s">
        <v>210</v>
      </c>
      <c r="D357" s="535" t="s">
        <v>52</v>
      </c>
      <c r="E357" s="536" t="s">
        <v>211</v>
      </c>
      <c r="F357" s="537" t="s">
        <v>248</v>
      </c>
      <c r="G357" s="496" t="s">
        <v>186</v>
      </c>
      <c r="H357" s="405" t="s">
        <v>212</v>
      </c>
    </row>
    <row r="358" spans="1:8" s="162" customFormat="1" ht="16.5">
      <c r="A358" s="82" t="s">
        <v>512</v>
      </c>
      <c r="B358" s="538" t="s">
        <v>304</v>
      </c>
      <c r="C358" s="538"/>
      <c r="D358" s="538"/>
      <c r="E358" s="538"/>
      <c r="F358" s="539"/>
      <c r="G358" s="540"/>
      <c r="H358" s="541">
        <f>+F358*G358</f>
        <v>0</v>
      </c>
    </row>
    <row r="359" spans="1:8" s="162" customFormat="1" ht="49.5">
      <c r="A359" s="82" t="s">
        <v>513</v>
      </c>
      <c r="B359" s="842" t="s">
        <v>514</v>
      </c>
      <c r="C359" s="542" t="s">
        <v>515</v>
      </c>
      <c r="D359" s="542"/>
      <c r="E359" s="543">
        <v>0</v>
      </c>
      <c r="F359" s="544">
        <f>E359</f>
        <v>0</v>
      </c>
      <c r="G359" s="542">
        <v>3</v>
      </c>
      <c r="H359" s="544">
        <f>G359*E359</f>
        <v>0</v>
      </c>
    </row>
    <row r="360" spans="1:8" s="162" customFormat="1" ht="16.5">
      <c r="A360" s="82"/>
      <c r="B360" s="843" t="s">
        <v>516</v>
      </c>
      <c r="C360" s="545"/>
      <c r="D360" s="545"/>
      <c r="E360" s="545"/>
      <c r="F360" s="546">
        <f>F359</f>
        <v>0</v>
      </c>
      <c r="G360" s="547"/>
      <c r="H360" s="546">
        <f>+H359</f>
        <v>0</v>
      </c>
    </row>
    <row r="361" spans="1:8" s="162" customFormat="1" ht="16.5">
      <c r="A361" s="520"/>
      <c r="B361" s="845" t="s">
        <v>517</v>
      </c>
      <c r="C361" s="846"/>
      <c r="D361" s="846"/>
      <c r="E361" s="846"/>
      <c r="F361" s="847">
        <f>F360</f>
        <v>0</v>
      </c>
      <c r="G361" s="848"/>
      <c r="H361" s="847">
        <f>H360</f>
        <v>0</v>
      </c>
    </row>
    <row r="362" spans="1:8" s="162" customFormat="1" ht="16.5">
      <c r="A362" s="82"/>
      <c r="B362" s="468"/>
      <c r="C362" s="468"/>
      <c r="D362" s="468"/>
      <c r="E362" s="468"/>
      <c r="F362" s="468"/>
      <c r="G362" s="844"/>
      <c r="H362" s="844"/>
    </row>
    <row r="363" spans="1:8" s="162" customFormat="1" ht="16.5">
      <c r="A363" s="1393" t="s">
        <v>518</v>
      </c>
      <c r="B363" s="1394"/>
      <c r="C363" s="1394"/>
      <c r="D363" s="1394"/>
      <c r="E363" s="1394"/>
      <c r="F363" s="1394"/>
      <c r="G363" s="1395"/>
      <c r="H363" s="870">
        <f>+H361+H355+H156+H210+H235+H258+H280+H300+H317+H334+H349+H181</f>
        <v>0</v>
      </c>
    </row>
    <row r="364" spans="1:8" s="162" customFormat="1" ht="16.5">
      <c r="A364" s="909"/>
      <c r="B364" s="548"/>
      <c r="C364" s="548"/>
      <c r="D364" s="548"/>
      <c r="E364" s="548"/>
      <c r="F364" s="548"/>
      <c r="G364" s="223"/>
      <c r="H364" s="223"/>
    </row>
    <row r="365" spans="1:8" ht="27">
      <c r="A365" s="1396" t="s">
        <v>519</v>
      </c>
      <c r="B365" s="1396"/>
      <c r="C365" s="1396"/>
      <c r="D365" s="1396"/>
      <c r="E365" s="1396"/>
      <c r="F365" s="1396"/>
      <c r="G365" s="1396"/>
      <c r="H365" s="1396"/>
    </row>
    <row r="366" spans="1:8" s="221" customFormat="1" ht="20.25">
      <c r="A366" s="1423" t="s">
        <v>520</v>
      </c>
      <c r="B366" s="1424"/>
      <c r="C366" s="1424"/>
      <c r="D366" s="1424"/>
      <c r="E366" s="1424"/>
      <c r="F366" s="1424"/>
      <c r="G366" s="1424"/>
      <c r="H366" s="1424"/>
    </row>
    <row r="367" spans="1:8" ht="18">
      <c r="A367" s="786" t="s">
        <v>521</v>
      </c>
      <c r="B367" s="1418" t="s">
        <v>522</v>
      </c>
      <c r="C367" s="1418"/>
      <c r="D367" s="1418"/>
      <c r="E367" s="1418"/>
      <c r="F367" s="1418"/>
      <c r="G367" s="1418"/>
      <c r="H367" s="1418"/>
    </row>
    <row r="368" spans="1:8" ht="16.5">
      <c r="A368" s="785" t="s">
        <v>523</v>
      </c>
      <c r="B368" s="784" t="s">
        <v>209</v>
      </c>
      <c r="C368" s="158" t="s">
        <v>51</v>
      </c>
      <c r="D368" s="159" t="s">
        <v>52</v>
      </c>
      <c r="E368" s="188" t="s">
        <v>53</v>
      </c>
      <c r="F368" s="188" t="s">
        <v>54</v>
      </c>
      <c r="G368" s="189" t="s">
        <v>186</v>
      </c>
      <c r="H368" s="190" t="s">
        <v>248</v>
      </c>
    </row>
    <row r="369" spans="1:8" ht="16.5">
      <c r="A369" s="783" t="s">
        <v>524</v>
      </c>
      <c r="B369" s="782" t="s">
        <v>525</v>
      </c>
      <c r="C369" s="782" t="s">
        <v>62</v>
      </c>
      <c r="D369" s="782">
        <v>2</v>
      </c>
      <c r="E369" s="781">
        <v>0</v>
      </c>
      <c r="F369" s="780">
        <f>+D369*E369</f>
        <v>0</v>
      </c>
      <c r="G369" s="779">
        <v>25</v>
      </c>
      <c r="H369" s="778">
        <f>+F369*G369</f>
        <v>0</v>
      </c>
    </row>
    <row r="370" spans="1:8" ht="16.5">
      <c r="A370" s="783" t="s">
        <v>526</v>
      </c>
      <c r="B370" s="777" t="s">
        <v>70</v>
      </c>
      <c r="C370" s="777" t="s">
        <v>58</v>
      </c>
      <c r="D370" s="777">
        <v>10</v>
      </c>
      <c r="E370" s="781">
        <v>0</v>
      </c>
      <c r="F370" s="776">
        <f>+D370*E370</f>
        <v>0</v>
      </c>
      <c r="G370" s="775">
        <f>+G369</f>
        <v>25</v>
      </c>
      <c r="H370" s="778">
        <f>+F370*G370</f>
        <v>0</v>
      </c>
    </row>
    <row r="371" spans="1:8" ht="16.5">
      <c r="A371" s="774"/>
      <c r="B371" s="773" t="s">
        <v>527</v>
      </c>
      <c r="C371" s="772"/>
      <c r="D371" s="771" t="s">
        <v>241</v>
      </c>
      <c r="E371" s="770">
        <f>+E369+E370</f>
        <v>0</v>
      </c>
      <c r="F371" s="780">
        <f>+F369+F370</f>
        <v>0</v>
      </c>
      <c r="G371" s="769" t="s">
        <v>241</v>
      </c>
      <c r="H371" s="778">
        <f>+H369+H370</f>
        <v>0</v>
      </c>
    </row>
    <row r="372" spans="1:8" ht="16.5">
      <c r="A372" s="785" t="s">
        <v>528</v>
      </c>
      <c r="B372" s="768" t="s">
        <v>529</v>
      </c>
      <c r="C372" s="158" t="s">
        <v>51</v>
      </c>
      <c r="D372" s="159" t="s">
        <v>52</v>
      </c>
      <c r="E372" s="188" t="s">
        <v>53</v>
      </c>
      <c r="F372" s="188" t="s">
        <v>54</v>
      </c>
      <c r="G372" s="189" t="s">
        <v>186</v>
      </c>
      <c r="H372" s="190" t="s">
        <v>248</v>
      </c>
    </row>
    <row r="373" spans="1:8" ht="16.5">
      <c r="A373" s="186" t="s">
        <v>530</v>
      </c>
      <c r="B373" s="1571" t="s">
        <v>531</v>
      </c>
      <c r="C373" s="1571"/>
      <c r="D373" s="1571"/>
      <c r="E373" s="1571"/>
      <c r="F373" s="767">
        <f>+F371*8%</f>
        <v>0</v>
      </c>
      <c r="G373" s="779">
        <f>+G369</f>
        <v>25</v>
      </c>
      <c r="H373" s="766">
        <f>+F373*G373</f>
        <v>0</v>
      </c>
    </row>
    <row r="374" spans="1:8" ht="16.5">
      <c r="A374" s="186" t="s">
        <v>241</v>
      </c>
      <c r="B374" s="765" t="s">
        <v>532</v>
      </c>
      <c r="C374" s="765" t="s">
        <v>243</v>
      </c>
      <c r="D374" s="764" t="s">
        <v>243</v>
      </c>
      <c r="E374" s="763" t="s">
        <v>243</v>
      </c>
      <c r="F374" s="762">
        <f>+F373</f>
        <v>0</v>
      </c>
      <c r="G374" s="779">
        <f>+G369</f>
        <v>25</v>
      </c>
      <c r="H374" s="761">
        <f>+H373</f>
        <v>0</v>
      </c>
    </row>
    <row r="375" spans="1:8" ht="16.5">
      <c r="A375" s="186"/>
      <c r="B375" s="765" t="s">
        <v>533</v>
      </c>
      <c r="C375" s="760"/>
      <c r="D375" s="764"/>
      <c r="E375" s="763"/>
      <c r="F375" s="759">
        <f>+F371</f>
        <v>0</v>
      </c>
      <c r="G375" s="779">
        <f>+G369</f>
        <v>25</v>
      </c>
      <c r="H375" s="758">
        <f>+F375*G375</f>
        <v>0</v>
      </c>
    </row>
    <row r="376" spans="1:8" ht="16.5">
      <c r="A376" s="186"/>
      <c r="B376" s="757" t="s">
        <v>534</v>
      </c>
      <c r="C376" s="756"/>
      <c r="D376" s="755"/>
      <c r="E376" s="197"/>
      <c r="F376" s="754">
        <f>+F375+F374</f>
        <v>0</v>
      </c>
      <c r="G376" s="779">
        <f>+G370</f>
        <v>25</v>
      </c>
      <c r="H376" s="752">
        <f>+F376*G376</f>
        <v>0</v>
      </c>
    </row>
    <row r="377" spans="1:8" ht="18">
      <c r="A377" s="786" t="s">
        <v>535</v>
      </c>
      <c r="B377" s="1418" t="s">
        <v>536</v>
      </c>
      <c r="C377" s="1418"/>
      <c r="D377" s="1418"/>
      <c r="E377" s="1418"/>
      <c r="F377" s="1418"/>
      <c r="G377" s="1418"/>
      <c r="H377" s="1418"/>
    </row>
    <row r="378" spans="1:8" ht="16.5">
      <c r="A378" s="785" t="s">
        <v>537</v>
      </c>
      <c r="B378" s="784" t="s">
        <v>209</v>
      </c>
      <c r="C378" s="158" t="s">
        <v>51</v>
      </c>
      <c r="D378" s="159" t="s">
        <v>52</v>
      </c>
      <c r="E378" s="188" t="s">
        <v>53</v>
      </c>
      <c r="F378" s="188" t="s">
        <v>54</v>
      </c>
      <c r="G378" s="189" t="s">
        <v>186</v>
      </c>
      <c r="H378" s="190" t="s">
        <v>248</v>
      </c>
    </row>
    <row r="379" spans="1:8" ht="16.5">
      <c r="A379" s="783" t="s">
        <v>538</v>
      </c>
      <c r="B379" s="782" t="s">
        <v>525</v>
      </c>
      <c r="C379" s="782" t="s">
        <v>62</v>
      </c>
      <c r="D379" s="782">
        <v>2</v>
      </c>
      <c r="E379" s="781">
        <v>0</v>
      </c>
      <c r="F379" s="780">
        <f>+D379*E379</f>
        <v>0</v>
      </c>
      <c r="G379" s="779">
        <f>+G375</f>
        <v>25</v>
      </c>
      <c r="H379" s="778">
        <f>+F379*G379</f>
        <v>0</v>
      </c>
    </row>
    <row r="380" spans="1:8" ht="16.5">
      <c r="A380" s="783" t="s">
        <v>539</v>
      </c>
      <c r="B380" s="777" t="s">
        <v>70</v>
      </c>
      <c r="C380" s="777" t="s">
        <v>58</v>
      </c>
      <c r="D380" s="777">
        <v>10</v>
      </c>
      <c r="E380" s="781">
        <v>0</v>
      </c>
      <c r="F380" s="776">
        <f>+D380*E380</f>
        <v>0</v>
      </c>
      <c r="G380" s="775">
        <f>+G379</f>
        <v>25</v>
      </c>
      <c r="H380" s="778">
        <f>+F380*G380</f>
        <v>0</v>
      </c>
    </row>
    <row r="381" spans="1:8" ht="16.5">
      <c r="A381" s="774"/>
      <c r="B381" s="773" t="s">
        <v>527</v>
      </c>
      <c r="C381" s="772"/>
      <c r="D381" s="771" t="s">
        <v>241</v>
      </c>
      <c r="E381" s="770">
        <f>+E379+E380</f>
        <v>0</v>
      </c>
      <c r="F381" s="780">
        <f>+F379+F380</f>
        <v>0</v>
      </c>
      <c r="G381" s="769" t="s">
        <v>241</v>
      </c>
      <c r="H381" s="778">
        <f>+H379+H380</f>
        <v>0</v>
      </c>
    </row>
    <row r="382" spans="1:8" ht="16.5">
      <c r="A382" s="785" t="s">
        <v>540</v>
      </c>
      <c r="B382" s="768" t="s">
        <v>529</v>
      </c>
      <c r="C382" s="158" t="s">
        <v>51</v>
      </c>
      <c r="D382" s="159" t="s">
        <v>52</v>
      </c>
      <c r="E382" s="188" t="s">
        <v>53</v>
      </c>
      <c r="F382" s="188" t="s">
        <v>54</v>
      </c>
      <c r="G382" s="189" t="s">
        <v>186</v>
      </c>
      <c r="H382" s="190" t="s">
        <v>248</v>
      </c>
    </row>
    <row r="383" spans="1:8" ht="16.5">
      <c r="A383" s="186" t="s">
        <v>541</v>
      </c>
      <c r="B383" s="1571" t="s">
        <v>531</v>
      </c>
      <c r="C383" s="1571"/>
      <c r="D383" s="1571"/>
      <c r="E383" s="1571"/>
      <c r="F383" s="767">
        <f>+F381*8%</f>
        <v>0</v>
      </c>
      <c r="G383" s="779">
        <f>+G379</f>
        <v>25</v>
      </c>
      <c r="H383" s="766">
        <f>+F383*G383</f>
        <v>0</v>
      </c>
    </row>
    <row r="384" spans="1:8" ht="16.5">
      <c r="A384" s="186" t="s">
        <v>241</v>
      </c>
      <c r="B384" s="169" t="s">
        <v>532</v>
      </c>
      <c r="C384" s="169" t="s">
        <v>243</v>
      </c>
      <c r="D384" s="94" t="s">
        <v>243</v>
      </c>
      <c r="E384" s="170" t="s">
        <v>243</v>
      </c>
      <c r="F384" s="171">
        <f>+F383</f>
        <v>0</v>
      </c>
      <c r="G384" s="779">
        <f>+G379</f>
        <v>25</v>
      </c>
      <c r="H384" s="761">
        <f>+H383</f>
        <v>0</v>
      </c>
    </row>
    <row r="385" spans="1:8" ht="16.5">
      <c r="A385" s="186"/>
      <c r="B385" s="169" t="s">
        <v>533</v>
      </c>
      <c r="C385" s="172"/>
      <c r="D385" s="94"/>
      <c r="E385" s="170"/>
      <c r="F385" s="173">
        <f>+F381</f>
        <v>0</v>
      </c>
      <c r="G385" s="779">
        <f>+G379</f>
        <v>25</v>
      </c>
      <c r="H385" s="758">
        <f>+F385*G385</f>
        <v>0</v>
      </c>
    </row>
    <row r="386" spans="1:8" ht="16.5">
      <c r="A386" s="186"/>
      <c r="B386" s="757" t="s">
        <v>534</v>
      </c>
      <c r="C386" s="756"/>
      <c r="D386" s="755"/>
      <c r="E386" s="197"/>
      <c r="F386" s="754">
        <f>+F385+F384</f>
        <v>0</v>
      </c>
      <c r="G386" s="753">
        <f>+G379</f>
        <v>25</v>
      </c>
      <c r="H386" s="752">
        <f>+F386*G386</f>
        <v>0</v>
      </c>
    </row>
    <row r="387" spans="1:8" ht="18">
      <c r="A387" s="786" t="s">
        <v>542</v>
      </c>
      <c r="B387" s="1419" t="s">
        <v>543</v>
      </c>
      <c r="C387" s="1419"/>
      <c r="D387" s="1419"/>
      <c r="E387" s="1419"/>
      <c r="F387" s="1419"/>
      <c r="G387" s="1419"/>
      <c r="H387" s="1419"/>
    </row>
    <row r="388" spans="1:8" ht="16.5">
      <c r="A388" s="785" t="s">
        <v>544</v>
      </c>
      <c r="B388" s="784" t="s">
        <v>189</v>
      </c>
      <c r="C388" s="158" t="s">
        <v>51</v>
      </c>
      <c r="D388" s="159" t="s">
        <v>52</v>
      </c>
      <c r="E388" s="188" t="s">
        <v>53</v>
      </c>
      <c r="F388" s="188" t="s">
        <v>54</v>
      </c>
      <c r="G388" s="189" t="s">
        <v>186</v>
      </c>
      <c r="H388" s="190" t="s">
        <v>248</v>
      </c>
    </row>
    <row r="389" spans="1:8" ht="16.5">
      <c r="A389" s="783" t="s">
        <v>545</v>
      </c>
      <c r="B389" s="751" t="s">
        <v>546</v>
      </c>
      <c r="C389" s="750" t="s">
        <v>290</v>
      </c>
      <c r="D389" s="749">
        <v>0.5</v>
      </c>
      <c r="E389" s="748">
        <v>0</v>
      </c>
      <c r="F389" s="747">
        <f>ROUND((D389*E389),0)</f>
        <v>0</v>
      </c>
      <c r="G389" s="746">
        <f>+G369</f>
        <v>25</v>
      </c>
      <c r="H389" s="745">
        <f>+F389*G389</f>
        <v>0</v>
      </c>
    </row>
    <row r="390" spans="1:8" ht="16.5">
      <c r="A390" s="783" t="s">
        <v>241</v>
      </c>
      <c r="B390" s="773" t="s">
        <v>547</v>
      </c>
      <c r="C390" s="777" t="s">
        <v>241</v>
      </c>
      <c r="D390" s="749" t="s">
        <v>241</v>
      </c>
      <c r="E390" s="748">
        <v>0</v>
      </c>
      <c r="F390" s="747">
        <f>+F389</f>
        <v>0</v>
      </c>
      <c r="G390" s="746" t="s">
        <v>241</v>
      </c>
      <c r="H390" s="745">
        <f>+H389</f>
        <v>0</v>
      </c>
    </row>
    <row r="391" spans="1:8" ht="16.5">
      <c r="A391" s="785" t="s">
        <v>548</v>
      </c>
      <c r="B391" s="744" t="s">
        <v>209</v>
      </c>
      <c r="C391" s="158" t="s">
        <v>51</v>
      </c>
      <c r="D391" s="159" t="s">
        <v>52</v>
      </c>
      <c r="E391" s="188" t="s">
        <v>53</v>
      </c>
      <c r="F391" s="188" t="s">
        <v>54</v>
      </c>
      <c r="G391" s="189" t="s">
        <v>186</v>
      </c>
      <c r="H391" s="190" t="s">
        <v>248</v>
      </c>
    </row>
    <row r="392" spans="1:8" ht="16.5">
      <c r="A392" s="783" t="s">
        <v>549</v>
      </c>
      <c r="B392" s="385" t="s">
        <v>550</v>
      </c>
      <c r="C392" s="385" t="s">
        <v>551</v>
      </c>
      <c r="D392" s="743">
        <v>1</v>
      </c>
      <c r="E392" s="742">
        <v>0</v>
      </c>
      <c r="F392" s="747">
        <f>ROUND((D392*E392),0)</f>
        <v>0</v>
      </c>
      <c r="G392" s="746">
        <f>+G389</f>
        <v>25</v>
      </c>
      <c r="H392" s="741">
        <f>+F392*G392</f>
        <v>0</v>
      </c>
    </row>
    <row r="393" spans="1:8" ht="16.5">
      <c r="A393" s="783" t="s">
        <v>552</v>
      </c>
      <c r="B393" s="385" t="s">
        <v>553</v>
      </c>
      <c r="C393" s="385" t="s">
        <v>554</v>
      </c>
      <c r="D393" s="740">
        <v>1</v>
      </c>
      <c r="E393" s="742">
        <v>0</v>
      </c>
      <c r="F393" s="747">
        <f>ROUND((D393*E393),0)</f>
        <v>0</v>
      </c>
      <c r="G393" s="739">
        <f>+G392</f>
        <v>25</v>
      </c>
      <c r="H393" s="741">
        <f>+F393*G393</f>
        <v>0</v>
      </c>
    </row>
    <row r="394" spans="1:8" ht="16.5">
      <c r="A394" s="774"/>
      <c r="B394" s="773" t="s">
        <v>555</v>
      </c>
      <c r="C394" s="772"/>
      <c r="D394" s="771"/>
      <c r="E394" s="738">
        <f>SUM(E392:E393)</f>
        <v>0</v>
      </c>
      <c r="F394" s="737">
        <f>SUM(F392:F393)</f>
        <v>0</v>
      </c>
      <c r="G394" s="736">
        <f>+G392</f>
        <v>25</v>
      </c>
      <c r="H394" s="735">
        <f>SUM(H392:H393)</f>
        <v>0</v>
      </c>
    </row>
    <row r="395" spans="1:8" ht="16.5">
      <c r="A395" s="734" t="s">
        <v>168</v>
      </c>
      <c r="B395" s="768" t="s">
        <v>556</v>
      </c>
      <c r="C395" s="158" t="s">
        <v>51</v>
      </c>
      <c r="D395" s="159" t="s">
        <v>52</v>
      </c>
      <c r="E395" s="188" t="s">
        <v>53</v>
      </c>
      <c r="F395" s="188" t="s">
        <v>54</v>
      </c>
      <c r="G395" s="189" t="s">
        <v>186</v>
      </c>
      <c r="H395" s="190" t="s">
        <v>248</v>
      </c>
    </row>
    <row r="396" spans="1:8" ht="16.5">
      <c r="A396" s="733" t="s">
        <v>170</v>
      </c>
      <c r="B396" s="1571" t="s">
        <v>557</v>
      </c>
      <c r="C396" s="1571"/>
      <c r="D396" s="1571"/>
      <c r="E396" s="1571"/>
      <c r="F396" s="732">
        <f>ROUND((5%*(F390)),0)</f>
        <v>0</v>
      </c>
      <c r="G396" s="155">
        <f>+G392</f>
        <v>25</v>
      </c>
      <c r="H396" s="176">
        <f>+F396*G396</f>
        <v>0</v>
      </c>
    </row>
    <row r="397" spans="1:8" ht="16.5">
      <c r="A397" s="733" t="s">
        <v>171</v>
      </c>
      <c r="B397" s="1571" t="s">
        <v>558</v>
      </c>
      <c r="C397" s="1571"/>
      <c r="D397" s="1571"/>
      <c r="E397" s="1571"/>
      <c r="F397" s="732">
        <f>ROUND((8%*(F394)),0)</f>
        <v>0</v>
      </c>
      <c r="G397" s="155">
        <f>+G396</f>
        <v>25</v>
      </c>
      <c r="H397" s="176">
        <f>+F397*G397</f>
        <v>0</v>
      </c>
    </row>
    <row r="398" spans="1:8" ht="16.5">
      <c r="A398" s="733"/>
      <c r="B398" s="765" t="s">
        <v>559</v>
      </c>
      <c r="C398" s="765" t="s">
        <v>243</v>
      </c>
      <c r="D398" s="764" t="s">
        <v>243</v>
      </c>
      <c r="E398" s="763" t="s">
        <v>243</v>
      </c>
      <c r="F398" s="732">
        <f>SUM(F396:F397)</f>
        <v>0</v>
      </c>
      <c r="G398" s="155">
        <f>+G396</f>
        <v>25</v>
      </c>
      <c r="H398" s="176">
        <f>+F398*G398</f>
        <v>0</v>
      </c>
    </row>
    <row r="399" spans="1:8" ht="16.5">
      <c r="A399" s="731"/>
      <c r="B399" s="1409" t="s">
        <v>560</v>
      </c>
      <c r="C399" s="1409"/>
      <c r="D399" s="1409"/>
      <c r="E399" s="729">
        <f>E380+E394</f>
        <v>0</v>
      </c>
      <c r="F399" s="728">
        <f>+F390+F394</f>
        <v>0</v>
      </c>
      <c r="G399" s="727">
        <f>+G392</f>
        <v>25</v>
      </c>
      <c r="H399" s="176">
        <f>+F399*G399</f>
        <v>0</v>
      </c>
    </row>
    <row r="400" spans="1:8" ht="16.5">
      <c r="A400" s="186"/>
      <c r="B400" s="1409" t="s">
        <v>561</v>
      </c>
      <c r="C400" s="1409"/>
      <c r="D400" s="1409"/>
      <c r="E400" s="198"/>
      <c r="F400" s="726">
        <f>+F398+F399</f>
        <v>0</v>
      </c>
      <c r="G400" s="725">
        <f>+G396</f>
        <v>25</v>
      </c>
      <c r="H400" s="176">
        <f>+F400*G400</f>
        <v>0</v>
      </c>
    </row>
    <row r="401" spans="1:8" ht="18">
      <c r="A401" s="783" t="s">
        <v>562</v>
      </c>
      <c r="B401" s="1415" t="s">
        <v>563</v>
      </c>
      <c r="C401" s="1415"/>
      <c r="D401" s="1415"/>
      <c r="E401" s="1415"/>
      <c r="F401" s="1415"/>
      <c r="G401" s="1415"/>
      <c r="H401" s="1415"/>
    </row>
    <row r="402" spans="1:8" ht="16.5">
      <c r="A402" s="785" t="s">
        <v>564</v>
      </c>
      <c r="B402" s="784" t="s">
        <v>189</v>
      </c>
      <c r="C402" s="158" t="s">
        <v>51</v>
      </c>
      <c r="D402" s="159" t="s">
        <v>52</v>
      </c>
      <c r="E402" s="188" t="s">
        <v>53</v>
      </c>
      <c r="F402" s="188" t="s">
        <v>54</v>
      </c>
      <c r="G402" s="189" t="s">
        <v>186</v>
      </c>
      <c r="H402" s="190" t="s">
        <v>248</v>
      </c>
    </row>
    <row r="403" spans="1:8" ht="16.5">
      <c r="A403" s="202" t="s">
        <v>565</v>
      </c>
      <c r="B403" s="751" t="s">
        <v>566</v>
      </c>
      <c r="C403" s="777" t="s">
        <v>290</v>
      </c>
      <c r="D403" s="749">
        <v>1.2</v>
      </c>
      <c r="E403" s="748">
        <v>0</v>
      </c>
      <c r="F403" s="747">
        <f t="shared" ref="F403:F409" si="46">E403*D403</f>
        <v>0</v>
      </c>
      <c r="G403" s="724">
        <f>+G396</f>
        <v>25</v>
      </c>
      <c r="H403" s="745">
        <f t="shared" ref="H403:H409" si="47">+F403*G403</f>
        <v>0</v>
      </c>
    </row>
    <row r="404" spans="1:8" ht="16.5">
      <c r="A404" s="202" t="s">
        <v>567</v>
      </c>
      <c r="B404" s="723" t="s">
        <v>568</v>
      </c>
      <c r="C404" s="777" t="s">
        <v>290</v>
      </c>
      <c r="D404" s="749">
        <v>2.2999999999999998</v>
      </c>
      <c r="E404" s="748">
        <v>0</v>
      </c>
      <c r="F404" s="747">
        <f t="shared" si="46"/>
        <v>0</v>
      </c>
      <c r="G404" s="746">
        <f t="shared" ref="G404:G409" si="48">+G403</f>
        <v>25</v>
      </c>
      <c r="H404" s="745">
        <f t="shared" si="47"/>
        <v>0</v>
      </c>
    </row>
    <row r="405" spans="1:8" ht="16.5">
      <c r="A405" s="202" t="s">
        <v>569</v>
      </c>
      <c r="B405" s="723" t="s">
        <v>570</v>
      </c>
      <c r="C405" s="777" t="s">
        <v>290</v>
      </c>
      <c r="D405" s="749">
        <v>2.2999999999999998</v>
      </c>
      <c r="E405" s="748">
        <v>0</v>
      </c>
      <c r="F405" s="747">
        <f t="shared" si="46"/>
        <v>0</v>
      </c>
      <c r="G405" s="746">
        <f t="shared" si="48"/>
        <v>25</v>
      </c>
      <c r="H405" s="745">
        <f t="shared" si="47"/>
        <v>0</v>
      </c>
    </row>
    <row r="406" spans="1:8" ht="16.5">
      <c r="A406" s="202" t="s">
        <v>571</v>
      </c>
      <c r="B406" s="723" t="s">
        <v>572</v>
      </c>
      <c r="C406" s="777" t="s">
        <v>290</v>
      </c>
      <c r="D406" s="722">
        <v>4.9000000000000004</v>
      </c>
      <c r="E406" s="748">
        <v>0</v>
      </c>
      <c r="F406" s="747">
        <f t="shared" si="46"/>
        <v>0</v>
      </c>
      <c r="G406" s="746">
        <f t="shared" si="48"/>
        <v>25</v>
      </c>
      <c r="H406" s="745">
        <f t="shared" si="47"/>
        <v>0</v>
      </c>
    </row>
    <row r="407" spans="1:8" ht="16.5">
      <c r="A407" s="202" t="s">
        <v>573</v>
      </c>
      <c r="B407" s="721" t="s">
        <v>574</v>
      </c>
      <c r="C407" s="777" t="s">
        <v>290</v>
      </c>
      <c r="D407" s="749">
        <v>2</v>
      </c>
      <c r="E407" s="748">
        <v>0</v>
      </c>
      <c r="F407" s="747">
        <f t="shared" si="46"/>
        <v>0</v>
      </c>
      <c r="G407" s="779">
        <f t="shared" si="48"/>
        <v>25</v>
      </c>
      <c r="H407" s="745">
        <f t="shared" si="47"/>
        <v>0</v>
      </c>
    </row>
    <row r="408" spans="1:8" ht="16.5">
      <c r="A408" s="202" t="s">
        <v>575</v>
      </c>
      <c r="B408" s="720" t="s">
        <v>576</v>
      </c>
      <c r="C408" s="777" t="s">
        <v>290</v>
      </c>
      <c r="D408" s="719">
        <v>3.6</v>
      </c>
      <c r="E408" s="748">
        <v>0</v>
      </c>
      <c r="F408" s="747">
        <f t="shared" si="46"/>
        <v>0</v>
      </c>
      <c r="G408" s="746">
        <f t="shared" si="48"/>
        <v>25</v>
      </c>
      <c r="H408" s="745">
        <f t="shared" si="47"/>
        <v>0</v>
      </c>
    </row>
    <row r="409" spans="1:8" ht="16.5">
      <c r="A409" s="202" t="s">
        <v>577</v>
      </c>
      <c r="B409" s="718" t="s">
        <v>578</v>
      </c>
      <c r="C409" s="777" t="s">
        <v>290</v>
      </c>
      <c r="D409" s="719">
        <v>0.9</v>
      </c>
      <c r="E409" s="748">
        <v>0</v>
      </c>
      <c r="F409" s="747">
        <f t="shared" si="46"/>
        <v>0</v>
      </c>
      <c r="G409" s="746">
        <f t="shared" si="48"/>
        <v>25</v>
      </c>
      <c r="H409" s="745">
        <f t="shared" si="47"/>
        <v>0</v>
      </c>
    </row>
    <row r="410" spans="1:8" ht="16.5">
      <c r="A410" s="202"/>
      <c r="B410" s="773" t="s">
        <v>579</v>
      </c>
      <c r="C410" s="772"/>
      <c r="D410" s="771" t="s">
        <v>241</v>
      </c>
      <c r="E410" s="738">
        <f>SUM(E403:E409)</f>
        <v>0</v>
      </c>
      <c r="F410" s="737">
        <f>SUM(F403:F409)</f>
        <v>0</v>
      </c>
      <c r="G410" s="717"/>
      <c r="H410" s="735">
        <f>SUM(H403:H409)</f>
        <v>0</v>
      </c>
    </row>
    <row r="411" spans="1:8" ht="16.5">
      <c r="A411" s="734" t="s">
        <v>580</v>
      </c>
      <c r="B411" s="768" t="s">
        <v>304</v>
      </c>
      <c r="C411" s="158" t="s">
        <v>51</v>
      </c>
      <c r="D411" s="159" t="s">
        <v>52</v>
      </c>
      <c r="E411" s="188" t="s">
        <v>53</v>
      </c>
      <c r="F411" s="188" t="s">
        <v>54</v>
      </c>
      <c r="G411" s="189" t="s">
        <v>186</v>
      </c>
      <c r="H411" s="190" t="s">
        <v>248</v>
      </c>
    </row>
    <row r="412" spans="1:8" ht="16.5">
      <c r="A412" s="716" t="s">
        <v>581</v>
      </c>
      <c r="B412" s="777" t="s">
        <v>582</v>
      </c>
      <c r="C412" s="715" t="s">
        <v>583</v>
      </c>
      <c r="D412" s="714">
        <v>400</v>
      </c>
      <c r="E412" s="713">
        <v>0</v>
      </c>
      <c r="F412" s="712">
        <f t="shared" ref="F412:F419" si="49">E412*D412</f>
        <v>0</v>
      </c>
      <c r="G412" s="711">
        <f>+G403</f>
        <v>25</v>
      </c>
      <c r="H412" s="745">
        <f t="shared" ref="H412:H419" si="50">+F412*G412</f>
        <v>0</v>
      </c>
    </row>
    <row r="413" spans="1:8" ht="16.5">
      <c r="A413" s="716" t="s">
        <v>584</v>
      </c>
      <c r="B413" s="710" t="s">
        <v>585</v>
      </c>
      <c r="C413" s="709" t="s">
        <v>583</v>
      </c>
      <c r="D413" s="708">
        <v>50</v>
      </c>
      <c r="E413" s="707">
        <v>0</v>
      </c>
      <c r="F413" s="712">
        <f t="shared" si="49"/>
        <v>0</v>
      </c>
      <c r="G413" s="746">
        <f>+G412</f>
        <v>25</v>
      </c>
      <c r="H413" s="745">
        <f t="shared" si="50"/>
        <v>0</v>
      </c>
    </row>
    <row r="414" spans="1:8" ht="16.5">
      <c r="A414" s="731" t="s">
        <v>586</v>
      </c>
      <c r="B414" s="710" t="s">
        <v>587</v>
      </c>
      <c r="C414" s="709" t="s">
        <v>583</v>
      </c>
      <c r="D414" s="708">
        <v>17</v>
      </c>
      <c r="E414" s="707">
        <v>0</v>
      </c>
      <c r="F414" s="712">
        <f t="shared" si="49"/>
        <v>0</v>
      </c>
      <c r="G414" s="746">
        <f>+G413</f>
        <v>25</v>
      </c>
      <c r="H414" s="745">
        <f t="shared" si="50"/>
        <v>0</v>
      </c>
    </row>
    <row r="415" spans="1:8" ht="16.5">
      <c r="A415" s="706" t="s">
        <v>588</v>
      </c>
      <c r="B415" s="777" t="s">
        <v>589</v>
      </c>
      <c r="C415" s="705" t="s">
        <v>224</v>
      </c>
      <c r="D415" s="704">
        <v>14.01</v>
      </c>
      <c r="E415" s="707">
        <v>0</v>
      </c>
      <c r="F415" s="712">
        <f t="shared" si="49"/>
        <v>0</v>
      </c>
      <c r="G415" s="746">
        <f>+G413</f>
        <v>25</v>
      </c>
      <c r="H415" s="745">
        <f t="shared" si="50"/>
        <v>0</v>
      </c>
    </row>
    <row r="416" spans="1:8" ht="16.5">
      <c r="A416" s="716" t="s">
        <v>590</v>
      </c>
      <c r="B416" s="703" t="s">
        <v>591</v>
      </c>
      <c r="C416" s="705" t="s">
        <v>224</v>
      </c>
      <c r="D416" s="702">
        <v>0.93400000000000005</v>
      </c>
      <c r="E416" s="707">
        <v>0</v>
      </c>
      <c r="F416" s="712">
        <f t="shared" si="49"/>
        <v>0</v>
      </c>
      <c r="G416" s="746">
        <f>+G415</f>
        <v>25</v>
      </c>
      <c r="H416" s="745">
        <f t="shared" si="50"/>
        <v>0</v>
      </c>
    </row>
    <row r="417" spans="1:8" ht="16.5">
      <c r="A417" s="716" t="s">
        <v>592</v>
      </c>
      <c r="B417" s="777" t="s">
        <v>593</v>
      </c>
      <c r="C417" s="705" t="s">
        <v>224</v>
      </c>
      <c r="D417" s="702">
        <v>0.93400000000000005</v>
      </c>
      <c r="E417" s="701">
        <v>0</v>
      </c>
      <c r="F417" s="712">
        <f t="shared" si="49"/>
        <v>0</v>
      </c>
      <c r="G417" s="746">
        <f>+G416</f>
        <v>25</v>
      </c>
      <c r="H417" s="745">
        <f t="shared" si="50"/>
        <v>0</v>
      </c>
    </row>
    <row r="418" spans="1:8" ht="16.5">
      <c r="A418" s="716" t="s">
        <v>594</v>
      </c>
      <c r="B418" s="700" t="s">
        <v>595</v>
      </c>
      <c r="C418" s="705" t="s">
        <v>227</v>
      </c>
      <c r="D418" s="704">
        <v>4.67</v>
      </c>
      <c r="E418" s="701">
        <v>0</v>
      </c>
      <c r="F418" s="712">
        <f t="shared" si="49"/>
        <v>0</v>
      </c>
      <c r="G418" s="746">
        <f>+G417</f>
        <v>25</v>
      </c>
      <c r="H418" s="745">
        <f t="shared" si="50"/>
        <v>0</v>
      </c>
    </row>
    <row r="419" spans="1:8" ht="16.5">
      <c r="A419" s="716" t="s">
        <v>596</v>
      </c>
      <c r="B419" s="700" t="s">
        <v>597</v>
      </c>
      <c r="C419" s="705" t="s">
        <v>324</v>
      </c>
      <c r="D419" s="704">
        <v>0.01</v>
      </c>
      <c r="E419" s="701">
        <v>0</v>
      </c>
      <c r="F419" s="712">
        <f t="shared" si="49"/>
        <v>0</v>
      </c>
      <c r="G419" s="746">
        <f>+G418</f>
        <v>25</v>
      </c>
      <c r="H419" s="745">
        <f t="shared" si="50"/>
        <v>0</v>
      </c>
    </row>
    <row r="420" spans="1:8" ht="16.5">
      <c r="A420" s="186"/>
      <c r="B420" s="699" t="s">
        <v>598</v>
      </c>
      <c r="C420" s="698"/>
      <c r="D420" s="697"/>
      <c r="E420" s="696">
        <f>SUM(E412:E419)</f>
        <v>0</v>
      </c>
      <c r="F420" s="695">
        <f>SUM(F412:F419)</f>
        <v>0</v>
      </c>
      <c r="G420" s="736"/>
      <c r="H420" s="694">
        <f>SUM(H412:H419)</f>
        <v>0</v>
      </c>
    </row>
    <row r="421" spans="1:8" ht="16.5">
      <c r="A421" s="734" t="s">
        <v>599</v>
      </c>
      <c r="B421" s="768" t="s">
        <v>600</v>
      </c>
      <c r="C421" s="158" t="s">
        <v>51</v>
      </c>
      <c r="D421" s="159" t="s">
        <v>52</v>
      </c>
      <c r="E421" s="188" t="s">
        <v>53</v>
      </c>
      <c r="F421" s="188" t="s">
        <v>54</v>
      </c>
      <c r="G421" s="189" t="s">
        <v>186</v>
      </c>
      <c r="H421" s="190" t="s">
        <v>248</v>
      </c>
    </row>
    <row r="422" spans="1:8" ht="16.5">
      <c r="A422" s="186" t="s">
        <v>601</v>
      </c>
      <c r="B422" s="1571" t="s">
        <v>602</v>
      </c>
      <c r="C422" s="1571"/>
      <c r="D422" s="1571"/>
      <c r="E422" s="1571"/>
      <c r="F422" s="693">
        <f>ROUND((5%*(F410)),4)</f>
        <v>0</v>
      </c>
      <c r="G422" s="965">
        <f>+G419</f>
        <v>25</v>
      </c>
      <c r="H422" s="766">
        <f>+F422*G422</f>
        <v>0</v>
      </c>
    </row>
    <row r="423" spans="1:8" ht="16.5">
      <c r="A423" s="186" t="s">
        <v>603</v>
      </c>
      <c r="B423" s="1571" t="s">
        <v>604</v>
      </c>
      <c r="C423" s="1571"/>
      <c r="D423" s="1571"/>
      <c r="E423" s="1571"/>
      <c r="F423" s="767">
        <f>ROUND((8%*((F420-F412-F413-F414))),2)</f>
        <v>0</v>
      </c>
      <c r="G423" s="965">
        <f>+G422</f>
        <v>25</v>
      </c>
      <c r="H423" s="766">
        <f>+F423*G423</f>
        <v>0</v>
      </c>
    </row>
    <row r="424" spans="1:8" ht="16.5">
      <c r="A424" s="186" t="s">
        <v>605</v>
      </c>
      <c r="B424" s="765" t="s">
        <v>606</v>
      </c>
      <c r="C424" s="765" t="s">
        <v>243</v>
      </c>
      <c r="D424" s="764" t="s">
        <v>243</v>
      </c>
      <c r="E424" s="763" t="s">
        <v>243</v>
      </c>
      <c r="F424" s="762">
        <f>SUM(F422:F423)</f>
        <v>0</v>
      </c>
      <c r="G424" s="966"/>
      <c r="H424" s="761">
        <f>+H422+H423</f>
        <v>0</v>
      </c>
    </row>
    <row r="425" spans="1:8" ht="16.5">
      <c r="A425" s="186"/>
      <c r="B425" s="765" t="s">
        <v>607</v>
      </c>
      <c r="C425" s="760"/>
      <c r="D425" s="764"/>
      <c r="E425" s="763"/>
      <c r="F425" s="759">
        <f>+F410+F420</f>
        <v>0</v>
      </c>
      <c r="G425" s="967">
        <v>25</v>
      </c>
      <c r="H425" s="758">
        <f>+F425*G425</f>
        <v>0</v>
      </c>
    </row>
    <row r="426" spans="1:8" ht="16.5">
      <c r="A426" s="186"/>
      <c r="B426" s="757" t="s">
        <v>608</v>
      </c>
      <c r="C426" s="756"/>
      <c r="D426" s="755"/>
      <c r="E426" s="197">
        <f>E410+E420</f>
        <v>0</v>
      </c>
      <c r="F426" s="754">
        <f>+F425+F424</f>
        <v>0</v>
      </c>
      <c r="G426" s="753">
        <f>+G419</f>
        <v>25</v>
      </c>
      <c r="H426" s="752">
        <f>+F426*G426</f>
        <v>0</v>
      </c>
    </row>
    <row r="427" spans="1:8" ht="18">
      <c r="A427" s="186" t="s">
        <v>609</v>
      </c>
      <c r="B427" s="1416" t="s">
        <v>610</v>
      </c>
      <c r="C427" s="1416"/>
      <c r="D427" s="1416"/>
      <c r="E427" s="1416"/>
      <c r="F427" s="1416"/>
      <c r="G427" s="1416"/>
      <c r="H427" s="1416"/>
    </row>
    <row r="428" spans="1:8" ht="16.5">
      <c r="A428" s="157" t="s">
        <v>611</v>
      </c>
      <c r="B428" s="187" t="s">
        <v>50</v>
      </c>
      <c r="C428" s="158" t="s">
        <v>51</v>
      </c>
      <c r="D428" s="159" t="s">
        <v>52</v>
      </c>
      <c r="E428" s="188" t="s">
        <v>53</v>
      </c>
      <c r="F428" s="188" t="s">
        <v>54</v>
      </c>
      <c r="G428" s="189" t="s">
        <v>186</v>
      </c>
      <c r="H428" s="190" t="s">
        <v>248</v>
      </c>
    </row>
    <row r="429" spans="1:8" ht="16.5">
      <c r="A429" s="186" t="s">
        <v>612</v>
      </c>
      <c r="B429" s="1417" t="s">
        <v>189</v>
      </c>
      <c r="C429" s="1417"/>
      <c r="D429" s="1417"/>
      <c r="E429" s="1417"/>
      <c r="F429" s="1417"/>
      <c r="G429" s="692"/>
      <c r="H429" s="691" t="s">
        <v>241</v>
      </c>
    </row>
    <row r="430" spans="1:8" ht="16.5">
      <c r="A430" s="186" t="s">
        <v>613</v>
      </c>
      <c r="B430" s="718" t="s">
        <v>614</v>
      </c>
      <c r="C430" s="705" t="s">
        <v>341</v>
      </c>
      <c r="D430" s="690">
        <v>1</v>
      </c>
      <c r="E430" s="184">
        <v>0</v>
      </c>
      <c r="F430" s="689">
        <f>E430*D430</f>
        <v>0</v>
      </c>
      <c r="G430" s="692">
        <f>+G403</f>
        <v>25</v>
      </c>
      <c r="H430" s="691">
        <f>+F430*G430</f>
        <v>0</v>
      </c>
    </row>
    <row r="431" spans="1:8" ht="16.5">
      <c r="A431" s="186" t="s">
        <v>615</v>
      </c>
      <c r="B431" s="688" t="s">
        <v>616</v>
      </c>
      <c r="C431" s="705" t="s">
        <v>341</v>
      </c>
      <c r="D431" s="690">
        <v>1</v>
      </c>
      <c r="E431" s="184">
        <v>0</v>
      </c>
      <c r="F431" s="689">
        <f>E431*D431</f>
        <v>0</v>
      </c>
      <c r="G431" s="692">
        <f>+G430</f>
        <v>25</v>
      </c>
      <c r="H431" s="691">
        <f>+F431*G431</f>
        <v>0</v>
      </c>
    </row>
    <row r="432" spans="1:8" ht="16.5">
      <c r="A432" s="186" t="s">
        <v>617</v>
      </c>
      <c r="B432" s="688" t="s">
        <v>618</v>
      </c>
      <c r="C432" s="705" t="s">
        <v>341</v>
      </c>
      <c r="D432" s="690">
        <v>0.36</v>
      </c>
      <c r="E432" s="184">
        <v>0</v>
      </c>
      <c r="F432" s="689">
        <f>E432*D432</f>
        <v>0</v>
      </c>
      <c r="G432" s="692">
        <f>+G431</f>
        <v>25</v>
      </c>
      <c r="H432" s="691">
        <f>+F432*G432</f>
        <v>0</v>
      </c>
    </row>
    <row r="433" spans="1:8" ht="16.5">
      <c r="A433" s="186" t="s">
        <v>619</v>
      </c>
      <c r="B433" s="721" t="s">
        <v>620</v>
      </c>
      <c r="C433" s="705" t="s">
        <v>341</v>
      </c>
      <c r="D433" s="690">
        <v>0.9</v>
      </c>
      <c r="E433" s="184">
        <v>0</v>
      </c>
      <c r="F433" s="689">
        <f>E433*D433</f>
        <v>0</v>
      </c>
      <c r="G433" s="692">
        <f>+G432</f>
        <v>25</v>
      </c>
      <c r="H433" s="691">
        <f>+F433*G433</f>
        <v>0</v>
      </c>
    </row>
    <row r="434" spans="1:8" ht="16.5">
      <c r="A434" s="186" t="s">
        <v>621</v>
      </c>
      <c r="B434" s="721" t="s">
        <v>352</v>
      </c>
      <c r="C434" s="705" t="s">
        <v>341</v>
      </c>
      <c r="D434" s="690">
        <v>0.7</v>
      </c>
      <c r="E434" s="184">
        <v>0</v>
      </c>
      <c r="F434" s="689">
        <f>E434*D434</f>
        <v>0</v>
      </c>
      <c r="G434" s="692">
        <f>+G433</f>
        <v>25</v>
      </c>
      <c r="H434" s="691">
        <f>+F434*G434</f>
        <v>0</v>
      </c>
    </row>
    <row r="435" spans="1:8" ht="16.5">
      <c r="A435" s="186" t="s">
        <v>241</v>
      </c>
      <c r="B435" s="730" t="s">
        <v>622</v>
      </c>
      <c r="C435" s="687"/>
      <c r="D435" s="686">
        <f>SUM(D430:D434)</f>
        <v>3.96</v>
      </c>
      <c r="E435" s="685">
        <f>SUM(E430:E434)</f>
        <v>0</v>
      </c>
      <c r="F435" s="684">
        <f>SUM(F430:F434)</f>
        <v>0</v>
      </c>
      <c r="G435" s="683"/>
      <c r="H435" s="682">
        <f>SUM(H430:H434)</f>
        <v>0</v>
      </c>
    </row>
    <row r="436" spans="1:8" ht="16.5">
      <c r="A436" s="716" t="s">
        <v>613</v>
      </c>
      <c r="B436" s="1414" t="s">
        <v>209</v>
      </c>
      <c r="C436" s="1414"/>
      <c r="D436" s="1414"/>
      <c r="E436" s="1414"/>
      <c r="F436" s="1414"/>
      <c r="G436" s="692"/>
      <c r="H436" s="680"/>
    </row>
    <row r="437" spans="1:8" ht="16.5">
      <c r="A437" s="731" t="s">
        <v>623</v>
      </c>
      <c r="B437" s="715" t="s">
        <v>582</v>
      </c>
      <c r="C437" s="679" t="s">
        <v>624</v>
      </c>
      <c r="D437" s="678">
        <v>40</v>
      </c>
      <c r="E437" s="184">
        <v>0</v>
      </c>
      <c r="F437" s="689">
        <f>E437*D437</f>
        <v>0</v>
      </c>
      <c r="G437" s="692">
        <f>+G430</f>
        <v>25</v>
      </c>
      <c r="H437" s="691">
        <f>+F437*G437</f>
        <v>0</v>
      </c>
    </row>
    <row r="438" spans="1:8" ht="16.5">
      <c r="A438" s="731" t="s">
        <v>625</v>
      </c>
      <c r="B438" s="710" t="s">
        <v>626</v>
      </c>
      <c r="C438" s="679" t="s">
        <v>624</v>
      </c>
      <c r="D438" s="678">
        <v>5</v>
      </c>
      <c r="E438" s="184">
        <v>0</v>
      </c>
      <c r="F438" s="689">
        <f>E438*D438</f>
        <v>0</v>
      </c>
      <c r="G438" s="692">
        <f>+G437</f>
        <v>25</v>
      </c>
      <c r="H438" s="691">
        <f>+F438*G438</f>
        <v>0</v>
      </c>
    </row>
    <row r="439" spans="1:8" ht="16.5">
      <c r="A439" s="731" t="s">
        <v>627</v>
      </c>
      <c r="B439" s="710" t="s">
        <v>628</v>
      </c>
      <c r="C439" s="679" t="s">
        <v>624</v>
      </c>
      <c r="D439" s="690">
        <v>2</v>
      </c>
      <c r="E439" s="184">
        <v>0</v>
      </c>
      <c r="F439" s="689">
        <f>E439*D439</f>
        <v>0</v>
      </c>
      <c r="G439" s="692">
        <f>+G437</f>
        <v>25</v>
      </c>
      <c r="H439" s="691">
        <f>+F439*G439</f>
        <v>0</v>
      </c>
    </row>
    <row r="440" spans="1:8" ht="16.5">
      <c r="A440" s="731" t="s">
        <v>629</v>
      </c>
      <c r="B440" s="715" t="str">
        <f>+B415</f>
        <v>Abono orgánico (compostado madurado y estabilizado) bulto de 50 Kilos, con registro ICA .</v>
      </c>
      <c r="C440" s="679" t="s">
        <v>224</v>
      </c>
      <c r="D440" s="690">
        <v>14.01</v>
      </c>
      <c r="E440" s="184">
        <v>0</v>
      </c>
      <c r="F440" s="689">
        <f>E440*D440</f>
        <v>0</v>
      </c>
      <c r="G440" s="692">
        <f>+G437</f>
        <v>25</v>
      </c>
      <c r="H440" s="691">
        <f>+F440*G440</f>
        <v>0</v>
      </c>
    </row>
    <row r="441" spans="1:8" ht="16.5">
      <c r="A441" s="731" t="s">
        <v>630</v>
      </c>
      <c r="B441" s="777" t="s">
        <v>631</v>
      </c>
      <c r="C441" s="679" t="s">
        <v>233</v>
      </c>
      <c r="D441" s="690">
        <v>0.02</v>
      </c>
      <c r="E441" s="184">
        <v>0</v>
      </c>
      <c r="F441" s="689">
        <f>E441*D441</f>
        <v>0</v>
      </c>
      <c r="G441" s="692">
        <f>+G440</f>
        <v>25</v>
      </c>
      <c r="H441" s="691">
        <f>+F441*G441</f>
        <v>0</v>
      </c>
    </row>
    <row r="442" spans="1:8" ht="16.5">
      <c r="A442" s="186"/>
      <c r="B442" s="730" t="s">
        <v>632</v>
      </c>
      <c r="C442" s="687"/>
      <c r="D442" s="677"/>
      <c r="E442" s="685">
        <f>SUM(E437:E441)</f>
        <v>0</v>
      </c>
      <c r="F442" s="214">
        <f>SUM(F437:F441)</f>
        <v>0</v>
      </c>
      <c r="G442" s="156"/>
      <c r="H442" s="684">
        <f>SUM(H437:H441)</f>
        <v>0</v>
      </c>
    </row>
    <row r="443" spans="1:8" ht="16.5">
      <c r="A443" s="734" t="s">
        <v>633</v>
      </c>
      <c r="B443" s="768" t="s">
        <v>634</v>
      </c>
      <c r="C443" s="158" t="s">
        <v>51</v>
      </c>
      <c r="D443" s="159" t="s">
        <v>52</v>
      </c>
      <c r="E443" s="188" t="s">
        <v>53</v>
      </c>
      <c r="F443" s="188" t="s">
        <v>54</v>
      </c>
      <c r="G443" s="189" t="s">
        <v>186</v>
      </c>
      <c r="H443" s="190" t="s">
        <v>248</v>
      </c>
    </row>
    <row r="444" spans="1:8" ht="16.5">
      <c r="A444" s="186" t="s">
        <v>635</v>
      </c>
      <c r="B444" s="1571" t="s">
        <v>636</v>
      </c>
      <c r="C444" s="1571"/>
      <c r="D444" s="1571"/>
      <c r="E444" s="1571"/>
      <c r="F444" s="214">
        <f>ROUND((5%*(F435)),4)</f>
        <v>0</v>
      </c>
      <c r="G444" s="156">
        <f>+G441</f>
        <v>25</v>
      </c>
      <c r="H444" s="676">
        <f>+F444*G444</f>
        <v>0</v>
      </c>
    </row>
    <row r="445" spans="1:8" ht="16.5">
      <c r="A445" s="186" t="s">
        <v>637</v>
      </c>
      <c r="B445" s="1571" t="s">
        <v>638</v>
      </c>
      <c r="C445" s="1571"/>
      <c r="D445" s="1571"/>
      <c r="E445" s="1571"/>
      <c r="F445" s="214">
        <f>ROUND((8%*(F442)),4)</f>
        <v>0</v>
      </c>
      <c r="G445" s="156">
        <f>+G444</f>
        <v>25</v>
      </c>
      <c r="H445" s="676">
        <f>+F445*G445</f>
        <v>0</v>
      </c>
    </row>
    <row r="446" spans="1:8" ht="16.5">
      <c r="A446" s="186"/>
      <c r="B446" s="765" t="s">
        <v>639</v>
      </c>
      <c r="C446" s="765" t="s">
        <v>243</v>
      </c>
      <c r="D446" s="764" t="s">
        <v>243</v>
      </c>
      <c r="E446" s="763" t="s">
        <v>243</v>
      </c>
      <c r="F446" s="214">
        <f>SUM(F444:F445)</f>
        <v>0</v>
      </c>
      <c r="G446" s="156">
        <f>+G444</f>
        <v>25</v>
      </c>
      <c r="H446" s="676">
        <f>SUM(H444:H445)</f>
        <v>0</v>
      </c>
    </row>
    <row r="447" spans="1:8" ht="16.5">
      <c r="A447" s="186"/>
      <c r="B447" s="675" t="s">
        <v>640</v>
      </c>
      <c r="C447" s="674"/>
      <c r="D447" s="673"/>
      <c r="E447" s="685"/>
      <c r="F447" s="214">
        <f>+F435+F442</f>
        <v>0</v>
      </c>
      <c r="G447" s="156">
        <f>+G445</f>
        <v>25</v>
      </c>
      <c r="H447" s="676">
        <f>+H435+H442</f>
        <v>0</v>
      </c>
    </row>
    <row r="448" spans="1:8" ht="16.5">
      <c r="A448" s="186"/>
      <c r="B448" s="757" t="s">
        <v>641</v>
      </c>
      <c r="C448" s="756"/>
      <c r="D448" s="755"/>
      <c r="E448" s="197">
        <f>E435+E442</f>
        <v>0</v>
      </c>
      <c r="F448" s="754">
        <f>+F446+F447</f>
        <v>0</v>
      </c>
      <c r="G448" s="156">
        <f>+G446</f>
        <v>25</v>
      </c>
      <c r="H448" s="176">
        <f>+H446+H447</f>
        <v>0</v>
      </c>
    </row>
    <row r="449" spans="1:8" ht="18">
      <c r="A449" s="186" t="s">
        <v>642</v>
      </c>
      <c r="B449" s="1412" t="s">
        <v>643</v>
      </c>
      <c r="C449" s="1412"/>
      <c r="D449" s="1412"/>
      <c r="E449" s="1412"/>
      <c r="F449" s="1412"/>
      <c r="G449" s="1412"/>
      <c r="H449" s="1412"/>
    </row>
    <row r="450" spans="1:8" ht="16.5">
      <c r="A450" s="157" t="s">
        <v>644</v>
      </c>
      <c r="B450" s="187" t="s">
        <v>50</v>
      </c>
      <c r="C450" s="158" t="s">
        <v>51</v>
      </c>
      <c r="D450" s="159" t="s">
        <v>52</v>
      </c>
      <c r="E450" s="188" t="s">
        <v>53</v>
      </c>
      <c r="F450" s="188" t="s">
        <v>54</v>
      </c>
      <c r="G450" s="189" t="s">
        <v>186</v>
      </c>
      <c r="H450" s="190" t="s">
        <v>248</v>
      </c>
    </row>
    <row r="451" spans="1:8" ht="16.5">
      <c r="A451" s="186" t="s">
        <v>645</v>
      </c>
      <c r="B451" s="1414" t="s">
        <v>189</v>
      </c>
      <c r="C451" s="1414"/>
      <c r="D451" s="1414"/>
      <c r="E451" s="1414"/>
      <c r="F451" s="1414"/>
      <c r="G451" s="672"/>
      <c r="H451" s="691" t="s">
        <v>241</v>
      </c>
    </row>
    <row r="452" spans="1:8" ht="16.5">
      <c r="A452" s="186" t="s">
        <v>646</v>
      </c>
      <c r="B452" s="718" t="s">
        <v>614</v>
      </c>
      <c r="C452" s="705" t="s">
        <v>341</v>
      </c>
      <c r="D452" s="690">
        <f>+D430</f>
        <v>1</v>
      </c>
      <c r="E452" s="184">
        <v>0</v>
      </c>
      <c r="F452" s="689">
        <f>E452*D452</f>
        <v>0</v>
      </c>
      <c r="G452" s="692">
        <f>+G431</f>
        <v>25</v>
      </c>
      <c r="H452" s="691">
        <f>+F452*G452</f>
        <v>0</v>
      </c>
    </row>
    <row r="453" spans="1:8" ht="16.5">
      <c r="A453" s="186" t="s">
        <v>647</v>
      </c>
      <c r="B453" s="688" t="s">
        <v>616</v>
      </c>
      <c r="C453" s="671" t="s">
        <v>341</v>
      </c>
      <c r="D453" s="670">
        <f>+D431</f>
        <v>1</v>
      </c>
      <c r="E453" s="184">
        <v>0</v>
      </c>
      <c r="F453" s="689">
        <f>E453*D453</f>
        <v>0</v>
      </c>
      <c r="G453" s="692">
        <f>+G452</f>
        <v>25</v>
      </c>
      <c r="H453" s="691">
        <f>+F453*G453</f>
        <v>0</v>
      </c>
    </row>
    <row r="454" spans="1:8" ht="16.5">
      <c r="A454" s="186" t="s">
        <v>648</v>
      </c>
      <c r="B454" s="721" t="s">
        <v>649</v>
      </c>
      <c r="C454" s="671" t="s">
        <v>341</v>
      </c>
      <c r="D454" s="670">
        <f>+D433</f>
        <v>0.9</v>
      </c>
      <c r="E454" s="184">
        <v>0</v>
      </c>
      <c r="F454" s="689">
        <f>E454*D454</f>
        <v>0</v>
      </c>
      <c r="G454" s="692">
        <f>+G453</f>
        <v>25</v>
      </c>
      <c r="H454" s="691">
        <f>+F454*G454</f>
        <v>0</v>
      </c>
    </row>
    <row r="455" spans="1:8" ht="16.5">
      <c r="A455" s="186" t="s">
        <v>650</v>
      </c>
      <c r="B455" s="721" t="s">
        <v>352</v>
      </c>
      <c r="C455" s="671" t="s">
        <v>341</v>
      </c>
      <c r="D455" s="670">
        <f>+D434</f>
        <v>0.7</v>
      </c>
      <c r="E455" s="184">
        <v>0</v>
      </c>
      <c r="F455" s="689">
        <f>E455*D455</f>
        <v>0</v>
      </c>
      <c r="G455" s="669">
        <f>+G454</f>
        <v>25</v>
      </c>
      <c r="H455" s="691">
        <f>+F455*G455</f>
        <v>0</v>
      </c>
    </row>
    <row r="456" spans="1:8" ht="16.5">
      <c r="A456" s="186"/>
      <c r="B456" s="668" t="s">
        <v>651</v>
      </c>
      <c r="C456" s="687"/>
      <c r="D456" s="686"/>
      <c r="E456" s="685">
        <f>SUM(E452:E455)</f>
        <v>0</v>
      </c>
      <c r="F456" s="214">
        <f>SUM(F452:F455)</f>
        <v>0</v>
      </c>
      <c r="G456" s="156"/>
      <c r="H456" s="676">
        <f>SUM(H452:H455)</f>
        <v>0</v>
      </c>
    </row>
    <row r="457" spans="1:8" ht="16.5">
      <c r="A457" s="186" t="s">
        <v>652</v>
      </c>
      <c r="B457" s="1414" t="s">
        <v>209</v>
      </c>
      <c r="C457" s="1414"/>
      <c r="D457" s="1414"/>
      <c r="E457" s="1414"/>
      <c r="F457" s="1414"/>
      <c r="G457" s="669"/>
      <c r="H457" s="691" t="s">
        <v>241</v>
      </c>
    </row>
    <row r="458" spans="1:8" ht="16.5">
      <c r="A458" s="186" t="s">
        <v>653</v>
      </c>
      <c r="B458" s="777" t="str">
        <f>+B440</f>
        <v>Abono orgánico (compostado madurado y estabilizado) bulto de 50 Kilos, con registro ICA .</v>
      </c>
      <c r="C458" s="679" t="s">
        <v>224</v>
      </c>
      <c r="D458" s="667">
        <v>14.01</v>
      </c>
      <c r="E458" s="184">
        <v>0</v>
      </c>
      <c r="F458" s="666">
        <f>E458*D458</f>
        <v>0</v>
      </c>
      <c r="G458" s="665">
        <f>+G452</f>
        <v>25</v>
      </c>
      <c r="H458" s="664">
        <f>+F458*G458</f>
        <v>0</v>
      </c>
    </row>
    <row r="459" spans="1:8" ht="16.5">
      <c r="A459" s="186" t="s">
        <v>654</v>
      </c>
      <c r="B459" s="777" t="str">
        <f>+B441</f>
        <v>Insecticida botánico extracto de Neem (Azadirachta indica)</v>
      </c>
      <c r="C459" s="679" t="s">
        <v>655</v>
      </c>
      <c r="D459" s="667">
        <f>+D441</f>
        <v>0.02</v>
      </c>
      <c r="E459" s="184">
        <v>0</v>
      </c>
      <c r="F459" s="666">
        <f>E459*D459</f>
        <v>0</v>
      </c>
      <c r="G459" s="665">
        <f>+G453</f>
        <v>25</v>
      </c>
      <c r="H459" s="664">
        <f>+F459*G459</f>
        <v>0</v>
      </c>
    </row>
    <row r="460" spans="1:8" ht="16.5">
      <c r="A460" s="186"/>
      <c r="B460" s="668" t="s">
        <v>656</v>
      </c>
      <c r="C460" s="663"/>
      <c r="D460" s="686"/>
      <c r="E460" s="662">
        <f>SUM(E458:E459)</f>
        <v>0</v>
      </c>
      <c r="F460" s="661">
        <f>SUM(F458:F459)</f>
        <v>0</v>
      </c>
      <c r="G460" s="660">
        <f>+G454</f>
        <v>25</v>
      </c>
      <c r="H460" s="659">
        <f>+H458+H459</f>
        <v>0</v>
      </c>
    </row>
    <row r="461" spans="1:8" ht="16.5">
      <c r="A461" s="734" t="s">
        <v>657</v>
      </c>
      <c r="B461" s="768" t="s">
        <v>658</v>
      </c>
      <c r="C461" s="158" t="s">
        <v>51</v>
      </c>
      <c r="D461" s="159" t="s">
        <v>52</v>
      </c>
      <c r="E461" s="188" t="s">
        <v>53</v>
      </c>
      <c r="F461" s="188" t="s">
        <v>54</v>
      </c>
      <c r="G461" s="189" t="s">
        <v>186</v>
      </c>
      <c r="H461" s="190" t="s">
        <v>248</v>
      </c>
    </row>
    <row r="462" spans="1:8" ht="16.5">
      <c r="A462" s="186" t="s">
        <v>659</v>
      </c>
      <c r="B462" s="1571" t="s">
        <v>660</v>
      </c>
      <c r="C462" s="1571"/>
      <c r="D462" s="1571"/>
      <c r="E462" s="1571"/>
      <c r="F462" s="661">
        <f>ROUND((5%*(F456)),0)</f>
        <v>0</v>
      </c>
      <c r="G462" s="658">
        <f>+G459</f>
        <v>25</v>
      </c>
      <c r="H462" s="659">
        <f>+F462*G462</f>
        <v>0</v>
      </c>
    </row>
    <row r="463" spans="1:8" ht="16.5">
      <c r="A463" s="186" t="s">
        <v>661</v>
      </c>
      <c r="B463" s="1571" t="s">
        <v>662</v>
      </c>
      <c r="C463" s="1571"/>
      <c r="D463" s="1571"/>
      <c r="E463" s="1571"/>
      <c r="F463" s="661">
        <f>ROUND((8%*(F460)),0)</f>
        <v>0</v>
      </c>
      <c r="G463" s="658">
        <f>+G462</f>
        <v>25</v>
      </c>
      <c r="H463" s="659">
        <f>+F463*G463</f>
        <v>0</v>
      </c>
    </row>
    <row r="464" spans="1:8" ht="16.5">
      <c r="A464" s="186"/>
      <c r="B464" s="169" t="s">
        <v>663</v>
      </c>
      <c r="C464" s="765" t="s">
        <v>243</v>
      </c>
      <c r="D464" s="94" t="s">
        <v>243</v>
      </c>
      <c r="E464" s="170" t="s">
        <v>243</v>
      </c>
      <c r="F464" s="661">
        <f>SUM(F462:F463)</f>
        <v>0</v>
      </c>
      <c r="G464" s="658">
        <f>+G463</f>
        <v>25</v>
      </c>
      <c r="H464" s="659">
        <f>SUM(H462:H463)</f>
        <v>0</v>
      </c>
    </row>
    <row r="465" spans="1:8" ht="16.5">
      <c r="A465" s="186"/>
      <c r="B465" s="1400" t="s">
        <v>664</v>
      </c>
      <c r="C465" s="1400"/>
      <c r="D465" s="1400"/>
      <c r="E465" s="729">
        <f>SUM(E456,E460)</f>
        <v>0</v>
      </c>
      <c r="F465" s="661">
        <f>+F456+F460</f>
        <v>0</v>
      </c>
      <c r="G465" s="658">
        <f>+G464</f>
        <v>25</v>
      </c>
      <c r="H465" s="197">
        <f>SUM(H456,H460)</f>
        <v>0</v>
      </c>
    </row>
    <row r="466" spans="1:8" ht="16.5">
      <c r="A466" s="202"/>
      <c r="B466" s="757" t="s">
        <v>665</v>
      </c>
      <c r="C466" s="756"/>
      <c r="D466" s="755"/>
      <c r="E466" s="197"/>
      <c r="F466" s="657">
        <f>+F464+F465</f>
        <v>0</v>
      </c>
      <c r="G466" s="656"/>
      <c r="H466" s="197">
        <f>+H464+H465</f>
        <v>0</v>
      </c>
    </row>
    <row r="467" spans="1:8" ht="18">
      <c r="A467" s="186" t="s">
        <v>666</v>
      </c>
      <c r="B467" s="1412" t="s">
        <v>667</v>
      </c>
      <c r="C467" s="1412"/>
      <c r="D467" s="1412"/>
      <c r="E467" s="1412"/>
      <c r="F467" s="1412"/>
      <c r="G467" s="1412"/>
      <c r="H467" s="1412"/>
    </row>
    <row r="468" spans="1:8" ht="16.5">
      <c r="A468" s="157" t="s">
        <v>668</v>
      </c>
      <c r="B468" s="187" t="s">
        <v>50</v>
      </c>
      <c r="C468" s="158" t="s">
        <v>51</v>
      </c>
      <c r="D468" s="159" t="s">
        <v>52</v>
      </c>
      <c r="E468" s="188" t="s">
        <v>53</v>
      </c>
      <c r="F468" s="188" t="s">
        <v>54</v>
      </c>
      <c r="G468" s="189" t="s">
        <v>186</v>
      </c>
      <c r="H468" s="190" t="s">
        <v>248</v>
      </c>
    </row>
    <row r="469" spans="1:8" ht="16.5">
      <c r="A469" s="202" t="s">
        <v>669</v>
      </c>
      <c r="B469" s="1413" t="s">
        <v>189</v>
      </c>
      <c r="C469" s="1413"/>
      <c r="D469" s="1413"/>
      <c r="E469" s="1413"/>
      <c r="F469" s="1413"/>
      <c r="G469" s="655"/>
      <c r="H469" s="691"/>
    </row>
    <row r="470" spans="1:8" ht="16.5">
      <c r="A470" s="202" t="s">
        <v>670</v>
      </c>
      <c r="B470" s="193" t="s">
        <v>289</v>
      </c>
      <c r="C470" s="654" t="s">
        <v>341</v>
      </c>
      <c r="D470" s="690">
        <v>1.2</v>
      </c>
      <c r="E470" s="184">
        <v>0</v>
      </c>
      <c r="F470" s="689">
        <f t="shared" ref="F470:F475" si="51">E470*D470</f>
        <v>0</v>
      </c>
      <c r="G470" s="653">
        <f>+G414</f>
        <v>25</v>
      </c>
      <c r="H470" s="691">
        <f t="shared" ref="H470:H475" si="52">+F470*G470</f>
        <v>0</v>
      </c>
    </row>
    <row r="471" spans="1:8" ht="16.5">
      <c r="A471" s="202" t="s">
        <v>671</v>
      </c>
      <c r="B471" s="193" t="s">
        <v>251</v>
      </c>
      <c r="C471" s="654" t="s">
        <v>341</v>
      </c>
      <c r="D471" s="690">
        <v>1.2</v>
      </c>
      <c r="E471" s="184">
        <v>0</v>
      </c>
      <c r="F471" s="689">
        <f t="shared" si="51"/>
        <v>0</v>
      </c>
      <c r="G471" s="653">
        <f>+G470</f>
        <v>25</v>
      </c>
      <c r="H471" s="691">
        <f t="shared" si="52"/>
        <v>0</v>
      </c>
    </row>
    <row r="472" spans="1:8" ht="16.5">
      <c r="A472" s="202" t="s">
        <v>672</v>
      </c>
      <c r="B472" s="193" t="s">
        <v>293</v>
      </c>
      <c r="C472" s="654" t="s">
        <v>341</v>
      </c>
      <c r="D472" s="690">
        <v>2.4</v>
      </c>
      <c r="E472" s="184">
        <v>0</v>
      </c>
      <c r="F472" s="689">
        <f t="shared" si="51"/>
        <v>0</v>
      </c>
      <c r="G472" s="653">
        <f>+G471</f>
        <v>25</v>
      </c>
      <c r="H472" s="691">
        <f t="shared" si="52"/>
        <v>0</v>
      </c>
    </row>
    <row r="473" spans="1:8" ht="16.5">
      <c r="A473" s="202" t="s">
        <v>673</v>
      </c>
      <c r="B473" s="193" t="s">
        <v>295</v>
      </c>
      <c r="C473" s="654" t="s">
        <v>341</v>
      </c>
      <c r="D473" s="690">
        <v>1.2</v>
      </c>
      <c r="E473" s="184">
        <v>0</v>
      </c>
      <c r="F473" s="689">
        <f t="shared" si="51"/>
        <v>0</v>
      </c>
      <c r="G473" s="653">
        <f>+G472</f>
        <v>25</v>
      </c>
      <c r="H473" s="691">
        <f t="shared" si="52"/>
        <v>0</v>
      </c>
    </row>
    <row r="474" spans="1:8" ht="16.5">
      <c r="A474" s="202" t="s">
        <v>674</v>
      </c>
      <c r="B474" s="193" t="s">
        <v>675</v>
      </c>
      <c r="C474" s="654" t="s">
        <v>341</v>
      </c>
      <c r="D474" s="690">
        <v>1.5999999999999999</v>
      </c>
      <c r="E474" s="184">
        <v>0</v>
      </c>
      <c r="F474" s="689">
        <f t="shared" si="51"/>
        <v>0</v>
      </c>
      <c r="G474" s="653">
        <f>+G473</f>
        <v>25</v>
      </c>
      <c r="H474" s="691">
        <f t="shared" si="52"/>
        <v>0</v>
      </c>
    </row>
    <row r="475" spans="1:8" ht="16.5">
      <c r="A475" s="202" t="s">
        <v>676</v>
      </c>
      <c r="B475" s="193" t="s">
        <v>677</v>
      </c>
      <c r="C475" s="654" t="s">
        <v>341</v>
      </c>
      <c r="D475" s="690">
        <v>2.4</v>
      </c>
      <c r="E475" s="184">
        <v>0</v>
      </c>
      <c r="F475" s="689">
        <f t="shared" si="51"/>
        <v>0</v>
      </c>
      <c r="G475" s="652">
        <f>+G474</f>
        <v>25</v>
      </c>
      <c r="H475" s="691">
        <f t="shared" si="52"/>
        <v>0</v>
      </c>
    </row>
    <row r="476" spans="1:8" ht="16.5">
      <c r="A476" s="202"/>
      <c r="B476" s="681" t="s">
        <v>678</v>
      </c>
      <c r="C476" s="663"/>
      <c r="D476" s="686">
        <f>SUM(D470:D475)</f>
        <v>10</v>
      </c>
      <c r="E476" s="685">
        <f>SUM(E470:E475)</f>
        <v>0</v>
      </c>
      <c r="F476" s="214">
        <f>SUM(F470:F475)</f>
        <v>0</v>
      </c>
      <c r="G476" s="651"/>
      <c r="H476" s="650">
        <f>SUM(H470:H475)</f>
        <v>0</v>
      </c>
    </row>
    <row r="477" spans="1:8" ht="16.5">
      <c r="A477" s="202" t="s">
        <v>679</v>
      </c>
      <c r="B477" s="681" t="s">
        <v>209</v>
      </c>
      <c r="C477" s="654"/>
      <c r="D477" s="678"/>
      <c r="E477" s="649"/>
      <c r="F477" s="648"/>
      <c r="G477" s="653"/>
      <c r="H477" s="680"/>
    </row>
    <row r="478" spans="1:8" ht="16.5">
      <c r="A478" s="202" t="s">
        <v>680</v>
      </c>
      <c r="B478" s="193" t="s">
        <v>681</v>
      </c>
      <c r="C478" s="194" t="s">
        <v>682</v>
      </c>
      <c r="D478" s="193">
        <v>36</v>
      </c>
      <c r="E478" s="184">
        <v>0</v>
      </c>
      <c r="F478" s="689">
        <f t="shared" ref="F478:F488" si="53">E478*D478</f>
        <v>0</v>
      </c>
      <c r="G478" s="653">
        <f>+G470</f>
        <v>25</v>
      </c>
      <c r="H478" s="691">
        <f t="shared" ref="H478:H488" si="54">+F478*G478</f>
        <v>0</v>
      </c>
    </row>
    <row r="479" spans="1:8" ht="16.5">
      <c r="A479" s="202" t="s">
        <v>683</v>
      </c>
      <c r="B479" s="193" t="s">
        <v>684</v>
      </c>
      <c r="C479" s="194" t="s">
        <v>682</v>
      </c>
      <c r="D479" s="193">
        <v>72</v>
      </c>
      <c r="E479" s="184">
        <v>0</v>
      </c>
      <c r="F479" s="689">
        <f t="shared" si="53"/>
        <v>0</v>
      </c>
      <c r="G479" s="653">
        <f>+G478</f>
        <v>25</v>
      </c>
      <c r="H479" s="691">
        <f t="shared" si="54"/>
        <v>0</v>
      </c>
    </row>
    <row r="480" spans="1:8" ht="16.5">
      <c r="A480" s="202" t="s">
        <v>685</v>
      </c>
      <c r="B480" s="193" t="s">
        <v>686</v>
      </c>
      <c r="C480" s="194" t="s">
        <v>687</v>
      </c>
      <c r="D480" s="193">
        <v>144</v>
      </c>
      <c r="E480" s="184">
        <v>0</v>
      </c>
      <c r="F480" s="689">
        <f t="shared" si="53"/>
        <v>0</v>
      </c>
      <c r="G480" s="653">
        <f>+G479</f>
        <v>25</v>
      </c>
      <c r="H480" s="691">
        <f t="shared" si="54"/>
        <v>0</v>
      </c>
    </row>
    <row r="481" spans="1:8" ht="16.5">
      <c r="A481" s="202" t="s">
        <v>688</v>
      </c>
      <c r="B481" s="193" t="s">
        <v>689</v>
      </c>
      <c r="C481" s="194" t="s">
        <v>315</v>
      </c>
      <c r="D481" s="193">
        <v>1.2</v>
      </c>
      <c r="E481" s="647">
        <v>0</v>
      </c>
      <c r="F481" s="689">
        <f t="shared" si="53"/>
        <v>0</v>
      </c>
      <c r="G481" s="653">
        <f>+G479</f>
        <v>25</v>
      </c>
      <c r="H481" s="691">
        <f t="shared" si="54"/>
        <v>0</v>
      </c>
    </row>
    <row r="482" spans="1:8" ht="16.5">
      <c r="A482" s="202" t="s">
        <v>690</v>
      </c>
      <c r="B482" s="193" t="s">
        <v>691</v>
      </c>
      <c r="C482" s="194" t="s">
        <v>692</v>
      </c>
      <c r="D482" s="193">
        <v>288</v>
      </c>
      <c r="E482" s="184">
        <v>0</v>
      </c>
      <c r="F482" s="689">
        <f t="shared" si="53"/>
        <v>0</v>
      </c>
      <c r="G482" s="653">
        <f t="shared" ref="G482:G487" si="55">+G481</f>
        <v>25</v>
      </c>
      <c r="H482" s="691">
        <f t="shared" si="54"/>
        <v>0</v>
      </c>
    </row>
    <row r="483" spans="1:8" ht="16.5">
      <c r="A483" s="202" t="s">
        <v>693</v>
      </c>
      <c r="B483" s="193" t="s">
        <v>694</v>
      </c>
      <c r="C483" s="194" t="s">
        <v>554</v>
      </c>
      <c r="D483" s="193">
        <v>2.5</v>
      </c>
      <c r="E483" s="646">
        <v>0</v>
      </c>
      <c r="F483" s="689">
        <f t="shared" si="53"/>
        <v>0</v>
      </c>
      <c r="G483" s="653">
        <f t="shared" si="55"/>
        <v>25</v>
      </c>
      <c r="H483" s="691">
        <f t="shared" si="54"/>
        <v>0</v>
      </c>
    </row>
    <row r="484" spans="1:8" ht="16.5">
      <c r="A484" s="202" t="s">
        <v>695</v>
      </c>
      <c r="B484" s="193" t="s">
        <v>696</v>
      </c>
      <c r="C484" s="194" t="s">
        <v>324</v>
      </c>
      <c r="D484" s="193">
        <v>2.88</v>
      </c>
      <c r="E484" s="646">
        <v>0</v>
      </c>
      <c r="F484" s="689">
        <f t="shared" si="53"/>
        <v>0</v>
      </c>
      <c r="G484" s="653">
        <f t="shared" si="55"/>
        <v>25</v>
      </c>
      <c r="H484" s="691">
        <f t="shared" si="54"/>
        <v>0</v>
      </c>
    </row>
    <row r="485" spans="1:8" ht="16.5">
      <c r="A485" s="202" t="s">
        <v>697</v>
      </c>
      <c r="B485" s="193" t="s">
        <v>698</v>
      </c>
      <c r="C485" s="194" t="s">
        <v>324</v>
      </c>
      <c r="D485" s="193">
        <v>2.4</v>
      </c>
      <c r="E485" s="646">
        <v>0</v>
      </c>
      <c r="F485" s="689">
        <f t="shared" si="53"/>
        <v>0</v>
      </c>
      <c r="G485" s="653">
        <f t="shared" si="55"/>
        <v>25</v>
      </c>
      <c r="H485" s="691">
        <f t="shared" si="54"/>
        <v>0</v>
      </c>
    </row>
    <row r="486" spans="1:8" ht="16.5">
      <c r="A486" s="202" t="s">
        <v>699</v>
      </c>
      <c r="B486" s="193" t="s">
        <v>700</v>
      </c>
      <c r="C486" s="194" t="s">
        <v>692</v>
      </c>
      <c r="D486" s="193">
        <v>216</v>
      </c>
      <c r="E486" s="646">
        <v>0</v>
      </c>
      <c r="F486" s="689">
        <f t="shared" si="53"/>
        <v>0</v>
      </c>
      <c r="G486" s="653">
        <f t="shared" si="55"/>
        <v>25</v>
      </c>
      <c r="H486" s="691">
        <f t="shared" si="54"/>
        <v>0</v>
      </c>
    </row>
    <row r="487" spans="1:8" ht="16.5">
      <c r="A487" s="202" t="s">
        <v>701</v>
      </c>
      <c r="B487" s="193" t="s">
        <v>702</v>
      </c>
      <c r="C487" s="195" t="s">
        <v>692</v>
      </c>
      <c r="D487" s="193">
        <v>12</v>
      </c>
      <c r="E487" s="646">
        <v>0</v>
      </c>
      <c r="F487" s="689">
        <f t="shared" si="53"/>
        <v>0</v>
      </c>
      <c r="G487" s="653">
        <f t="shared" si="55"/>
        <v>25</v>
      </c>
      <c r="H487" s="691">
        <f t="shared" si="54"/>
        <v>0</v>
      </c>
    </row>
    <row r="488" spans="1:8" ht="16.5">
      <c r="A488" s="202" t="s">
        <v>703</v>
      </c>
      <c r="B488" s="193" t="s">
        <v>704</v>
      </c>
      <c r="C488" s="196" t="s">
        <v>62</v>
      </c>
      <c r="D488" s="193">
        <v>1</v>
      </c>
      <c r="E488" s="646">
        <v>0</v>
      </c>
      <c r="F488" s="689">
        <f t="shared" si="53"/>
        <v>0</v>
      </c>
      <c r="G488" s="653">
        <v>1</v>
      </c>
      <c r="H488" s="691">
        <f t="shared" si="54"/>
        <v>0</v>
      </c>
    </row>
    <row r="489" spans="1:8" ht="16.5">
      <c r="A489" s="645"/>
      <c r="B489" s="644" t="s">
        <v>705</v>
      </c>
      <c r="C489" s="643"/>
      <c r="D489" s="643"/>
      <c r="E489" s="642">
        <f>SUM(E478:E488)</f>
        <v>0</v>
      </c>
      <c r="F489" s="732">
        <f>SUM(F478:F488)</f>
        <v>0</v>
      </c>
      <c r="G489" s="641"/>
      <c r="H489" s="176">
        <f>SUM(H478:H488)</f>
        <v>0</v>
      </c>
    </row>
    <row r="490" spans="1:8" ht="16.5">
      <c r="A490" s="734" t="s">
        <v>168</v>
      </c>
      <c r="B490" s="768" t="s">
        <v>706</v>
      </c>
      <c r="C490" s="158" t="s">
        <v>51</v>
      </c>
      <c r="D490" s="159" t="s">
        <v>52</v>
      </c>
      <c r="E490" s="188" t="s">
        <v>53</v>
      </c>
      <c r="F490" s="188" t="s">
        <v>54</v>
      </c>
      <c r="G490" s="189" t="s">
        <v>186</v>
      </c>
      <c r="H490" s="190" t="s">
        <v>248</v>
      </c>
    </row>
    <row r="491" spans="1:8" ht="16.5">
      <c r="A491" s="733" t="s">
        <v>170</v>
      </c>
      <c r="B491" s="1571" t="s">
        <v>707</v>
      </c>
      <c r="C491" s="1571"/>
      <c r="D491" s="1571"/>
      <c r="E491" s="1571"/>
      <c r="F491" s="732">
        <f>ROUND((5%*(F476)),4)</f>
        <v>0</v>
      </c>
      <c r="G491" s="155">
        <f>+G487</f>
        <v>25</v>
      </c>
      <c r="H491" s="176">
        <f>+F491*G491</f>
        <v>0</v>
      </c>
    </row>
    <row r="492" spans="1:8" ht="16.5">
      <c r="A492" s="733" t="s">
        <v>171</v>
      </c>
      <c r="B492" s="1571" t="s">
        <v>708</v>
      </c>
      <c r="C492" s="1571"/>
      <c r="D492" s="1571"/>
      <c r="E492" s="1571"/>
      <c r="F492" s="732">
        <f>ROUND((8%*(F489)),4)</f>
        <v>0</v>
      </c>
      <c r="G492" s="155">
        <f>+G491</f>
        <v>25</v>
      </c>
      <c r="H492" s="176">
        <f>+F492*G492</f>
        <v>0</v>
      </c>
    </row>
    <row r="493" spans="1:8" ht="16.5">
      <c r="A493" s="733"/>
      <c r="B493" s="765" t="s">
        <v>606</v>
      </c>
      <c r="C493" s="765" t="s">
        <v>243</v>
      </c>
      <c r="D493" s="764" t="s">
        <v>243</v>
      </c>
      <c r="E493" s="763" t="s">
        <v>243</v>
      </c>
      <c r="F493" s="732">
        <f>SUM(F491:F492)</f>
        <v>0</v>
      </c>
      <c r="G493" s="155">
        <f>+G487</f>
        <v>25</v>
      </c>
      <c r="H493" s="176">
        <f>SUM(H491:H492)</f>
        <v>0</v>
      </c>
    </row>
    <row r="494" spans="1:8" ht="16.5">
      <c r="A494" s="731"/>
      <c r="B494" s="1409" t="s">
        <v>709</v>
      </c>
      <c r="C494" s="1409"/>
      <c r="D494" s="1409"/>
      <c r="E494" s="729">
        <f>E476+E489</f>
        <v>0</v>
      </c>
      <c r="F494" s="728">
        <f>+F476+F489</f>
        <v>0</v>
      </c>
      <c r="G494" s="727">
        <f>+G487</f>
        <v>25</v>
      </c>
      <c r="H494" s="197">
        <f>H476+H489</f>
        <v>0</v>
      </c>
    </row>
    <row r="495" spans="1:8" ht="16.5">
      <c r="A495" s="186"/>
      <c r="B495" s="1409" t="s">
        <v>710</v>
      </c>
      <c r="C495" s="1409"/>
      <c r="D495" s="1409"/>
      <c r="E495" s="198"/>
      <c r="F495" s="726">
        <f>+F493+F494</f>
        <v>0</v>
      </c>
      <c r="G495" s="725"/>
      <c r="H495" s="198">
        <f>+H493+H494</f>
        <v>0</v>
      </c>
    </row>
    <row r="496" spans="1:8" ht="18">
      <c r="A496" s="202" t="s">
        <v>711</v>
      </c>
      <c r="B496" s="1410" t="s">
        <v>712</v>
      </c>
      <c r="C496" s="1410"/>
      <c r="D496" s="1410"/>
      <c r="E496" s="1410"/>
      <c r="F496" s="1410"/>
      <c r="G496" s="1410"/>
      <c r="H496" s="1410"/>
    </row>
    <row r="497" spans="1:8" ht="16.5">
      <c r="A497" s="640" t="s">
        <v>713</v>
      </c>
      <c r="B497" s="187" t="s">
        <v>50</v>
      </c>
      <c r="C497" s="158" t="s">
        <v>51</v>
      </c>
      <c r="D497" s="159" t="s">
        <v>52</v>
      </c>
      <c r="E497" s="188" t="s">
        <v>53</v>
      </c>
      <c r="F497" s="188" t="s">
        <v>54</v>
      </c>
      <c r="G497" s="189" t="s">
        <v>186</v>
      </c>
      <c r="H497" s="190" t="s">
        <v>248</v>
      </c>
    </row>
    <row r="498" spans="1:8" ht="16.5">
      <c r="A498" s="639" t="s">
        <v>714</v>
      </c>
      <c r="B498" s="1411" t="s">
        <v>209</v>
      </c>
      <c r="C498" s="1411"/>
      <c r="D498" s="1411"/>
      <c r="E498" s="1411"/>
      <c r="F498" s="1411"/>
      <c r="G498" s="651"/>
      <c r="H498" s="650"/>
    </row>
    <row r="499" spans="1:8" ht="16.5">
      <c r="A499" s="639" t="s">
        <v>715</v>
      </c>
      <c r="B499" s="193" t="s">
        <v>716</v>
      </c>
      <c r="C499" s="199" t="s">
        <v>717</v>
      </c>
      <c r="D499" s="193">
        <v>2</v>
      </c>
      <c r="E499" s="184">
        <v>0</v>
      </c>
      <c r="F499" s="689">
        <f>+D499*E499</f>
        <v>0</v>
      </c>
      <c r="G499" s="651">
        <v>1</v>
      </c>
      <c r="H499" s="650">
        <f>+F499*G499</f>
        <v>0</v>
      </c>
    </row>
    <row r="500" spans="1:8" ht="16.5">
      <c r="A500" s="639" t="s">
        <v>718</v>
      </c>
      <c r="B500" s="193" t="s">
        <v>719</v>
      </c>
      <c r="C500" s="200" t="s">
        <v>720</v>
      </c>
      <c r="D500" s="193">
        <v>0.5</v>
      </c>
      <c r="E500" s="184">
        <v>0</v>
      </c>
      <c r="F500" s="689">
        <f>+D500*E500</f>
        <v>0</v>
      </c>
      <c r="G500" s="651">
        <f>+G499</f>
        <v>1</v>
      </c>
      <c r="H500" s="650">
        <f>+F500*G500</f>
        <v>0</v>
      </c>
    </row>
    <row r="501" spans="1:8" ht="16.5">
      <c r="A501" s="639" t="s">
        <v>721</v>
      </c>
      <c r="B501" s="193" t="s">
        <v>722</v>
      </c>
      <c r="C501" s="201" t="s">
        <v>723</v>
      </c>
      <c r="D501" s="193">
        <v>1</v>
      </c>
      <c r="E501" s="184">
        <v>0</v>
      </c>
      <c r="F501" s="689">
        <f>+D501*E501</f>
        <v>0</v>
      </c>
      <c r="G501" s="651">
        <f>+G499</f>
        <v>1</v>
      </c>
      <c r="H501" s="650">
        <f>+F501*G501</f>
        <v>0</v>
      </c>
    </row>
    <row r="502" spans="1:8" ht="16.5">
      <c r="A502" s="639" t="s">
        <v>724</v>
      </c>
      <c r="B502" s="193" t="s">
        <v>725</v>
      </c>
      <c r="C502" s="201" t="s">
        <v>726</v>
      </c>
      <c r="D502" s="193">
        <v>1</v>
      </c>
      <c r="E502" s="184">
        <v>0</v>
      </c>
      <c r="F502" s="689">
        <f>+D502*E502</f>
        <v>0</v>
      </c>
      <c r="G502" s="651">
        <f>+G499</f>
        <v>1</v>
      </c>
      <c r="H502" s="650">
        <f>+F502*G502</f>
        <v>0</v>
      </c>
    </row>
    <row r="503" spans="1:8" ht="16.5">
      <c r="A503" s="639"/>
      <c r="B503" s="681" t="s">
        <v>727</v>
      </c>
      <c r="C503" s="663"/>
      <c r="D503" s="686">
        <f>SUM(D501:D502)</f>
        <v>2</v>
      </c>
      <c r="E503" s="685">
        <f>SUM(E499:E502)</f>
        <v>0</v>
      </c>
      <c r="F503" s="214">
        <f>SUM(F499:F502)</f>
        <v>0</v>
      </c>
      <c r="G503" s="651"/>
      <c r="H503" s="650">
        <f>SUM(H499:H502)</f>
        <v>0</v>
      </c>
    </row>
    <row r="504" spans="1:8" ht="16.5">
      <c r="A504" s="734" t="s">
        <v>715</v>
      </c>
      <c r="B504" s="768" t="s">
        <v>728</v>
      </c>
      <c r="C504" s="158" t="s">
        <v>51</v>
      </c>
      <c r="D504" s="159" t="s">
        <v>52</v>
      </c>
      <c r="E504" s="188" t="s">
        <v>53</v>
      </c>
      <c r="F504" s="188" t="s">
        <v>54</v>
      </c>
      <c r="G504" s="189" t="s">
        <v>186</v>
      </c>
      <c r="H504" s="190" t="s">
        <v>248</v>
      </c>
    </row>
    <row r="505" spans="1:8" ht="16.5">
      <c r="A505" s="186" t="s">
        <v>715</v>
      </c>
      <c r="B505" s="1571" t="s">
        <v>729</v>
      </c>
      <c r="C505" s="1571"/>
      <c r="D505" s="1571"/>
      <c r="E505" s="1571"/>
      <c r="F505" s="214">
        <f>ROUND((8%*(F503)),8)</f>
        <v>0</v>
      </c>
      <c r="G505" s="651">
        <v>1</v>
      </c>
      <c r="H505" s="650">
        <f>+F505*G505</f>
        <v>0</v>
      </c>
    </row>
    <row r="506" spans="1:8" ht="16.5">
      <c r="A506" s="186"/>
      <c r="B506" s="1572" t="s">
        <v>730</v>
      </c>
      <c r="C506" s="1572" t="s">
        <v>243</v>
      </c>
      <c r="D506" s="1572" t="s">
        <v>243</v>
      </c>
      <c r="E506" s="1572" t="s">
        <v>243</v>
      </c>
      <c r="F506" s="214">
        <f>+F505</f>
        <v>0</v>
      </c>
      <c r="G506" s="651">
        <v>1</v>
      </c>
      <c r="H506" s="650">
        <f>+F506*G506</f>
        <v>0</v>
      </c>
    </row>
    <row r="507" spans="1:8" ht="16.5">
      <c r="A507" s="186"/>
      <c r="B507" s="1400" t="s">
        <v>731</v>
      </c>
      <c r="C507" s="1400"/>
      <c r="D507" s="1400"/>
      <c r="E507" s="729">
        <f>SUM(E498,E502)</f>
        <v>0</v>
      </c>
      <c r="F507" s="214">
        <f>+F503</f>
        <v>0</v>
      </c>
      <c r="G507" s="651">
        <v>1</v>
      </c>
      <c r="H507" s="650">
        <f>+F507*G507</f>
        <v>0</v>
      </c>
    </row>
    <row r="508" spans="1:8" ht="16.5">
      <c r="A508" s="639"/>
      <c r="B508" s="681" t="s">
        <v>732</v>
      </c>
      <c r="C508" s="663"/>
      <c r="D508" s="686"/>
      <c r="E508" s="685"/>
      <c r="F508" s="214">
        <f>+F506+F507</f>
        <v>0</v>
      </c>
      <c r="G508" s="651">
        <v>1</v>
      </c>
      <c r="H508" s="638">
        <f>+F508*G508</f>
        <v>0</v>
      </c>
    </row>
    <row r="509" spans="1:8" ht="18">
      <c r="A509" s="639" t="s">
        <v>733</v>
      </c>
      <c r="B509" s="1401" t="s">
        <v>734</v>
      </c>
      <c r="C509" s="1401"/>
      <c r="D509" s="1401"/>
      <c r="E509" s="1401"/>
      <c r="F509" s="1401"/>
      <c r="G509" s="1401"/>
      <c r="H509" s="1401"/>
    </row>
    <row r="510" spans="1:8" ht="16.5">
      <c r="A510" s="157" t="s">
        <v>735</v>
      </c>
      <c r="B510" s="187" t="s">
        <v>50</v>
      </c>
      <c r="C510" s="158" t="s">
        <v>51</v>
      </c>
      <c r="D510" s="159" t="s">
        <v>52</v>
      </c>
      <c r="E510" s="188" t="s">
        <v>53</v>
      </c>
      <c r="F510" s="188" t="s">
        <v>54</v>
      </c>
      <c r="G510" s="189" t="s">
        <v>186</v>
      </c>
      <c r="H510" s="190" t="s">
        <v>248</v>
      </c>
    </row>
    <row r="511" spans="1:8" ht="16.5">
      <c r="A511" s="637" t="s">
        <v>736</v>
      </c>
      <c r="B511" s="681" t="s">
        <v>209</v>
      </c>
      <c r="C511" s="663"/>
      <c r="D511" s="686"/>
      <c r="E511" s="728"/>
      <c r="F511" s="636"/>
      <c r="G511" s="705"/>
      <c r="H511" s="635"/>
    </row>
    <row r="512" spans="1:8" ht="16.5">
      <c r="A512" s="186" t="s">
        <v>737</v>
      </c>
      <c r="B512" s="193" t="s">
        <v>716</v>
      </c>
      <c r="C512" s="193" t="s">
        <v>717</v>
      </c>
      <c r="D512" s="193">
        <v>2</v>
      </c>
      <c r="E512" s="184">
        <v>0</v>
      </c>
      <c r="F512" s="634">
        <f>E512*D512</f>
        <v>0</v>
      </c>
      <c r="G512" s="746">
        <v>9</v>
      </c>
      <c r="H512" s="745">
        <f>+F512*G512</f>
        <v>0</v>
      </c>
    </row>
    <row r="513" spans="1:8" ht="16.5">
      <c r="A513" s="186" t="s">
        <v>738</v>
      </c>
      <c r="B513" s="193" t="s">
        <v>719</v>
      </c>
      <c r="C513" s="193" t="s">
        <v>720</v>
      </c>
      <c r="D513" s="193">
        <v>0.5</v>
      </c>
      <c r="E513" s="184">
        <v>0</v>
      </c>
      <c r="F513" s="634">
        <f>E513*D513</f>
        <v>0</v>
      </c>
      <c r="G513" s="746">
        <f>+G512</f>
        <v>9</v>
      </c>
      <c r="H513" s="745">
        <f>+F513*G513</f>
        <v>0</v>
      </c>
    </row>
    <row r="514" spans="1:8" ht="16.5">
      <c r="A514" s="186" t="s">
        <v>241</v>
      </c>
      <c r="B514" s="681" t="s">
        <v>739</v>
      </c>
      <c r="C514" s="663"/>
      <c r="D514" s="686" t="s">
        <v>241</v>
      </c>
      <c r="E514" s="685">
        <f>SUM(E512:E513)</f>
        <v>0</v>
      </c>
      <c r="F514" s="214">
        <f>SUM(F512:F513)</f>
        <v>0</v>
      </c>
      <c r="G514" s="651"/>
      <c r="H514" s="650">
        <f>SUM(H512:H513)</f>
        <v>0</v>
      </c>
    </row>
    <row r="515" spans="1:8" ht="16.5">
      <c r="A515" s="734" t="s">
        <v>740</v>
      </c>
      <c r="B515" s="768" t="s">
        <v>741</v>
      </c>
      <c r="C515" s="158" t="s">
        <v>51</v>
      </c>
      <c r="D515" s="159" t="s">
        <v>52</v>
      </c>
      <c r="E515" s="188" t="s">
        <v>53</v>
      </c>
      <c r="F515" s="188" t="s">
        <v>54</v>
      </c>
      <c r="G515" s="189" t="s">
        <v>186</v>
      </c>
      <c r="H515" s="190" t="s">
        <v>248</v>
      </c>
    </row>
    <row r="516" spans="1:8" ht="16.5">
      <c r="A516" s="633" t="s">
        <v>742</v>
      </c>
      <c r="B516" s="1571" t="s">
        <v>743</v>
      </c>
      <c r="C516" s="1571"/>
      <c r="D516" s="1571"/>
      <c r="E516" s="1571"/>
      <c r="F516" s="634">
        <f>ROUND((8%*(F514)),4)</f>
        <v>0</v>
      </c>
      <c r="G516" s="779">
        <f>+G512</f>
        <v>9</v>
      </c>
      <c r="H516" s="745">
        <f>+F516*G516</f>
        <v>0</v>
      </c>
    </row>
    <row r="517" spans="1:8" ht="16.5">
      <c r="A517" s="633" t="s">
        <v>241</v>
      </c>
      <c r="B517" s="1571" t="s">
        <v>744</v>
      </c>
      <c r="C517" s="1571" t="s">
        <v>243</v>
      </c>
      <c r="D517" s="1571" t="s">
        <v>243</v>
      </c>
      <c r="E517" s="1571" t="s">
        <v>243</v>
      </c>
      <c r="F517" s="634">
        <f>+F516</f>
        <v>0</v>
      </c>
      <c r="G517" s="746">
        <f>+G512</f>
        <v>9</v>
      </c>
      <c r="H517" s="745">
        <f>+F517*G517</f>
        <v>0</v>
      </c>
    </row>
    <row r="518" spans="1:8" ht="16.5">
      <c r="A518" s="186"/>
      <c r="B518" s="1400" t="s">
        <v>745</v>
      </c>
      <c r="C518" s="1400"/>
      <c r="D518" s="1400"/>
      <c r="E518" s="729">
        <f>+E514</f>
        <v>0</v>
      </c>
      <c r="F518" s="732">
        <f>+F514</f>
        <v>0</v>
      </c>
      <c r="G518" s="632">
        <f>+G512</f>
        <v>9</v>
      </c>
      <c r="H518" s="745">
        <f>+F518*G518</f>
        <v>0</v>
      </c>
    </row>
    <row r="519" spans="1:8" ht="16.5">
      <c r="A519" s="186"/>
      <c r="B519" s="681" t="s">
        <v>746</v>
      </c>
      <c r="C519" s="663"/>
      <c r="D519" s="686"/>
      <c r="E519" s="685"/>
      <c r="F519" s="728">
        <f>+F517+F518</f>
        <v>0</v>
      </c>
      <c r="G519" s="631">
        <f>+G512</f>
        <v>9</v>
      </c>
      <c r="H519" s="745">
        <f>+F519*G519</f>
        <v>0</v>
      </c>
    </row>
    <row r="520" spans="1:8" ht="18">
      <c r="A520" s="186" t="s">
        <v>747</v>
      </c>
      <c r="B520" s="1401" t="s">
        <v>748</v>
      </c>
      <c r="C520" s="1401"/>
      <c r="D520" s="1401"/>
      <c r="E520" s="1401"/>
      <c r="F520" s="1401"/>
      <c r="G520" s="1401"/>
      <c r="H520" s="1401"/>
    </row>
    <row r="521" spans="1:8" ht="16.5">
      <c r="A521" s="157" t="s">
        <v>749</v>
      </c>
      <c r="B521" s="160" t="s">
        <v>50</v>
      </c>
      <c r="C521" s="158" t="s">
        <v>51</v>
      </c>
      <c r="D521" s="159" t="s">
        <v>52</v>
      </c>
      <c r="E521" s="188" t="s">
        <v>53</v>
      </c>
      <c r="F521" s="188" t="s">
        <v>54</v>
      </c>
      <c r="G521" s="189" t="s">
        <v>186</v>
      </c>
      <c r="H521" s="190" t="s">
        <v>248</v>
      </c>
    </row>
    <row r="522" spans="1:8" ht="16.5">
      <c r="A522" s="202" t="s">
        <v>750</v>
      </c>
      <c r="B522" s="1402" t="s">
        <v>189</v>
      </c>
      <c r="C522" s="1402"/>
      <c r="D522" s="1402"/>
      <c r="E522" s="1402"/>
      <c r="F522" s="1402"/>
      <c r="G522" s="653"/>
      <c r="H522" s="691"/>
    </row>
    <row r="523" spans="1:8" ht="16.5">
      <c r="A523" s="202" t="s">
        <v>751</v>
      </c>
      <c r="B523" s="193" t="s">
        <v>752</v>
      </c>
      <c r="C523" s="654" t="s">
        <v>753</v>
      </c>
      <c r="D523" s="678">
        <v>2</v>
      </c>
      <c r="E523" s="184">
        <v>0</v>
      </c>
      <c r="F523" s="689">
        <f>E523*D523</f>
        <v>0</v>
      </c>
      <c r="G523" s="653">
        <f>+G369</f>
        <v>25</v>
      </c>
      <c r="H523" s="691">
        <f>+F523*G523</f>
        <v>0</v>
      </c>
    </row>
    <row r="524" spans="1:8" ht="16.5">
      <c r="A524" s="202" t="s">
        <v>754</v>
      </c>
      <c r="B524" s="193" t="s">
        <v>755</v>
      </c>
      <c r="C524" s="654" t="s">
        <v>753</v>
      </c>
      <c r="D524" s="678">
        <v>1</v>
      </c>
      <c r="E524" s="184">
        <v>0</v>
      </c>
      <c r="F524" s="689">
        <f>E524*D524</f>
        <v>0</v>
      </c>
      <c r="G524" s="653">
        <f>+G523</f>
        <v>25</v>
      </c>
      <c r="H524" s="691">
        <f>+F524*G524</f>
        <v>0</v>
      </c>
    </row>
    <row r="525" spans="1:8" ht="16.5">
      <c r="A525" s="202" t="s">
        <v>241</v>
      </c>
      <c r="B525" s="681" t="s">
        <v>756</v>
      </c>
      <c r="C525" s="663"/>
      <c r="D525" s="677">
        <f>SUM(D523:D524)</f>
        <v>3</v>
      </c>
      <c r="E525" s="685">
        <f>SUM(E523:E524)</f>
        <v>0</v>
      </c>
      <c r="F525" s="214">
        <f>SUM(F523:F524)</f>
        <v>0</v>
      </c>
      <c r="G525" s="651"/>
      <c r="H525" s="650">
        <f>SUM(H523:H524)</f>
        <v>0</v>
      </c>
    </row>
    <row r="526" spans="1:8" ht="16.5">
      <c r="A526" s="202" t="s">
        <v>757</v>
      </c>
      <c r="B526" s="630" t="s">
        <v>304</v>
      </c>
      <c r="C526" s="630"/>
      <c r="D526" s="629"/>
      <c r="E526" s="628"/>
      <c r="F526" s="628"/>
      <c r="G526" s="739"/>
      <c r="H526" s="745"/>
    </row>
    <row r="527" spans="1:8" ht="16.5">
      <c r="A527" s="202" t="s">
        <v>758</v>
      </c>
      <c r="B527" s="627" t="s">
        <v>759</v>
      </c>
      <c r="C527" s="700" t="s">
        <v>760</v>
      </c>
      <c r="D527" s="626">
        <v>14</v>
      </c>
      <c r="E527" s="184">
        <v>0</v>
      </c>
      <c r="F527" s="625">
        <f t="shared" ref="F527:F535" si="56">E527*D527</f>
        <v>0</v>
      </c>
      <c r="G527" s="624">
        <f>+G523</f>
        <v>25</v>
      </c>
      <c r="H527" s="745">
        <f t="shared" ref="H527:H535" si="57">+F527*G527</f>
        <v>0</v>
      </c>
    </row>
    <row r="528" spans="1:8" ht="16.5">
      <c r="A528" s="202" t="s">
        <v>761</v>
      </c>
      <c r="B528" s="627" t="s">
        <v>762</v>
      </c>
      <c r="C528" s="700" t="s">
        <v>763</v>
      </c>
      <c r="D528" s="626">
        <v>90</v>
      </c>
      <c r="E528" s="184">
        <v>0</v>
      </c>
      <c r="F528" s="625">
        <f t="shared" si="56"/>
        <v>0</v>
      </c>
      <c r="G528" s="724">
        <f t="shared" ref="G528:G535" si="58">+G527</f>
        <v>25</v>
      </c>
      <c r="H528" s="745">
        <f t="shared" si="57"/>
        <v>0</v>
      </c>
    </row>
    <row r="529" spans="1:8" ht="16.5">
      <c r="A529" s="202" t="s">
        <v>764</v>
      </c>
      <c r="B529" s="627" t="s">
        <v>765</v>
      </c>
      <c r="C529" s="700" t="s">
        <v>766</v>
      </c>
      <c r="D529" s="626">
        <v>2</v>
      </c>
      <c r="E529" s="184">
        <v>0</v>
      </c>
      <c r="F529" s="625">
        <f t="shared" si="56"/>
        <v>0</v>
      </c>
      <c r="G529" s="724">
        <f t="shared" si="58"/>
        <v>25</v>
      </c>
      <c r="H529" s="745">
        <f t="shared" si="57"/>
        <v>0</v>
      </c>
    </row>
    <row r="530" spans="1:8" ht="16.5">
      <c r="A530" s="202" t="s">
        <v>767</v>
      </c>
      <c r="B530" s="627" t="s">
        <v>768</v>
      </c>
      <c r="C530" s="700" t="s">
        <v>766</v>
      </c>
      <c r="D530" s="626">
        <v>2</v>
      </c>
      <c r="E530" s="184">
        <v>0</v>
      </c>
      <c r="F530" s="625">
        <f t="shared" si="56"/>
        <v>0</v>
      </c>
      <c r="G530" s="724">
        <f t="shared" si="58"/>
        <v>25</v>
      </c>
      <c r="H530" s="745">
        <f t="shared" si="57"/>
        <v>0</v>
      </c>
    </row>
    <row r="531" spans="1:8" ht="16.5">
      <c r="A531" s="202" t="s">
        <v>769</v>
      </c>
      <c r="B531" s="627" t="s">
        <v>770</v>
      </c>
      <c r="C531" s="700" t="s">
        <v>766</v>
      </c>
      <c r="D531" s="626">
        <v>2</v>
      </c>
      <c r="E531" s="184">
        <v>0</v>
      </c>
      <c r="F531" s="625">
        <f t="shared" si="56"/>
        <v>0</v>
      </c>
      <c r="G531" s="724">
        <f t="shared" si="58"/>
        <v>25</v>
      </c>
      <c r="H531" s="745">
        <f t="shared" si="57"/>
        <v>0</v>
      </c>
    </row>
    <row r="532" spans="1:8" ht="16.5">
      <c r="A532" s="202" t="s">
        <v>771</v>
      </c>
      <c r="B532" s="627" t="s">
        <v>772</v>
      </c>
      <c r="C532" s="700" t="s">
        <v>773</v>
      </c>
      <c r="D532" s="626">
        <v>3</v>
      </c>
      <c r="E532" s="184">
        <v>0</v>
      </c>
      <c r="F532" s="625">
        <f t="shared" si="56"/>
        <v>0</v>
      </c>
      <c r="G532" s="724">
        <f t="shared" si="58"/>
        <v>25</v>
      </c>
      <c r="H532" s="745">
        <f t="shared" si="57"/>
        <v>0</v>
      </c>
    </row>
    <row r="533" spans="1:8" ht="16.5">
      <c r="A533" s="202" t="s">
        <v>774</v>
      </c>
      <c r="B533" s="627" t="s">
        <v>775</v>
      </c>
      <c r="C533" s="700" t="s">
        <v>773</v>
      </c>
      <c r="D533" s="626">
        <v>6</v>
      </c>
      <c r="E533" s="184">
        <v>0</v>
      </c>
      <c r="F533" s="625">
        <f t="shared" si="56"/>
        <v>0</v>
      </c>
      <c r="G533" s="724">
        <f t="shared" si="58"/>
        <v>25</v>
      </c>
      <c r="H533" s="745">
        <f t="shared" si="57"/>
        <v>0</v>
      </c>
    </row>
    <row r="534" spans="1:8" ht="16.5">
      <c r="A534" s="202" t="s">
        <v>776</v>
      </c>
      <c r="B534" s="700" t="s">
        <v>777</v>
      </c>
      <c r="C534" s="700" t="s">
        <v>778</v>
      </c>
      <c r="D534" s="626">
        <v>26</v>
      </c>
      <c r="E534" s="184">
        <v>0</v>
      </c>
      <c r="F534" s="625">
        <f t="shared" si="56"/>
        <v>0</v>
      </c>
      <c r="G534" s="724">
        <f t="shared" si="58"/>
        <v>25</v>
      </c>
      <c r="H534" s="745">
        <f t="shared" si="57"/>
        <v>0</v>
      </c>
    </row>
    <row r="535" spans="1:8" ht="16.5">
      <c r="A535" s="202" t="s">
        <v>779</v>
      </c>
      <c r="B535" s="700" t="s">
        <v>780</v>
      </c>
      <c r="C535" s="700" t="s">
        <v>781</v>
      </c>
      <c r="D535" s="626">
        <v>26</v>
      </c>
      <c r="E535" s="184">
        <v>0</v>
      </c>
      <c r="F535" s="625">
        <f t="shared" si="56"/>
        <v>0</v>
      </c>
      <c r="G535" s="724">
        <f t="shared" si="58"/>
        <v>25</v>
      </c>
      <c r="H535" s="745">
        <f t="shared" si="57"/>
        <v>0</v>
      </c>
    </row>
    <row r="536" spans="1:8" ht="16.5">
      <c r="A536" s="623"/>
      <c r="B536" s="622" t="s">
        <v>782</v>
      </c>
      <c r="C536" s="622"/>
      <c r="D536" s="621"/>
      <c r="E536" s="620">
        <f>SUM(E527:E535)</f>
        <v>0</v>
      </c>
      <c r="F536" s="620">
        <f>SUM(F527:F535)</f>
        <v>0</v>
      </c>
      <c r="G536" s="619"/>
      <c r="H536" s="204">
        <f>SUM(H527:H535)</f>
        <v>0</v>
      </c>
    </row>
    <row r="537" spans="1:8" ht="16.5">
      <c r="A537" s="734" t="s">
        <v>783</v>
      </c>
      <c r="B537" s="768" t="s">
        <v>784</v>
      </c>
      <c r="C537" s="158" t="s">
        <v>51</v>
      </c>
      <c r="D537" s="159" t="s">
        <v>52</v>
      </c>
      <c r="E537" s="188" t="s">
        <v>53</v>
      </c>
      <c r="F537" s="188" t="s">
        <v>54</v>
      </c>
      <c r="G537" s="189" t="s">
        <v>186</v>
      </c>
      <c r="H537" s="190" t="s">
        <v>248</v>
      </c>
    </row>
    <row r="538" spans="1:8" ht="16.5">
      <c r="A538" s="186" t="s">
        <v>785</v>
      </c>
      <c r="B538" s="1571" t="s">
        <v>786</v>
      </c>
      <c r="C538" s="1571"/>
      <c r="D538" s="1571"/>
      <c r="E538" s="1571"/>
      <c r="F538" s="620">
        <f>ROUND((5%*(F525)),4)</f>
        <v>0</v>
      </c>
      <c r="G538" s="618">
        <f>+G535</f>
        <v>25</v>
      </c>
      <c r="H538" s="204">
        <f>+F538*G538</f>
        <v>0</v>
      </c>
    </row>
    <row r="539" spans="1:8" ht="16.5">
      <c r="A539" s="186" t="s">
        <v>787</v>
      </c>
      <c r="B539" s="1571" t="s">
        <v>788</v>
      </c>
      <c r="C539" s="1571"/>
      <c r="D539" s="1571"/>
      <c r="E539" s="1571"/>
      <c r="F539" s="620">
        <f>ROUND((8%*(F536)),4)</f>
        <v>0</v>
      </c>
      <c r="G539" s="618">
        <f>+G538</f>
        <v>25</v>
      </c>
      <c r="H539" s="204">
        <f>+F539*G539</f>
        <v>0</v>
      </c>
    </row>
    <row r="540" spans="1:8" ht="16.5">
      <c r="A540" s="186"/>
      <c r="B540" s="765" t="s">
        <v>789</v>
      </c>
      <c r="C540" s="765" t="s">
        <v>243</v>
      </c>
      <c r="D540" s="764" t="s">
        <v>243</v>
      </c>
      <c r="E540" s="763" t="s">
        <v>243</v>
      </c>
      <c r="F540" s="620">
        <f>SUM(F538:F539)</f>
        <v>0</v>
      </c>
      <c r="G540" s="618">
        <f>+G539</f>
        <v>25</v>
      </c>
      <c r="H540" s="204">
        <f>+F540*G540</f>
        <v>0</v>
      </c>
    </row>
    <row r="541" spans="1:8" ht="16.5">
      <c r="A541" s="186"/>
      <c r="B541" s="1400" t="s">
        <v>790</v>
      </c>
      <c r="C541" s="1400"/>
      <c r="D541" s="1400"/>
      <c r="E541" s="729">
        <f>+E525+E536</f>
        <v>0</v>
      </c>
      <c r="F541" s="620">
        <f>+F525+F536</f>
        <v>0</v>
      </c>
      <c r="G541" s="618">
        <f>+G540</f>
        <v>25</v>
      </c>
      <c r="H541" s="204">
        <f>+F541*G541</f>
        <v>0</v>
      </c>
    </row>
    <row r="542" spans="1:8" ht="16.5">
      <c r="A542" s="623"/>
      <c r="B542" s="622" t="s">
        <v>791</v>
      </c>
      <c r="C542" s="622"/>
      <c r="D542" s="621"/>
      <c r="E542" s="620"/>
      <c r="F542" s="620">
        <f>+F540+F541</f>
        <v>0</v>
      </c>
      <c r="G542" s="618">
        <f>+G541</f>
        <v>25</v>
      </c>
      <c r="H542" s="204">
        <f>+F542*G542</f>
        <v>0</v>
      </c>
    </row>
    <row r="543" spans="1:8" ht="18">
      <c r="A543" s="186" t="s">
        <v>792</v>
      </c>
      <c r="B543" s="1401" t="s">
        <v>793</v>
      </c>
      <c r="C543" s="1401"/>
      <c r="D543" s="1401"/>
      <c r="E543" s="1401"/>
      <c r="F543" s="1401"/>
      <c r="G543" s="1401"/>
      <c r="H543" s="1401"/>
    </row>
    <row r="544" spans="1:8" ht="16.5">
      <c r="A544" s="734" t="s">
        <v>794</v>
      </c>
      <c r="B544" s="160" t="s">
        <v>50</v>
      </c>
      <c r="C544" s="158" t="s">
        <v>51</v>
      </c>
      <c r="D544" s="159" t="s">
        <v>52</v>
      </c>
      <c r="E544" s="188" t="s">
        <v>53</v>
      </c>
      <c r="F544" s="188" t="s">
        <v>54</v>
      </c>
      <c r="G544" s="189" t="s">
        <v>186</v>
      </c>
      <c r="H544" s="190" t="s">
        <v>248</v>
      </c>
    </row>
    <row r="545" spans="1:8" ht="18">
      <c r="A545" s="617"/>
      <c r="B545" s="616"/>
      <c r="C545" s="615"/>
      <c r="D545" s="614"/>
      <c r="E545" s="613"/>
      <c r="F545" s="612"/>
      <c r="G545" s="611"/>
      <c r="H545" s="610"/>
    </row>
    <row r="546" spans="1:8" ht="16.5">
      <c r="A546" s="609" t="s">
        <v>795</v>
      </c>
      <c r="B546" s="608" t="s">
        <v>189</v>
      </c>
      <c r="C546" s="278"/>
      <c r="D546" s="278"/>
      <c r="E546" s="278"/>
      <c r="F546" s="278"/>
      <c r="G546" s="278"/>
      <c r="H546" s="278"/>
    </row>
    <row r="547" spans="1:8" ht="16.5">
      <c r="A547" s="202" t="s">
        <v>796</v>
      </c>
      <c r="B547" s="193" t="s">
        <v>752</v>
      </c>
      <c r="C547" s="654" t="s">
        <v>753</v>
      </c>
      <c r="D547" s="690">
        <v>0.5</v>
      </c>
      <c r="E547" s="184">
        <v>0</v>
      </c>
      <c r="F547" s="607">
        <f>E547*D547</f>
        <v>0</v>
      </c>
      <c r="G547" s="654">
        <f>+G535</f>
        <v>25</v>
      </c>
      <c r="H547" s="606">
        <f>+F547*G547</f>
        <v>0</v>
      </c>
    </row>
    <row r="548" spans="1:8" ht="16.5">
      <c r="A548" s="202" t="s">
        <v>797</v>
      </c>
      <c r="B548" s="193" t="s">
        <v>755</v>
      </c>
      <c r="C548" s="654" t="s">
        <v>753</v>
      </c>
      <c r="D548" s="690">
        <v>0.5</v>
      </c>
      <c r="E548" s="184">
        <v>0</v>
      </c>
      <c r="F548" s="607">
        <f>E548*D548</f>
        <v>0</v>
      </c>
      <c r="G548" s="654">
        <f>+G547</f>
        <v>25</v>
      </c>
      <c r="H548" s="606">
        <f>+F548*G548</f>
        <v>0</v>
      </c>
    </row>
    <row r="549" spans="1:8" ht="16.5">
      <c r="A549" s="202"/>
      <c r="B549" s="681" t="s">
        <v>798</v>
      </c>
      <c r="C549" s="663"/>
      <c r="D549" s="686"/>
      <c r="E549" s="685">
        <f>SUM(E547:E548)</f>
        <v>0</v>
      </c>
      <c r="F549" s="754">
        <f>SUM(F547:F548)</f>
        <v>0</v>
      </c>
      <c r="G549" s="605"/>
      <c r="H549" s="604">
        <f>SUM(H547:H548)</f>
        <v>0</v>
      </c>
    </row>
    <row r="550" spans="1:8" ht="16.5">
      <c r="A550" s="202" t="s">
        <v>799</v>
      </c>
      <c r="B550" s="603" t="s">
        <v>304</v>
      </c>
      <c r="C550" s="602"/>
      <c r="D550" s="601"/>
      <c r="E550" s="600"/>
      <c r="F550" s="600"/>
      <c r="G550" s="599"/>
      <c r="H550" s="598"/>
    </row>
    <row r="551" spans="1:8" ht="16.5">
      <c r="A551" s="202" t="s">
        <v>800</v>
      </c>
      <c r="B551" s="597" t="s">
        <v>801</v>
      </c>
      <c r="C551" s="596" t="s">
        <v>802</v>
      </c>
      <c r="D551" s="626">
        <v>1</v>
      </c>
      <c r="E551" s="701">
        <v>0</v>
      </c>
      <c r="F551" s="634">
        <f>E551*D551</f>
        <v>0</v>
      </c>
      <c r="G551" s="595">
        <f>+G547</f>
        <v>25</v>
      </c>
      <c r="H551" s="598">
        <f>+F551*G551</f>
        <v>0</v>
      </c>
    </row>
    <row r="552" spans="1:8" ht="16.5">
      <c r="A552" s="202" t="s">
        <v>803</v>
      </c>
      <c r="B552" s="597" t="s">
        <v>804</v>
      </c>
      <c r="C552" s="596" t="s">
        <v>805</v>
      </c>
      <c r="D552" s="626">
        <v>1</v>
      </c>
      <c r="E552" s="701">
        <v>0</v>
      </c>
      <c r="F552" s="634">
        <f>E552*D552</f>
        <v>0</v>
      </c>
      <c r="G552" s="595">
        <f>+G551</f>
        <v>25</v>
      </c>
      <c r="H552" s="598">
        <f>+F552*G552</f>
        <v>0</v>
      </c>
    </row>
    <row r="553" spans="1:8" ht="16.5">
      <c r="A553" s="202" t="s">
        <v>806</v>
      </c>
      <c r="B553" s="597" t="s">
        <v>807</v>
      </c>
      <c r="C553" s="596" t="s">
        <v>808</v>
      </c>
      <c r="D553" s="626">
        <v>1</v>
      </c>
      <c r="E553" s="701">
        <v>0</v>
      </c>
      <c r="F553" s="634">
        <f>E553*D553</f>
        <v>0</v>
      </c>
      <c r="G553" s="595">
        <f>+G552</f>
        <v>25</v>
      </c>
      <c r="H553" s="598">
        <f>+F553*G553</f>
        <v>0</v>
      </c>
    </row>
    <row r="554" spans="1:8" ht="16.5">
      <c r="A554" s="202" t="s">
        <v>809</v>
      </c>
      <c r="B554" s="597" t="s">
        <v>810</v>
      </c>
      <c r="C554" s="688" t="s">
        <v>224</v>
      </c>
      <c r="D554" s="594">
        <f>1/5</f>
        <v>0.2</v>
      </c>
      <c r="E554" s="701">
        <v>0</v>
      </c>
      <c r="F554" s="634">
        <f>E554*D554</f>
        <v>0</v>
      </c>
      <c r="G554" s="595">
        <f>+G553</f>
        <v>25</v>
      </c>
      <c r="H554" s="598">
        <f>+F554*G554</f>
        <v>0</v>
      </c>
    </row>
    <row r="555" spans="1:8" ht="16.5">
      <c r="A555" s="202" t="s">
        <v>811</v>
      </c>
      <c r="B555" s="593" t="s">
        <v>812</v>
      </c>
      <c r="C555" s="592" t="s">
        <v>655</v>
      </c>
      <c r="D555" s="591">
        <v>0.5</v>
      </c>
      <c r="E555" s="590">
        <v>0</v>
      </c>
      <c r="F555" s="634">
        <f>E555*D555</f>
        <v>0</v>
      </c>
      <c r="G555" s="595">
        <f>+G554</f>
        <v>25</v>
      </c>
      <c r="H555" s="598">
        <f>+F555*G555</f>
        <v>0</v>
      </c>
    </row>
    <row r="556" spans="1:8" ht="16.5">
      <c r="A556" s="623"/>
      <c r="B556" s="589" t="s">
        <v>813</v>
      </c>
      <c r="C556" s="589"/>
      <c r="D556" s="588"/>
      <c r="E556" s="204">
        <f>SUM(E551:E555)</f>
        <v>0</v>
      </c>
      <c r="F556" s="620">
        <f>SUM(F551:F555)</f>
        <v>0</v>
      </c>
      <c r="G556" s="587"/>
      <c r="H556" s="204">
        <f>SUM(H551:H555)</f>
        <v>0</v>
      </c>
    </row>
    <row r="557" spans="1:8" ht="16.5">
      <c r="A557" s="734" t="s">
        <v>814</v>
      </c>
      <c r="B557" s="768" t="s">
        <v>815</v>
      </c>
      <c r="C557" s="158" t="s">
        <v>51</v>
      </c>
      <c r="D557" s="159" t="s">
        <v>52</v>
      </c>
      <c r="E557" s="188" t="s">
        <v>53</v>
      </c>
      <c r="F557" s="188" t="s">
        <v>54</v>
      </c>
      <c r="G557" s="189" t="s">
        <v>186</v>
      </c>
      <c r="H557" s="190" t="s">
        <v>248</v>
      </c>
    </row>
    <row r="558" spans="1:8" ht="16.5">
      <c r="A558" s="186" t="s">
        <v>816</v>
      </c>
      <c r="B558" s="1571" t="s">
        <v>817</v>
      </c>
      <c r="C558" s="1571"/>
      <c r="D558" s="1571"/>
      <c r="E558" s="1571"/>
      <c r="F558" s="620">
        <f>ROUND((5%*(F549)),4)</f>
        <v>0</v>
      </c>
      <c r="G558" s="618">
        <f>+G555</f>
        <v>25</v>
      </c>
      <c r="H558" s="204">
        <f>+F558*G558</f>
        <v>0</v>
      </c>
    </row>
    <row r="559" spans="1:8" ht="16.5">
      <c r="A559" s="186" t="s">
        <v>818</v>
      </c>
      <c r="B559" s="1571" t="s">
        <v>819</v>
      </c>
      <c r="C559" s="1571"/>
      <c r="D559" s="1571"/>
      <c r="E559" s="1571"/>
      <c r="F559" s="620">
        <f>ROUND((8%*(F556)),4)</f>
        <v>0</v>
      </c>
      <c r="G559" s="618">
        <f>+G558</f>
        <v>25</v>
      </c>
      <c r="H559" s="204">
        <f>+F559*G559</f>
        <v>0</v>
      </c>
    </row>
    <row r="560" spans="1:8" ht="16.5">
      <c r="A560" s="186"/>
      <c r="B560" s="765" t="s">
        <v>820</v>
      </c>
      <c r="C560" s="765" t="s">
        <v>243</v>
      </c>
      <c r="D560" s="764" t="s">
        <v>243</v>
      </c>
      <c r="E560" s="763" t="s">
        <v>243</v>
      </c>
      <c r="F560" s="620">
        <f>SUM(F558:F559)</f>
        <v>0</v>
      </c>
      <c r="G560" s="618">
        <f>+G559</f>
        <v>25</v>
      </c>
      <c r="H560" s="204">
        <f>+F560*G560</f>
        <v>0</v>
      </c>
    </row>
    <row r="561" spans="1:8" ht="16.5">
      <c r="A561" s="186"/>
      <c r="B561" s="1400" t="s">
        <v>821</v>
      </c>
      <c r="C561" s="1400"/>
      <c r="D561" s="1400"/>
      <c r="E561" s="729">
        <f>+E549+E556</f>
        <v>0</v>
      </c>
      <c r="F561" s="586">
        <f>+F549+F556</f>
        <v>0</v>
      </c>
      <c r="G561" s="618">
        <f>+G560</f>
        <v>25</v>
      </c>
      <c r="H561" s="204">
        <f>+F561*G561</f>
        <v>0</v>
      </c>
    </row>
    <row r="562" spans="1:8" ht="16.5">
      <c r="A562" s="186"/>
      <c r="B562" s="585" t="s">
        <v>822</v>
      </c>
      <c r="C562" s="584"/>
      <c r="D562" s="584"/>
      <c r="E562" s="583"/>
      <c r="F562" s="582">
        <f>+F560+F561</f>
        <v>0</v>
      </c>
      <c r="G562" s="618">
        <f>+G561</f>
        <v>25</v>
      </c>
      <c r="H562" s="204">
        <f>+F562*G562</f>
        <v>0</v>
      </c>
    </row>
    <row r="563" spans="1:8" ht="18">
      <c r="A563" s="186" t="s">
        <v>823</v>
      </c>
      <c r="B563" s="1401" t="s">
        <v>824</v>
      </c>
      <c r="C563" s="1401"/>
      <c r="D563" s="1401"/>
      <c r="E563" s="1401"/>
      <c r="F563" s="1401"/>
      <c r="G563" s="1401"/>
      <c r="H563" s="1401"/>
    </row>
    <row r="564" spans="1:8" ht="16.5">
      <c r="A564" s="734" t="s">
        <v>825</v>
      </c>
      <c r="B564" s="160" t="s">
        <v>50</v>
      </c>
      <c r="C564" s="158" t="s">
        <v>51</v>
      </c>
      <c r="D564" s="159" t="s">
        <v>52</v>
      </c>
      <c r="E564" s="188" t="s">
        <v>53</v>
      </c>
      <c r="F564" s="188" t="s">
        <v>54</v>
      </c>
      <c r="G564" s="189" t="s">
        <v>186</v>
      </c>
      <c r="H564" s="190" t="s">
        <v>248</v>
      </c>
    </row>
    <row r="565" spans="1:8" ht="16.5">
      <c r="A565" s="913" t="s">
        <v>826</v>
      </c>
      <c r="B565" s="608" t="s">
        <v>189</v>
      </c>
      <c r="C565" s="278"/>
      <c r="D565" s="278"/>
      <c r="E565" s="278"/>
      <c r="F565" s="278"/>
      <c r="G565" s="278"/>
      <c r="H565" s="278"/>
    </row>
    <row r="566" spans="1:8" ht="16.5">
      <c r="A566" s="679" t="s">
        <v>827</v>
      </c>
      <c r="B566" s="581" t="s">
        <v>828</v>
      </c>
      <c r="C566" s="654" t="s">
        <v>753</v>
      </c>
      <c r="D566" s="678">
        <v>2</v>
      </c>
      <c r="E566" s="184">
        <v>0</v>
      </c>
      <c r="F566" s="689">
        <f>E566*D566</f>
        <v>0</v>
      </c>
      <c r="G566" s="653">
        <f>+G551</f>
        <v>25</v>
      </c>
      <c r="H566" s="691">
        <f>+F566*G566</f>
        <v>0</v>
      </c>
    </row>
    <row r="567" spans="1:8" ht="16.5">
      <c r="A567" s="679" t="s">
        <v>829</v>
      </c>
      <c r="B567" s="581" t="s">
        <v>755</v>
      </c>
      <c r="C567" s="654" t="s">
        <v>753</v>
      </c>
      <c r="D567" s="678">
        <v>1</v>
      </c>
      <c r="E567" s="184">
        <v>0</v>
      </c>
      <c r="F567" s="689">
        <f>E567*D567</f>
        <v>0</v>
      </c>
      <c r="G567" s="653">
        <f>+G566</f>
        <v>25</v>
      </c>
      <c r="H567" s="691">
        <f>+F567*G567</f>
        <v>0</v>
      </c>
    </row>
    <row r="568" spans="1:8" ht="16.5">
      <c r="A568" s="580"/>
      <c r="B568" s="681" t="s">
        <v>830</v>
      </c>
      <c r="C568" s="663"/>
      <c r="D568" s="677">
        <f>SUM(D566:D567)</f>
        <v>3</v>
      </c>
      <c r="E568" s="684">
        <f>SUM(E566:E567)</f>
        <v>0</v>
      </c>
      <c r="F568" s="214">
        <f>SUM(F566:F567)</f>
        <v>0</v>
      </c>
      <c r="G568" s="579"/>
      <c r="H568" s="650">
        <f>SUM(H566:H567)</f>
        <v>0</v>
      </c>
    </row>
    <row r="569" spans="1:8" ht="16.5">
      <c r="A569" s="186" t="s">
        <v>831</v>
      </c>
      <c r="B569" s="630" t="s">
        <v>304</v>
      </c>
      <c r="C569" s="663"/>
      <c r="D569" s="677"/>
      <c r="E569" s="684"/>
      <c r="F569" s="578"/>
      <c r="G569" s="577"/>
      <c r="H569" s="650"/>
    </row>
    <row r="570" spans="1:8" ht="16.5">
      <c r="A570" s="186" t="s">
        <v>832</v>
      </c>
      <c r="B570" s="751" t="s">
        <v>833</v>
      </c>
      <c r="C570" s="703" t="s">
        <v>720</v>
      </c>
      <c r="D570" s="576">
        <v>3.3333333333333333E-2</v>
      </c>
      <c r="E570" s="184">
        <v>0</v>
      </c>
      <c r="F570" s="634">
        <f>+D570*E570</f>
        <v>0</v>
      </c>
      <c r="G570" s="624">
        <f>+G566</f>
        <v>25</v>
      </c>
      <c r="H570" s="745">
        <f>+F570*G570</f>
        <v>0</v>
      </c>
    </row>
    <row r="571" spans="1:8" ht="16.5">
      <c r="A571" s="186" t="s">
        <v>834</v>
      </c>
      <c r="B571" s="723" t="s">
        <v>835</v>
      </c>
      <c r="C571" s="715" t="s">
        <v>836</v>
      </c>
      <c r="D571" s="714">
        <v>1</v>
      </c>
      <c r="E571" s="184">
        <v>0</v>
      </c>
      <c r="F571" s="634">
        <f>+D571*E571</f>
        <v>0</v>
      </c>
      <c r="G571" s="624">
        <f>+G570</f>
        <v>25</v>
      </c>
      <c r="H571" s="745">
        <f>+F571*G571</f>
        <v>0</v>
      </c>
    </row>
    <row r="572" spans="1:8" ht="16.5">
      <c r="A572" s="186" t="s">
        <v>837</v>
      </c>
      <c r="B572" s="723" t="s">
        <v>838</v>
      </c>
      <c r="C572" s="709" t="s">
        <v>720</v>
      </c>
      <c r="D572" s="708">
        <v>1</v>
      </c>
      <c r="E572" s="184">
        <v>0</v>
      </c>
      <c r="F572" s="634">
        <f>+D572*E572</f>
        <v>0</v>
      </c>
      <c r="G572" s="624">
        <f>+G571</f>
        <v>25</v>
      </c>
      <c r="H572" s="745">
        <f>+F572*G572</f>
        <v>0</v>
      </c>
    </row>
    <row r="573" spans="1:8" ht="16.5">
      <c r="A573" s="186" t="s">
        <v>839</v>
      </c>
      <c r="B573" s="723" t="s">
        <v>840</v>
      </c>
      <c r="C573" s="709" t="s">
        <v>841</v>
      </c>
      <c r="D573" s="708">
        <v>4</v>
      </c>
      <c r="E573" s="184">
        <v>0</v>
      </c>
      <c r="F573" s="634">
        <f>+D573*E573</f>
        <v>0</v>
      </c>
      <c r="G573" s="624">
        <f>+G572</f>
        <v>25</v>
      </c>
      <c r="H573" s="745">
        <f>+F573*G573</f>
        <v>0</v>
      </c>
    </row>
    <row r="574" spans="1:8" ht="16.5">
      <c r="A574" s="186" t="s">
        <v>842</v>
      </c>
      <c r="B574" s="575" t="s">
        <v>843</v>
      </c>
      <c r="C574" s="592" t="s">
        <v>844</v>
      </c>
      <c r="D574" s="574">
        <v>1</v>
      </c>
      <c r="E574" s="184">
        <v>0</v>
      </c>
      <c r="F574" s="634">
        <f>+D574*E574</f>
        <v>0</v>
      </c>
      <c r="G574" s="573">
        <f>+G573</f>
        <v>25</v>
      </c>
      <c r="H574" s="745">
        <f>+F574*G574</f>
        <v>0</v>
      </c>
    </row>
    <row r="575" spans="1:8" ht="16.5">
      <c r="A575" s="572"/>
      <c r="B575" s="589" t="s">
        <v>845</v>
      </c>
      <c r="C575" s="589"/>
      <c r="D575" s="588"/>
      <c r="E575" s="204">
        <f>SUM(E570:E574)</f>
        <v>0</v>
      </c>
      <c r="F575" s="620">
        <f>SUM(F570:F574)</f>
        <v>0</v>
      </c>
      <c r="G575" s="571"/>
      <c r="H575" s="204">
        <f>SUM(H570:H574)</f>
        <v>0</v>
      </c>
    </row>
    <row r="576" spans="1:8" ht="16.5">
      <c r="A576" s="734" t="s">
        <v>846</v>
      </c>
      <c r="B576" s="768" t="s">
        <v>847</v>
      </c>
      <c r="C576" s="158" t="s">
        <v>51</v>
      </c>
      <c r="D576" s="159" t="s">
        <v>52</v>
      </c>
      <c r="E576" s="188" t="s">
        <v>53</v>
      </c>
      <c r="F576" s="188" t="s">
        <v>54</v>
      </c>
      <c r="G576" s="189" t="s">
        <v>186</v>
      </c>
      <c r="H576" s="190" t="s">
        <v>248</v>
      </c>
    </row>
    <row r="577" spans="1:8" ht="16.5">
      <c r="A577" s="186" t="s">
        <v>848</v>
      </c>
      <c r="B577" s="1571" t="s">
        <v>849</v>
      </c>
      <c r="C577" s="1571"/>
      <c r="D577" s="1571"/>
      <c r="E577" s="1571"/>
      <c r="F577" s="620">
        <f>ROUND((5%*(F568)),4)</f>
        <v>0</v>
      </c>
      <c r="G577" s="618">
        <f>+G574</f>
        <v>25</v>
      </c>
      <c r="H577" s="204">
        <f>+F577*G577</f>
        <v>0</v>
      </c>
    </row>
    <row r="578" spans="1:8" ht="16.5">
      <c r="A578" s="186" t="s">
        <v>850</v>
      </c>
      <c r="B578" s="1571" t="s">
        <v>851</v>
      </c>
      <c r="C578" s="1571"/>
      <c r="D578" s="1571"/>
      <c r="E578" s="1571"/>
      <c r="F578" s="620">
        <f>ROUND((8%*(F575)),4)</f>
        <v>0</v>
      </c>
      <c r="G578" s="618">
        <f>+G577</f>
        <v>25</v>
      </c>
      <c r="H578" s="204">
        <f>+F578*G578</f>
        <v>0</v>
      </c>
    </row>
    <row r="579" spans="1:8" ht="16.5">
      <c r="A579" s="186"/>
      <c r="B579" s="169" t="s">
        <v>852</v>
      </c>
      <c r="C579" s="765" t="s">
        <v>243</v>
      </c>
      <c r="D579" s="94" t="s">
        <v>243</v>
      </c>
      <c r="E579" s="170" t="s">
        <v>243</v>
      </c>
      <c r="F579" s="620">
        <f>SUM(F577:F578)</f>
        <v>0</v>
      </c>
      <c r="G579" s="618">
        <f>+G578</f>
        <v>25</v>
      </c>
      <c r="H579" s="204">
        <f>+F579*G579</f>
        <v>0</v>
      </c>
    </row>
    <row r="580" spans="1:8" ht="16.5">
      <c r="A580" s="186"/>
      <c r="B580" s="765" t="s">
        <v>853</v>
      </c>
      <c r="C580" s="570"/>
      <c r="D580" s="569"/>
      <c r="E580" s="568"/>
      <c r="F580" s="567">
        <f>+F568+F575</f>
        <v>0</v>
      </c>
      <c r="G580" s="618">
        <f>+G579</f>
        <v>25</v>
      </c>
      <c r="H580" s="204">
        <f>+F580*G580</f>
        <v>0</v>
      </c>
    </row>
    <row r="581" spans="1:8" ht="16.5">
      <c r="A581" s="186"/>
      <c r="B581" s="585" t="s">
        <v>854</v>
      </c>
      <c r="C581" s="570"/>
      <c r="D581" s="569"/>
      <c r="E581" s="568"/>
      <c r="F581" s="567">
        <f>+F579+F580</f>
        <v>0</v>
      </c>
      <c r="G581" s="618">
        <f>+G580</f>
        <v>25</v>
      </c>
      <c r="H581" s="204">
        <f>+F581*G581</f>
        <v>0</v>
      </c>
    </row>
    <row r="582" spans="1:8" ht="18">
      <c r="A582" s="186" t="s">
        <v>855</v>
      </c>
      <c r="B582" s="1401" t="s">
        <v>856</v>
      </c>
      <c r="C582" s="1401"/>
      <c r="D582" s="1401"/>
      <c r="E582" s="1401"/>
      <c r="F582" s="1401"/>
      <c r="G582" s="1401"/>
      <c r="H582" s="1401"/>
    </row>
    <row r="583" spans="1:8" ht="16.5">
      <c r="A583" s="157" t="s">
        <v>857</v>
      </c>
      <c r="B583" s="160" t="s">
        <v>50</v>
      </c>
      <c r="C583" s="158" t="s">
        <v>51</v>
      </c>
      <c r="D583" s="159" t="s">
        <v>52</v>
      </c>
      <c r="E583" s="188" t="s">
        <v>53</v>
      </c>
      <c r="F583" s="188" t="s">
        <v>54</v>
      </c>
      <c r="G583" s="189" t="s">
        <v>186</v>
      </c>
      <c r="H583" s="190" t="s">
        <v>248</v>
      </c>
    </row>
    <row r="584" spans="1:8" ht="16.5">
      <c r="A584" s="731" t="s">
        <v>858</v>
      </c>
      <c r="B584" s="566" t="s">
        <v>304</v>
      </c>
      <c r="C584" s="565"/>
      <c r="D584" s="564"/>
      <c r="E584" s="563" t="s">
        <v>241</v>
      </c>
      <c r="F584" s="562"/>
      <c r="G584" s="711"/>
      <c r="H584" s="745"/>
    </row>
    <row r="585" spans="1:8" ht="16.5">
      <c r="A585" s="731" t="s">
        <v>858</v>
      </c>
      <c r="B585" s="561" t="s">
        <v>859</v>
      </c>
      <c r="C585" s="560" t="s">
        <v>860</v>
      </c>
      <c r="D585" s="559">
        <v>1</v>
      </c>
      <c r="E585" s="558">
        <v>0</v>
      </c>
      <c r="F585" s="557">
        <f>E585*D585</f>
        <v>0</v>
      </c>
      <c r="G585" s="556">
        <f>+G574</f>
        <v>25</v>
      </c>
      <c r="H585" s="778">
        <f>+F585*G585</f>
        <v>0</v>
      </c>
    </row>
    <row r="586" spans="1:8" ht="16.5">
      <c r="A586" s="555"/>
      <c r="B586" s="589" t="s">
        <v>861</v>
      </c>
      <c r="C586" s="554"/>
      <c r="D586" s="553"/>
      <c r="E586" s="204">
        <f>SUM(E585)</f>
        <v>0</v>
      </c>
      <c r="F586" s="620">
        <f>F585</f>
        <v>0</v>
      </c>
      <c r="G586" s="552">
        <f>+G585</f>
        <v>25</v>
      </c>
      <c r="H586" s="204">
        <f>SUM(H585)</f>
        <v>0</v>
      </c>
    </row>
    <row r="587" spans="1:8" ht="18">
      <c r="A587" s="186" t="s">
        <v>862</v>
      </c>
      <c r="B587" s="1401" t="s">
        <v>863</v>
      </c>
      <c r="C587" s="1401"/>
      <c r="D587" s="1401"/>
      <c r="E587" s="1401"/>
      <c r="F587" s="1401"/>
      <c r="G587" s="1401"/>
      <c r="H587" s="1401"/>
    </row>
    <row r="588" spans="1:8" ht="16.5">
      <c r="A588" s="157" t="s">
        <v>864</v>
      </c>
      <c r="B588" s="160" t="s">
        <v>50</v>
      </c>
      <c r="C588" s="158" t="s">
        <v>51</v>
      </c>
      <c r="D588" s="159" t="s">
        <v>52</v>
      </c>
      <c r="E588" s="188" t="s">
        <v>53</v>
      </c>
      <c r="F588" s="188" t="s">
        <v>54</v>
      </c>
      <c r="G588" s="189" t="s">
        <v>186</v>
      </c>
      <c r="H588" s="190" t="s">
        <v>248</v>
      </c>
    </row>
    <row r="589" spans="1:8" ht="16.5">
      <c r="A589" s="202" t="s">
        <v>865</v>
      </c>
      <c r="B589" s="1408" t="s">
        <v>189</v>
      </c>
      <c r="C589" s="1408"/>
      <c r="D589" s="1408"/>
      <c r="E589" s="1408"/>
      <c r="F589" s="1408"/>
      <c r="G589" s="655"/>
      <c r="H589" s="691"/>
    </row>
    <row r="590" spans="1:8" ht="16.5">
      <c r="A590" s="202" t="s">
        <v>866</v>
      </c>
      <c r="B590" s="551" t="s">
        <v>867</v>
      </c>
      <c r="C590" s="551" t="s">
        <v>290</v>
      </c>
      <c r="D590" s="714">
        <v>1</v>
      </c>
      <c r="E590" s="184">
        <v>0</v>
      </c>
      <c r="F590" s="689">
        <f>+D590*E590</f>
        <v>0</v>
      </c>
      <c r="G590" s="653">
        <v>15</v>
      </c>
      <c r="H590" s="691">
        <f>+F590*G590</f>
        <v>0</v>
      </c>
    </row>
    <row r="591" spans="1:8" ht="16.5">
      <c r="A591" s="202" t="s">
        <v>868</v>
      </c>
      <c r="B591" s="551" t="s">
        <v>755</v>
      </c>
      <c r="C591" s="551" t="s">
        <v>290</v>
      </c>
      <c r="D591" s="714">
        <v>1</v>
      </c>
      <c r="E591" s="184">
        <v>0</v>
      </c>
      <c r="F591" s="689">
        <f>+D591*E591</f>
        <v>0</v>
      </c>
      <c r="G591" s="653">
        <f>+G590</f>
        <v>15</v>
      </c>
      <c r="H591" s="691">
        <f>+F591*G591</f>
        <v>0</v>
      </c>
    </row>
    <row r="592" spans="1:8" ht="16.5">
      <c r="A592" s="202" t="s">
        <v>869</v>
      </c>
      <c r="B592" s="551" t="s">
        <v>870</v>
      </c>
      <c r="C592" s="551" t="s">
        <v>290</v>
      </c>
      <c r="D592" s="714">
        <v>1</v>
      </c>
      <c r="E592" s="184">
        <v>0</v>
      </c>
      <c r="F592" s="689">
        <f>+D592*E592</f>
        <v>0</v>
      </c>
      <c r="G592" s="653">
        <f>+G591</f>
        <v>15</v>
      </c>
      <c r="H592" s="691">
        <f>+F592*G592</f>
        <v>0</v>
      </c>
    </row>
    <row r="593" spans="1:8" ht="16.5">
      <c r="A593" s="202" t="s">
        <v>871</v>
      </c>
      <c r="B593" s="551" t="s">
        <v>872</v>
      </c>
      <c r="C593" s="551" t="s">
        <v>290</v>
      </c>
      <c r="D593" s="714">
        <v>1</v>
      </c>
      <c r="E593" s="184">
        <v>0</v>
      </c>
      <c r="F593" s="689">
        <f>+D593*E593</f>
        <v>0</v>
      </c>
      <c r="G593" s="653">
        <f>+G592</f>
        <v>15</v>
      </c>
      <c r="H593" s="691">
        <f>+F593*G593</f>
        <v>0</v>
      </c>
    </row>
    <row r="594" spans="1:8" ht="16.5">
      <c r="A594" s="202"/>
      <c r="B594" s="550" t="s">
        <v>873</v>
      </c>
      <c r="C594" s="663"/>
      <c r="D594" s="714" t="s">
        <v>241</v>
      </c>
      <c r="E594" s="184" t="s">
        <v>241</v>
      </c>
      <c r="F594" s="214">
        <f>SUM(F590:F593)</f>
        <v>0</v>
      </c>
      <c r="G594" s="653">
        <f>+G593</f>
        <v>15</v>
      </c>
      <c r="H594" s="650">
        <f>SUM(H590:H593)</f>
        <v>0</v>
      </c>
    </row>
    <row r="595" spans="1:8" ht="16.5">
      <c r="A595" s="168" t="s">
        <v>874</v>
      </c>
      <c r="B595" s="211" t="s">
        <v>304</v>
      </c>
      <c r="C595" s="93"/>
      <c r="D595" s="91"/>
      <c r="E595" s="183"/>
      <c r="F595" s="206"/>
      <c r="G595" s="92"/>
      <c r="H595" s="191"/>
    </row>
    <row r="596" spans="1:8" ht="16.5">
      <c r="A596" s="168" t="s">
        <v>875</v>
      </c>
      <c r="B596" s="209" t="s">
        <v>876</v>
      </c>
      <c r="C596" s="209" t="s">
        <v>720</v>
      </c>
      <c r="D596" s="209">
        <v>20</v>
      </c>
      <c r="E596" s="181">
        <v>0</v>
      </c>
      <c r="F596" s="182">
        <f t="shared" ref="F596:F602" si="59">+D596*E596</f>
        <v>0</v>
      </c>
      <c r="G596" s="86">
        <f>+G594</f>
        <v>15</v>
      </c>
      <c r="H596" s="191">
        <f>+F596*G596</f>
        <v>0</v>
      </c>
    </row>
    <row r="597" spans="1:8" ht="16.5">
      <c r="A597" s="168" t="s">
        <v>877</v>
      </c>
      <c r="B597" s="209" t="s">
        <v>878</v>
      </c>
      <c r="C597" s="209" t="s">
        <v>879</v>
      </c>
      <c r="D597" s="209">
        <v>2</v>
      </c>
      <c r="E597" s="181">
        <v>0</v>
      </c>
      <c r="F597" s="182">
        <f t="shared" si="59"/>
        <v>0</v>
      </c>
      <c r="G597" s="86">
        <f t="shared" ref="G597:G603" si="60">+G596</f>
        <v>15</v>
      </c>
      <c r="H597" s="191">
        <f t="shared" ref="H597:H600" si="61">+F597*G597</f>
        <v>0</v>
      </c>
    </row>
    <row r="598" spans="1:8" ht="16.5">
      <c r="A598" s="168" t="s">
        <v>880</v>
      </c>
      <c r="B598" s="209" t="s">
        <v>881</v>
      </c>
      <c r="C598" s="209" t="s">
        <v>882</v>
      </c>
      <c r="D598" s="209">
        <v>10</v>
      </c>
      <c r="E598" s="181">
        <v>0</v>
      </c>
      <c r="F598" s="182">
        <f t="shared" si="59"/>
        <v>0</v>
      </c>
      <c r="G598" s="86">
        <f t="shared" si="60"/>
        <v>15</v>
      </c>
      <c r="H598" s="191">
        <f t="shared" si="61"/>
        <v>0</v>
      </c>
    </row>
    <row r="599" spans="1:8" ht="16.5">
      <c r="A599" s="168" t="s">
        <v>883</v>
      </c>
      <c r="B599" s="209" t="s">
        <v>884</v>
      </c>
      <c r="C599" s="209" t="s">
        <v>720</v>
      </c>
      <c r="D599" s="209">
        <v>0.5</v>
      </c>
      <c r="E599" s="181">
        <v>0</v>
      </c>
      <c r="F599" s="182">
        <f t="shared" si="59"/>
        <v>0</v>
      </c>
      <c r="G599" s="86">
        <f t="shared" si="60"/>
        <v>15</v>
      </c>
      <c r="H599" s="191">
        <f t="shared" si="61"/>
        <v>0</v>
      </c>
    </row>
    <row r="600" spans="1:8" ht="16.5">
      <c r="A600" s="168" t="s">
        <v>885</v>
      </c>
      <c r="B600" s="209" t="s">
        <v>886</v>
      </c>
      <c r="C600" s="209" t="s">
        <v>879</v>
      </c>
      <c r="D600" s="209">
        <v>30</v>
      </c>
      <c r="E600" s="181">
        <v>0</v>
      </c>
      <c r="F600" s="182">
        <f t="shared" si="59"/>
        <v>0</v>
      </c>
      <c r="G600" s="86">
        <f t="shared" si="60"/>
        <v>15</v>
      </c>
      <c r="H600" s="191">
        <f t="shared" si="61"/>
        <v>0</v>
      </c>
    </row>
    <row r="601" spans="1:8" ht="16.5">
      <c r="A601" s="168" t="s">
        <v>887</v>
      </c>
      <c r="B601" s="209" t="s">
        <v>888</v>
      </c>
      <c r="C601" s="209" t="s">
        <v>889</v>
      </c>
      <c r="D601" s="209">
        <v>7</v>
      </c>
      <c r="E601" s="181">
        <v>0</v>
      </c>
      <c r="F601" s="182">
        <f t="shared" si="59"/>
        <v>0</v>
      </c>
      <c r="G601" s="86">
        <f t="shared" si="60"/>
        <v>15</v>
      </c>
      <c r="H601" s="191">
        <f>+F601*G601</f>
        <v>0</v>
      </c>
    </row>
    <row r="602" spans="1:8" ht="16.5">
      <c r="A602" s="168" t="s">
        <v>890</v>
      </c>
      <c r="B602" s="209" t="s">
        <v>891</v>
      </c>
      <c r="C602" s="209" t="s">
        <v>889</v>
      </c>
      <c r="D602" s="209">
        <v>4</v>
      </c>
      <c r="E602" s="181">
        <v>0</v>
      </c>
      <c r="F602" s="182">
        <f t="shared" si="59"/>
        <v>0</v>
      </c>
      <c r="G602" s="86">
        <f t="shared" si="60"/>
        <v>15</v>
      </c>
      <c r="H602" s="191">
        <f>+F602*G602</f>
        <v>0</v>
      </c>
    </row>
    <row r="603" spans="1:8" ht="16.5">
      <c r="A603" s="168"/>
      <c r="B603" s="210" t="s">
        <v>892</v>
      </c>
      <c r="C603" s="212" t="s">
        <v>241</v>
      </c>
      <c r="D603" s="213" t="s">
        <v>241</v>
      </c>
      <c r="E603" s="192">
        <f>SUM(E596:E602)</f>
        <v>0</v>
      </c>
      <c r="F603" s="214">
        <f>SUM(F596:F602)</f>
        <v>0</v>
      </c>
      <c r="G603" s="86">
        <f t="shared" si="60"/>
        <v>15</v>
      </c>
      <c r="H603" s="179">
        <f>SUM(H596:H602)</f>
        <v>0</v>
      </c>
    </row>
    <row r="604" spans="1:8" ht="16.5">
      <c r="A604" s="175" t="s">
        <v>893</v>
      </c>
      <c r="B604" s="167" t="s">
        <v>894</v>
      </c>
      <c r="C604" s="95" t="s">
        <v>51</v>
      </c>
      <c r="D604" s="96" t="s">
        <v>52</v>
      </c>
      <c r="E604" s="164" t="s">
        <v>53</v>
      </c>
      <c r="F604" s="164" t="s">
        <v>54</v>
      </c>
      <c r="G604" s="163" t="s">
        <v>186</v>
      </c>
      <c r="H604" s="165" t="s">
        <v>248</v>
      </c>
    </row>
    <row r="605" spans="1:8" ht="16.5">
      <c r="A605" s="215" t="s">
        <v>895</v>
      </c>
      <c r="B605" s="1573" t="s">
        <v>896</v>
      </c>
      <c r="C605" s="1573"/>
      <c r="D605" s="1573"/>
      <c r="E605" s="1573"/>
      <c r="F605" s="182">
        <f>ROUND((5%*(F594)),4)</f>
        <v>0</v>
      </c>
      <c r="G605" s="86">
        <f>+G603</f>
        <v>15</v>
      </c>
      <c r="H605" s="90">
        <f>+F605*G605</f>
        <v>0</v>
      </c>
    </row>
    <row r="606" spans="1:8" ht="16.5">
      <c r="A606" s="215" t="s">
        <v>897</v>
      </c>
      <c r="B606" s="1573" t="s">
        <v>898</v>
      </c>
      <c r="C606" s="1573"/>
      <c r="D606" s="1573"/>
      <c r="E606" s="1573"/>
      <c r="F606" s="216">
        <f>ROUND((8%*(F603)),4)</f>
        <v>0</v>
      </c>
      <c r="G606" s="86">
        <f>+G605</f>
        <v>15</v>
      </c>
      <c r="H606" s="90">
        <f>+F606*G606</f>
        <v>0</v>
      </c>
    </row>
    <row r="607" spans="1:8" ht="16.5">
      <c r="A607" s="215"/>
      <c r="B607" s="169" t="s">
        <v>899</v>
      </c>
      <c r="C607" s="169" t="s">
        <v>243</v>
      </c>
      <c r="D607" s="94" t="s">
        <v>243</v>
      </c>
      <c r="E607" s="217" t="s">
        <v>243</v>
      </c>
      <c r="F607" s="192">
        <f>SUM(F605:F606)</f>
        <v>0</v>
      </c>
      <c r="G607" s="161">
        <f>+G606</f>
        <v>15</v>
      </c>
      <c r="H607" s="90">
        <f>+F607*G607</f>
        <v>0</v>
      </c>
    </row>
    <row r="608" spans="1:8" ht="16.5">
      <c r="A608" s="215"/>
      <c r="B608" s="169" t="s">
        <v>900</v>
      </c>
      <c r="C608" s="207"/>
      <c r="D608" s="152"/>
      <c r="E608" s="208"/>
      <c r="F608" s="218">
        <f>+F594+F603</f>
        <v>0</v>
      </c>
      <c r="G608" s="86">
        <f>+G607</f>
        <v>15</v>
      </c>
      <c r="H608" s="90">
        <f>+F608*G608</f>
        <v>0</v>
      </c>
    </row>
    <row r="609" spans="1:8" ht="16.5">
      <c r="A609" s="215"/>
      <c r="B609" s="205" t="s">
        <v>901</v>
      </c>
      <c r="C609" s="207"/>
      <c r="D609" s="152"/>
      <c r="E609" s="208"/>
      <c r="F609" s="182">
        <f>+F607+F608</f>
        <v>0</v>
      </c>
      <c r="G609" s="86">
        <f>+G608</f>
        <v>15</v>
      </c>
      <c r="H609" s="90">
        <f>+F609*G609</f>
        <v>0</v>
      </c>
    </row>
    <row r="610" spans="1:8" ht="18">
      <c r="A610" s="186" t="s">
        <v>902</v>
      </c>
      <c r="B610" s="1401" t="s">
        <v>903</v>
      </c>
      <c r="C610" s="1401"/>
      <c r="D610" s="1401"/>
      <c r="E610" s="1401"/>
      <c r="F610" s="1401"/>
      <c r="G610" s="1401"/>
      <c r="H610" s="1401"/>
    </row>
    <row r="611" spans="1:8" ht="16.5">
      <c r="A611" s="80" t="s">
        <v>904</v>
      </c>
      <c r="B611" s="153" t="s">
        <v>50</v>
      </c>
      <c r="C611" s="95" t="s">
        <v>51</v>
      </c>
      <c r="D611" s="96" t="s">
        <v>52</v>
      </c>
      <c r="E611" s="164" t="s">
        <v>53</v>
      </c>
      <c r="F611" s="164" t="s">
        <v>54</v>
      </c>
      <c r="G611" s="163" t="s">
        <v>186</v>
      </c>
      <c r="H611" s="165" t="s">
        <v>248</v>
      </c>
    </row>
    <row r="612" spans="1:8" ht="16.5">
      <c r="A612" s="177" t="s">
        <v>905</v>
      </c>
      <c r="B612" s="1404" t="s">
        <v>189</v>
      </c>
      <c r="C612" s="1404"/>
      <c r="D612" s="1404"/>
      <c r="E612" s="1404"/>
      <c r="F612" s="1404"/>
      <c r="G612" s="86"/>
      <c r="H612" s="180"/>
    </row>
    <row r="613" spans="1:8" ht="16.5">
      <c r="A613" s="177" t="s">
        <v>905</v>
      </c>
      <c r="B613" s="166" t="s">
        <v>867</v>
      </c>
      <c r="C613" s="178" t="s">
        <v>290</v>
      </c>
      <c r="D613" s="166">
        <v>1</v>
      </c>
      <c r="E613" s="181">
        <v>0</v>
      </c>
      <c r="F613" s="182">
        <f>E613*D613</f>
        <v>0</v>
      </c>
      <c r="G613" s="86">
        <v>16</v>
      </c>
      <c r="H613" s="180">
        <f>+F613*G613</f>
        <v>0</v>
      </c>
    </row>
    <row r="614" spans="1:8" ht="16.5">
      <c r="A614" s="177" t="s">
        <v>906</v>
      </c>
      <c r="B614" s="166" t="s">
        <v>870</v>
      </c>
      <c r="C614" s="178" t="s">
        <v>290</v>
      </c>
      <c r="D614" s="166">
        <v>1</v>
      </c>
      <c r="E614" s="181">
        <v>0</v>
      </c>
      <c r="F614" s="182">
        <f t="shared" ref="F614:F616" si="62">E614*D614</f>
        <v>0</v>
      </c>
      <c r="G614" s="86">
        <f>+G613</f>
        <v>16</v>
      </c>
      <c r="H614" s="180">
        <f t="shared" ref="H614:H616" si="63">+F614*G614</f>
        <v>0</v>
      </c>
    </row>
    <row r="615" spans="1:8" ht="16.5">
      <c r="A615" s="177" t="s">
        <v>907</v>
      </c>
      <c r="B615" s="166" t="s">
        <v>755</v>
      </c>
      <c r="C615" s="178" t="s">
        <v>290</v>
      </c>
      <c r="D615" s="166">
        <v>1</v>
      </c>
      <c r="E615" s="181">
        <v>0</v>
      </c>
      <c r="F615" s="182">
        <f t="shared" si="62"/>
        <v>0</v>
      </c>
      <c r="G615" s="86">
        <f>+G614</f>
        <v>16</v>
      </c>
      <c r="H615" s="180">
        <f t="shared" si="63"/>
        <v>0</v>
      </c>
    </row>
    <row r="616" spans="1:8" ht="16.5">
      <c r="A616" s="177" t="s">
        <v>908</v>
      </c>
      <c r="B616" s="166" t="s">
        <v>872</v>
      </c>
      <c r="C616" s="178" t="s">
        <v>290</v>
      </c>
      <c r="D616" s="166">
        <v>1</v>
      </c>
      <c r="E616" s="181">
        <v>0</v>
      </c>
      <c r="F616" s="182">
        <f t="shared" si="62"/>
        <v>0</v>
      </c>
      <c r="G616" s="86">
        <f>+G615</f>
        <v>16</v>
      </c>
      <c r="H616" s="180">
        <f t="shared" si="63"/>
        <v>0</v>
      </c>
    </row>
    <row r="617" spans="1:8" ht="16.5">
      <c r="A617" s="177"/>
      <c r="B617" s="210" t="s">
        <v>909</v>
      </c>
      <c r="C617" s="85"/>
      <c r="D617" s="91"/>
      <c r="E617" s="185">
        <f>SUM(E613:E616)</f>
        <v>0</v>
      </c>
      <c r="F617" s="185">
        <f>SUM(F613:F616)</f>
        <v>0</v>
      </c>
      <c r="G617" s="89"/>
      <c r="H617" s="191">
        <f>SUM(H613:H616)</f>
        <v>0</v>
      </c>
    </row>
    <row r="618" spans="1:8" ht="16.5">
      <c r="A618" s="168" t="s">
        <v>906</v>
      </c>
      <c r="B618" s="211" t="s">
        <v>304</v>
      </c>
      <c r="C618" s="93"/>
      <c r="D618" s="91"/>
      <c r="E618" s="183"/>
      <c r="F618" s="185"/>
      <c r="G618" s="92"/>
      <c r="H618" s="191"/>
    </row>
    <row r="619" spans="1:8" ht="16.5">
      <c r="A619" s="168" t="s">
        <v>910</v>
      </c>
      <c r="B619" s="166" t="s">
        <v>911</v>
      </c>
      <c r="C619" s="212" t="s">
        <v>912</v>
      </c>
      <c r="D619" s="213">
        <v>20</v>
      </c>
      <c r="E619" s="181">
        <v>0</v>
      </c>
      <c r="F619" s="192">
        <f>E619*D619</f>
        <v>0</v>
      </c>
      <c r="G619" s="203">
        <f>+G614</f>
        <v>16</v>
      </c>
      <c r="H619" s="174">
        <f>+F619*G619</f>
        <v>0</v>
      </c>
    </row>
    <row r="620" spans="1:8" ht="16.5">
      <c r="A620" s="168" t="s">
        <v>913</v>
      </c>
      <c r="B620" s="166" t="s">
        <v>884</v>
      </c>
      <c r="C620" s="212" t="s">
        <v>912</v>
      </c>
      <c r="D620" s="166">
        <v>0.5</v>
      </c>
      <c r="E620" s="219">
        <v>0</v>
      </c>
      <c r="F620" s="192">
        <f t="shared" ref="F620:F621" si="64">E620*D620</f>
        <v>0</v>
      </c>
      <c r="G620" s="203">
        <f t="shared" ref="G620" si="65">+G615</f>
        <v>16</v>
      </c>
      <c r="H620" s="174">
        <f t="shared" ref="H620:H621" si="66">+F620*G620</f>
        <v>0</v>
      </c>
    </row>
    <row r="621" spans="1:8" ht="16.5">
      <c r="A621" s="168" t="s">
        <v>914</v>
      </c>
      <c r="B621" s="166" t="s">
        <v>886</v>
      </c>
      <c r="C621" s="212" t="s">
        <v>912</v>
      </c>
      <c r="D621" s="166">
        <v>30</v>
      </c>
      <c r="E621" s="219">
        <v>0</v>
      </c>
      <c r="F621" s="192">
        <f t="shared" si="64"/>
        <v>0</v>
      </c>
      <c r="G621" s="203">
        <f>+G616</f>
        <v>16</v>
      </c>
      <c r="H621" s="174">
        <f t="shared" si="66"/>
        <v>0</v>
      </c>
    </row>
    <row r="622" spans="1:8" ht="16.5">
      <c r="A622" s="168" t="s">
        <v>915</v>
      </c>
      <c r="B622" s="166" t="s">
        <v>916</v>
      </c>
      <c r="C622" s="212" t="s">
        <v>889</v>
      </c>
      <c r="D622" s="166">
        <v>4</v>
      </c>
      <c r="E622" s="219">
        <v>0</v>
      </c>
      <c r="F622" s="182">
        <f>+D622*E622</f>
        <v>0</v>
      </c>
      <c r="G622" s="203">
        <f>+G621</f>
        <v>16</v>
      </c>
      <c r="H622" s="174">
        <f>+F622*G622</f>
        <v>0</v>
      </c>
    </row>
    <row r="623" spans="1:8" ht="16.5">
      <c r="A623" s="177"/>
      <c r="B623" s="210" t="s">
        <v>917</v>
      </c>
      <c r="C623" s="85"/>
      <c r="D623" s="91"/>
      <c r="E623" s="185">
        <f>SUM(E619:E622)</f>
        <v>0</v>
      </c>
      <c r="F623" s="185">
        <f>SUM(F619:F622)</f>
        <v>0</v>
      </c>
      <c r="G623" s="203">
        <f>+G622</f>
        <v>16</v>
      </c>
      <c r="H623" s="90">
        <f>SUM(H619:H622)</f>
        <v>0</v>
      </c>
    </row>
    <row r="624" spans="1:8" ht="16.5">
      <c r="A624" s="177" t="s">
        <v>907</v>
      </c>
      <c r="B624" s="220" t="s">
        <v>918</v>
      </c>
      <c r="C624" s="95" t="s">
        <v>51</v>
      </c>
      <c r="D624" s="96" t="s">
        <v>52</v>
      </c>
      <c r="E624" s="164" t="s">
        <v>53</v>
      </c>
      <c r="F624" s="164" t="s">
        <v>54</v>
      </c>
      <c r="G624" s="163" t="s">
        <v>186</v>
      </c>
      <c r="H624" s="165" t="s">
        <v>248</v>
      </c>
    </row>
    <row r="625" spans="1:8" ht="16.5">
      <c r="A625" s="177" t="s">
        <v>919</v>
      </c>
      <c r="B625" s="1573" t="s">
        <v>920</v>
      </c>
      <c r="C625" s="1573"/>
      <c r="D625" s="1573"/>
      <c r="E625" s="1573"/>
      <c r="F625" s="182">
        <f>ROUND((5%*(F617)),4)</f>
        <v>0</v>
      </c>
      <c r="G625" s="86">
        <f>+G613</f>
        <v>16</v>
      </c>
      <c r="H625" s="90">
        <f>+F625*G625</f>
        <v>0</v>
      </c>
    </row>
    <row r="626" spans="1:8" ht="16.5">
      <c r="A626" s="177" t="s">
        <v>921</v>
      </c>
      <c r="B626" s="1573" t="s">
        <v>922</v>
      </c>
      <c r="C626" s="1573"/>
      <c r="D626" s="1573"/>
      <c r="E626" s="1573"/>
      <c r="F626" s="182">
        <f>ROUND((8%*(F623)),4)</f>
        <v>0</v>
      </c>
      <c r="G626" s="86">
        <f>+G625</f>
        <v>16</v>
      </c>
      <c r="H626" s="90">
        <f>+F626*G626</f>
        <v>0</v>
      </c>
    </row>
    <row r="627" spans="1:8" ht="16.5">
      <c r="A627" s="177"/>
      <c r="B627" s="169" t="s">
        <v>923</v>
      </c>
      <c r="C627" s="169" t="s">
        <v>243</v>
      </c>
      <c r="D627" s="94" t="s">
        <v>243</v>
      </c>
      <c r="E627" s="170" t="s">
        <v>243</v>
      </c>
      <c r="F627" s="182">
        <f>SUM(F625:F626)</f>
        <v>0</v>
      </c>
      <c r="G627" s="86">
        <f>+G626</f>
        <v>16</v>
      </c>
      <c r="H627" s="90">
        <f>+F627*G627</f>
        <v>0</v>
      </c>
    </row>
    <row r="628" spans="1:8" ht="16.5">
      <c r="A628" s="177"/>
      <c r="B628" s="878" t="s">
        <v>924</v>
      </c>
      <c r="C628" s="207"/>
      <c r="D628" s="152"/>
      <c r="E628" s="208"/>
      <c r="F628" s="182">
        <f>+F617+F623</f>
        <v>0</v>
      </c>
      <c r="G628" s="86">
        <f>+G627</f>
        <v>16</v>
      </c>
      <c r="H628" s="90">
        <f>+F628*G628</f>
        <v>0</v>
      </c>
    </row>
    <row r="629" spans="1:8" ht="16.5">
      <c r="A629" s="168"/>
      <c r="B629" s="883" t="s">
        <v>925</v>
      </c>
      <c r="C629" s="880"/>
      <c r="D629" s="881"/>
      <c r="E629" s="882"/>
      <c r="F629" s="876">
        <f>+F627+F628</f>
        <v>0</v>
      </c>
      <c r="G629" s="86">
        <f>+G628</f>
        <v>16</v>
      </c>
      <c r="H629" s="90">
        <f>+F629*G629</f>
        <v>0</v>
      </c>
    </row>
    <row r="630" spans="1:8" ht="16.5">
      <c r="A630" s="914"/>
      <c r="B630" s="162"/>
      <c r="C630" s="162"/>
      <c r="D630" s="162"/>
      <c r="E630" s="162"/>
      <c r="F630" s="162"/>
      <c r="G630" s="162"/>
      <c r="H630" s="162"/>
    </row>
    <row r="631" spans="1:8" ht="16.5">
      <c r="A631" s="1397" t="s">
        <v>926</v>
      </c>
      <c r="B631" s="1398"/>
      <c r="C631" s="1398"/>
      <c r="D631" s="1398"/>
      <c r="E631" s="1399"/>
      <c r="F631" s="871">
        <f>+F376+F386+F400+F426+F448+F466+F495+F508+F519+F542+F562+F581+F586+F609+F629</f>
        <v>0</v>
      </c>
      <c r="G631" s="871" t="s">
        <v>241</v>
      </c>
      <c r="H631" s="871">
        <f>+H376+H386+H400+H426+H448+H466+H495+H508+H519+H542+H562+H581+H586+H609+H629</f>
        <v>0</v>
      </c>
    </row>
    <row r="634" spans="1:8" s="278" customFormat="1" ht="27">
      <c r="A634" s="1405" t="s">
        <v>927</v>
      </c>
      <c r="B634" s="1405"/>
      <c r="C634" s="1405"/>
    </row>
    <row r="635" spans="1:8" s="278" customFormat="1" ht="16.5">
      <c r="A635" s="912"/>
    </row>
    <row r="636" spans="1:8" s="278" customFormat="1" ht="16.5">
      <c r="A636" s="789" t="s">
        <v>470</v>
      </c>
      <c r="B636" s="789" t="s">
        <v>928</v>
      </c>
      <c r="C636" s="850" t="s">
        <v>929</v>
      </c>
    </row>
    <row r="637" spans="1:8" s="278" customFormat="1" ht="16.5">
      <c r="A637" s="874" t="s">
        <v>930</v>
      </c>
      <c r="B637" s="851" t="s">
        <v>931</v>
      </c>
      <c r="C637" s="862">
        <f>+H26</f>
        <v>0</v>
      </c>
    </row>
    <row r="638" spans="1:8" s="278" customFormat="1" ht="16.5">
      <c r="A638" s="874" t="s">
        <v>932</v>
      </c>
      <c r="B638" s="852" t="s">
        <v>933</v>
      </c>
      <c r="C638" s="862">
        <f>+G126</f>
        <v>0</v>
      </c>
    </row>
    <row r="639" spans="1:8" s="278" customFormat="1" ht="16.5">
      <c r="A639" s="874"/>
      <c r="B639" s="853" t="s">
        <v>934</v>
      </c>
      <c r="C639" s="862">
        <f>+(C638+C637)*19%</f>
        <v>0</v>
      </c>
    </row>
    <row r="640" spans="1:8" s="278" customFormat="1" ht="16.5">
      <c r="A640" s="1406" t="s">
        <v>935</v>
      </c>
      <c r="B640" s="1406"/>
      <c r="C640" s="863">
        <f>+C639+C638+C637</f>
        <v>0</v>
      </c>
    </row>
    <row r="641" spans="1:7" s="278" customFormat="1" ht="16.5">
      <c r="A641" s="912"/>
      <c r="C641" s="864"/>
    </row>
    <row r="642" spans="1:7" s="278" customFormat="1" ht="16.5">
      <c r="A642" s="874" t="s">
        <v>936</v>
      </c>
      <c r="B642" s="852" t="s">
        <v>937</v>
      </c>
      <c r="C642" s="862">
        <f>+H363</f>
        <v>0</v>
      </c>
      <c r="D642" s="258"/>
    </row>
    <row r="643" spans="1:7" s="278" customFormat="1" ht="16.5">
      <c r="A643" s="874" t="s">
        <v>938</v>
      </c>
      <c r="B643" s="854" t="s">
        <v>30</v>
      </c>
      <c r="C643" s="862">
        <f>+H631</f>
        <v>0</v>
      </c>
    </row>
    <row r="644" spans="1:7" s="278" customFormat="1" ht="16.5">
      <c r="A644" s="1407" t="s">
        <v>939</v>
      </c>
      <c r="B644" s="1407"/>
      <c r="C644" s="865">
        <f>+C643+C642</f>
        <v>0</v>
      </c>
    </row>
    <row r="645" spans="1:7" s="278" customFormat="1" ht="16.5">
      <c r="A645" s="968">
        <v>0.30059414787135613</v>
      </c>
      <c r="B645" s="855" t="s">
        <v>940</v>
      </c>
      <c r="C645" s="866">
        <f>A645*C644</f>
        <v>0</v>
      </c>
      <c r="D645" s="812"/>
    </row>
    <row r="646" spans="1:7" s="278" customFormat="1" ht="16.5">
      <c r="A646" s="968">
        <v>0.03</v>
      </c>
      <c r="B646" s="855" t="s">
        <v>941</v>
      </c>
      <c r="C646" s="866">
        <f>+C644*A646</f>
        <v>0</v>
      </c>
      <c r="D646" s="812"/>
    </row>
    <row r="647" spans="1:7" s="278" customFormat="1" ht="16.5">
      <c r="A647" s="968">
        <v>0.03</v>
      </c>
      <c r="B647" s="855" t="s">
        <v>942</v>
      </c>
      <c r="C647" s="866">
        <f>+C644*A647</f>
        <v>0</v>
      </c>
      <c r="D647" s="812"/>
    </row>
    <row r="648" spans="1:7" s="278" customFormat="1" ht="16.5">
      <c r="A648" s="1403" t="s">
        <v>943</v>
      </c>
      <c r="B648" s="1403"/>
      <c r="C648" s="868">
        <f>+C647+C646+C645+C644</f>
        <v>0</v>
      </c>
      <c r="D648" s="812"/>
    </row>
    <row r="649" spans="1:7" s="278" customFormat="1" ht="16.5">
      <c r="A649" s="915"/>
      <c r="B649" s="875" t="s">
        <v>944</v>
      </c>
      <c r="C649" s="867">
        <f>+C647*19%</f>
        <v>0</v>
      </c>
    </row>
    <row r="650" spans="1:7" s="278" customFormat="1" ht="16.5">
      <c r="A650" s="1403" t="s">
        <v>945</v>
      </c>
      <c r="B650" s="1403"/>
      <c r="C650" s="869">
        <f>+C649+C648+C640</f>
        <v>0</v>
      </c>
    </row>
    <row r="651" spans="1:7" s="278" customFormat="1" ht="16.5">
      <c r="A651" s="916"/>
      <c r="B651" s="856"/>
      <c r="C651" s="856"/>
    </row>
    <row r="654" spans="1:7" ht="39.75" customHeight="1">
      <c r="A654" s="1481" t="s">
        <v>946</v>
      </c>
      <c r="B654" s="1481"/>
      <c r="C654" s="1481"/>
      <c r="D654" s="1481"/>
      <c r="E654" s="1481"/>
      <c r="F654" s="1481"/>
      <c r="G654" s="1481"/>
    </row>
    <row r="655" spans="1:7">
      <c r="A655" s="839"/>
      <c r="B655" s="839"/>
      <c r="C655" s="839"/>
      <c r="D655" s="839"/>
      <c r="E655" s="839"/>
      <c r="F655" s="839"/>
      <c r="G655" s="839"/>
    </row>
    <row r="656" spans="1:7" ht="34.5" customHeight="1">
      <c r="A656" s="1481" t="s">
        <v>947</v>
      </c>
      <c r="B656" s="1481"/>
      <c r="C656" s="1481"/>
      <c r="D656" s="1481"/>
      <c r="E656" s="1481"/>
      <c r="F656" s="1481"/>
      <c r="G656" s="1481"/>
    </row>
    <row r="657" spans="1:7">
      <c r="A657" s="839"/>
      <c r="B657" s="839"/>
      <c r="C657" s="839"/>
      <c r="D657" s="839"/>
      <c r="E657" s="839"/>
      <c r="F657" s="839"/>
      <c r="G657" s="839"/>
    </row>
    <row r="658" spans="1:7" ht="18" customHeight="1">
      <c r="A658" s="1482" t="s">
        <v>948</v>
      </c>
      <c r="B658" s="1482"/>
      <c r="C658" s="1482"/>
      <c r="D658" s="1482"/>
      <c r="E658" s="1482"/>
      <c r="F658" s="1482"/>
      <c r="G658" s="1482"/>
    </row>
    <row r="659" spans="1:7">
      <c r="A659" s="839"/>
      <c r="B659" s="839"/>
      <c r="C659" s="839"/>
      <c r="D659" s="839"/>
      <c r="E659" s="839"/>
      <c r="F659" s="839"/>
      <c r="G659" s="839"/>
    </row>
    <row r="660" spans="1:7">
      <c r="A660" s="1483" t="s">
        <v>949</v>
      </c>
      <c r="B660" s="1483"/>
      <c r="C660" s="1483"/>
      <c r="D660" s="1483"/>
      <c r="E660" s="1483"/>
      <c r="F660" s="1483"/>
      <c r="G660" s="1483"/>
    </row>
    <row r="661" spans="1:7">
      <c r="A661" s="839"/>
      <c r="B661" s="839"/>
      <c r="C661" s="839"/>
      <c r="D661" s="839"/>
      <c r="E661" s="839"/>
      <c r="F661" s="839"/>
      <c r="G661" s="839"/>
    </row>
    <row r="662" spans="1:7" ht="39.75" customHeight="1">
      <c r="A662" s="1481" t="s">
        <v>950</v>
      </c>
      <c r="B662" s="1481"/>
      <c r="C662" s="1481"/>
      <c r="D662" s="1481"/>
      <c r="E662" s="1481"/>
      <c r="F662" s="1481"/>
      <c r="G662" s="1481"/>
    </row>
  </sheetData>
  <mergeCells count="238">
    <mergeCell ref="A654:G654"/>
    <mergeCell ref="A656:G656"/>
    <mergeCell ref="A658:G658"/>
    <mergeCell ref="A660:G660"/>
    <mergeCell ref="A662:G662"/>
    <mergeCell ref="A2:H2"/>
    <mergeCell ref="A3:H3"/>
    <mergeCell ref="A8:G8"/>
    <mergeCell ref="A14:G14"/>
    <mergeCell ref="A19:G19"/>
    <mergeCell ref="A23:G23"/>
    <mergeCell ref="B32:C32"/>
    <mergeCell ref="B33:C33"/>
    <mergeCell ref="B34:C34"/>
    <mergeCell ref="B35:F35"/>
    <mergeCell ref="B36:C36"/>
    <mergeCell ref="B37:G37"/>
    <mergeCell ref="A24:G24"/>
    <mergeCell ref="A28:G28"/>
    <mergeCell ref="B29:G29"/>
    <mergeCell ref="B30:C30"/>
    <mergeCell ref="B31:G31"/>
    <mergeCell ref="B44:C44"/>
    <mergeCell ref="B45:C45"/>
    <mergeCell ref="B46:C46"/>
    <mergeCell ref="B47:F47"/>
    <mergeCell ref="B48:C48"/>
    <mergeCell ref="B49:G49"/>
    <mergeCell ref="B38:C38"/>
    <mergeCell ref="B39:C39"/>
    <mergeCell ref="B40:C40"/>
    <mergeCell ref="B41:F41"/>
    <mergeCell ref="B42:C42"/>
    <mergeCell ref="B43:G43"/>
    <mergeCell ref="B56:C56"/>
    <mergeCell ref="B57:G57"/>
    <mergeCell ref="B58:C58"/>
    <mergeCell ref="B59:C59"/>
    <mergeCell ref="B60:C60"/>
    <mergeCell ref="B61:C61"/>
    <mergeCell ref="B50:C50"/>
    <mergeCell ref="B51:C51"/>
    <mergeCell ref="B52:C52"/>
    <mergeCell ref="B53:C53"/>
    <mergeCell ref="B54:F54"/>
    <mergeCell ref="B55:G55"/>
    <mergeCell ref="B68:C68"/>
    <mergeCell ref="B69:C69"/>
    <mergeCell ref="B70:C70"/>
    <mergeCell ref="B71:F71"/>
    <mergeCell ref="B72:C72"/>
    <mergeCell ref="B73:F73"/>
    <mergeCell ref="B62:C62"/>
    <mergeCell ref="B63:F63"/>
    <mergeCell ref="B64:G64"/>
    <mergeCell ref="B65:C65"/>
    <mergeCell ref="B66:G66"/>
    <mergeCell ref="B67:C67"/>
    <mergeCell ref="B80:C80"/>
    <mergeCell ref="B81:G81"/>
    <mergeCell ref="B82:C82"/>
    <mergeCell ref="B83:C83"/>
    <mergeCell ref="B84:C84"/>
    <mergeCell ref="B85:C85"/>
    <mergeCell ref="B74:C74"/>
    <mergeCell ref="B75:C75"/>
    <mergeCell ref="B76:C76"/>
    <mergeCell ref="B77:C77"/>
    <mergeCell ref="B78:C78"/>
    <mergeCell ref="B79:F79"/>
    <mergeCell ref="B92:C92"/>
    <mergeCell ref="B93:C93"/>
    <mergeCell ref="B94:C94"/>
    <mergeCell ref="B95:F95"/>
    <mergeCell ref="B96:C96"/>
    <mergeCell ref="B97:G97"/>
    <mergeCell ref="B86:C86"/>
    <mergeCell ref="B87:C87"/>
    <mergeCell ref="B88:C88"/>
    <mergeCell ref="B89:F89"/>
    <mergeCell ref="B90:C90"/>
    <mergeCell ref="B91:G91"/>
    <mergeCell ref="B104:C104"/>
    <mergeCell ref="B105:C105"/>
    <mergeCell ref="B106:F106"/>
    <mergeCell ref="B107:C107"/>
    <mergeCell ref="B108:G108"/>
    <mergeCell ref="B109:C109"/>
    <mergeCell ref="B98:C98"/>
    <mergeCell ref="B99:C99"/>
    <mergeCell ref="B100:F100"/>
    <mergeCell ref="B101:G101"/>
    <mergeCell ref="B102:C102"/>
    <mergeCell ref="B103:G103"/>
    <mergeCell ref="B116:C116"/>
    <mergeCell ref="B117:C117"/>
    <mergeCell ref="B118:C118"/>
    <mergeCell ref="B119:C119"/>
    <mergeCell ref="B120:F120"/>
    <mergeCell ref="B121:C121"/>
    <mergeCell ref="B110:C110"/>
    <mergeCell ref="B111:C111"/>
    <mergeCell ref="B112:F112"/>
    <mergeCell ref="B113:C113"/>
    <mergeCell ref="B114:G114"/>
    <mergeCell ref="B115:C115"/>
    <mergeCell ref="B129:H129"/>
    <mergeCell ref="B131:F131"/>
    <mergeCell ref="B153:E153"/>
    <mergeCell ref="B157:H157"/>
    <mergeCell ref="B159:F159"/>
    <mergeCell ref="B177:E177"/>
    <mergeCell ref="B122:G122"/>
    <mergeCell ref="B123:C123"/>
    <mergeCell ref="B124:C124"/>
    <mergeCell ref="B125:F125"/>
    <mergeCell ref="A128:H128"/>
    <mergeCell ref="B185:F185"/>
    <mergeCell ref="B206:E206"/>
    <mergeCell ref="B207:E207"/>
    <mergeCell ref="B211:H211"/>
    <mergeCell ref="B213:F213"/>
    <mergeCell ref="B231:E231"/>
    <mergeCell ref="B178:E178"/>
    <mergeCell ref="B182:H182"/>
    <mergeCell ref="C183:E183"/>
    <mergeCell ref="F183:F184"/>
    <mergeCell ref="G183:G184"/>
    <mergeCell ref="H183:H184"/>
    <mergeCell ref="B261:F261"/>
    <mergeCell ref="B276:E276"/>
    <mergeCell ref="B277:E277"/>
    <mergeCell ref="B281:H281"/>
    <mergeCell ref="B283:F283"/>
    <mergeCell ref="B296:E296"/>
    <mergeCell ref="B232:E232"/>
    <mergeCell ref="B236:H236"/>
    <mergeCell ref="B238:F238"/>
    <mergeCell ref="B254:E254"/>
    <mergeCell ref="B255:E255"/>
    <mergeCell ref="B259:H259"/>
    <mergeCell ref="B316:D316"/>
    <mergeCell ref="B318:H318"/>
    <mergeCell ref="A319:A320"/>
    <mergeCell ref="B319:B320"/>
    <mergeCell ref="C319:E319"/>
    <mergeCell ref="F319:F320"/>
    <mergeCell ref="G319:G320"/>
    <mergeCell ref="H319:H320"/>
    <mergeCell ref="B297:E297"/>
    <mergeCell ref="B301:H301"/>
    <mergeCell ref="B303:F303"/>
    <mergeCell ref="B313:E313"/>
    <mergeCell ref="B314:E314"/>
    <mergeCell ref="B315:D315"/>
    <mergeCell ref="B330:E330"/>
    <mergeCell ref="B331:E331"/>
    <mergeCell ref="B335:H335"/>
    <mergeCell ref="A336:A337"/>
    <mergeCell ref="B336:B337"/>
    <mergeCell ref="C336:E336"/>
    <mergeCell ref="F336:F337"/>
    <mergeCell ref="G336:G337"/>
    <mergeCell ref="H336:H337"/>
    <mergeCell ref="B377:H377"/>
    <mergeCell ref="B383:E383"/>
    <mergeCell ref="B387:H387"/>
    <mergeCell ref="B396:E396"/>
    <mergeCell ref="B397:E397"/>
    <mergeCell ref="B399:D399"/>
    <mergeCell ref="B350:H350"/>
    <mergeCell ref="B352:F352"/>
    <mergeCell ref="B356:H356"/>
    <mergeCell ref="A366:H366"/>
    <mergeCell ref="B367:H367"/>
    <mergeCell ref="B373:E373"/>
    <mergeCell ref="B436:F436"/>
    <mergeCell ref="B444:E444"/>
    <mergeCell ref="B445:E445"/>
    <mergeCell ref="B449:H449"/>
    <mergeCell ref="B451:F451"/>
    <mergeCell ref="B457:F457"/>
    <mergeCell ref="B400:D400"/>
    <mergeCell ref="B401:H401"/>
    <mergeCell ref="B422:E422"/>
    <mergeCell ref="B423:E423"/>
    <mergeCell ref="B427:H427"/>
    <mergeCell ref="B429:F429"/>
    <mergeCell ref="B492:E492"/>
    <mergeCell ref="B494:D494"/>
    <mergeCell ref="B495:D495"/>
    <mergeCell ref="B496:H496"/>
    <mergeCell ref="B498:F498"/>
    <mergeCell ref="B505:E505"/>
    <mergeCell ref="B462:E462"/>
    <mergeCell ref="B463:E463"/>
    <mergeCell ref="B465:D465"/>
    <mergeCell ref="B467:H467"/>
    <mergeCell ref="B469:F469"/>
    <mergeCell ref="B491:E491"/>
    <mergeCell ref="A648:B648"/>
    <mergeCell ref="A650:B650"/>
    <mergeCell ref="B612:F612"/>
    <mergeCell ref="B625:E625"/>
    <mergeCell ref="B626:E626"/>
    <mergeCell ref="A634:C634"/>
    <mergeCell ref="A640:B640"/>
    <mergeCell ref="A644:B644"/>
    <mergeCell ref="B582:H582"/>
    <mergeCell ref="B587:H587"/>
    <mergeCell ref="B589:F589"/>
    <mergeCell ref="B605:E605"/>
    <mergeCell ref="B606:E606"/>
    <mergeCell ref="B610:H610"/>
    <mergeCell ref="A1:H1"/>
    <mergeCell ref="A26:G26"/>
    <mergeCell ref="A126:F126"/>
    <mergeCell ref="A363:G363"/>
    <mergeCell ref="A365:H365"/>
    <mergeCell ref="A631:E631"/>
    <mergeCell ref="B558:E558"/>
    <mergeCell ref="B559:E559"/>
    <mergeCell ref="B561:D561"/>
    <mergeCell ref="B563:H563"/>
    <mergeCell ref="B577:E577"/>
    <mergeCell ref="B578:E578"/>
    <mergeCell ref="B520:H520"/>
    <mergeCell ref="B522:F522"/>
    <mergeCell ref="B538:E538"/>
    <mergeCell ref="B539:E539"/>
    <mergeCell ref="B541:D541"/>
    <mergeCell ref="B543:H543"/>
    <mergeCell ref="B506:E506"/>
    <mergeCell ref="B507:D507"/>
    <mergeCell ref="B509:H509"/>
    <mergeCell ref="B516:E516"/>
    <mergeCell ref="B517:E517"/>
    <mergeCell ref="B518:D51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19A5B-14F5-4F6B-8905-5BB8D4CA6B1F}">
  <sheetPr>
    <tabColor rgb="FF7030A0"/>
  </sheetPr>
  <dimension ref="A1:Z45"/>
  <sheetViews>
    <sheetView zoomScale="60" zoomScaleNormal="60" workbookViewId="0">
      <selection activeCell="J32" sqref="J32"/>
    </sheetView>
  </sheetViews>
  <sheetFormatPr defaultColWidth="9.140625" defaultRowHeight="15"/>
  <cols>
    <col min="2" max="2" width="68.85546875" customWidth="1"/>
    <col min="3" max="3" width="19.140625" style="30" bestFit="1" customWidth="1"/>
    <col min="4" max="4" width="22.42578125" style="30" bestFit="1" customWidth="1"/>
    <col min="5" max="5" width="16" customWidth="1"/>
    <col min="6" max="6" width="21" customWidth="1"/>
    <col min="7" max="7" width="18" customWidth="1"/>
    <col min="8" max="8" width="27.140625" customWidth="1"/>
    <col min="9" max="9" width="25.140625" customWidth="1"/>
    <col min="10" max="10" width="32.42578125" customWidth="1"/>
    <col min="11" max="11" width="17.140625" customWidth="1"/>
    <col min="12" max="12" width="21.85546875" hidden="1" customWidth="1"/>
    <col min="13" max="13" width="19.85546875" customWidth="1"/>
    <col min="14" max="14" width="23" customWidth="1"/>
    <col min="15" max="15" width="18" customWidth="1"/>
    <col min="16" max="16" width="21.85546875" customWidth="1"/>
    <col min="17" max="17" width="12" bestFit="1" customWidth="1"/>
    <col min="18" max="18" width="33.42578125" customWidth="1"/>
  </cols>
  <sheetData>
    <row r="1" spans="1:10" ht="16.5">
      <c r="A1" s="1496" t="s">
        <v>951</v>
      </c>
      <c r="B1" s="1496"/>
      <c r="C1" s="1496"/>
      <c r="D1" s="1496"/>
      <c r="E1" s="1496"/>
      <c r="F1" s="1496"/>
      <c r="G1" s="1496"/>
      <c r="H1" s="1496"/>
      <c r="I1" s="1496"/>
      <c r="J1" s="1496"/>
    </row>
    <row r="2" spans="1:10" ht="16.5">
      <c r="A2" s="1497" t="s">
        <v>243</v>
      </c>
      <c r="B2" s="1497"/>
      <c r="C2" s="1497"/>
      <c r="D2" s="1497"/>
      <c r="E2" s="1497"/>
      <c r="F2" s="1497"/>
      <c r="G2" s="1497"/>
      <c r="H2" s="1497"/>
    </row>
    <row r="3" spans="1:10" ht="16.5">
      <c r="A3" s="1498" t="s">
        <v>952</v>
      </c>
      <c r="B3" s="1498"/>
      <c r="C3" s="1499" t="s">
        <v>243</v>
      </c>
      <c r="D3" s="1499"/>
      <c r="E3" s="1499"/>
      <c r="F3" s="1500" t="s">
        <v>953</v>
      </c>
      <c r="G3" s="1500"/>
      <c r="H3" s="1501" t="s">
        <v>243</v>
      </c>
      <c r="I3" s="1502"/>
      <c r="J3" s="1503"/>
    </row>
    <row r="4" spans="1:10" ht="16.5">
      <c r="A4" s="1498" t="s">
        <v>954</v>
      </c>
      <c r="B4" s="1498"/>
      <c r="C4" s="1499" t="s">
        <v>243</v>
      </c>
      <c r="D4" s="1499"/>
      <c r="E4" s="1499"/>
      <c r="F4" s="1500" t="s">
        <v>955</v>
      </c>
      <c r="G4" s="1500"/>
      <c r="H4" s="1501" t="s">
        <v>243</v>
      </c>
      <c r="I4" s="1502"/>
      <c r="J4" s="1503"/>
    </row>
    <row r="5" spans="1:10" ht="16.5">
      <c r="A5" s="1498" t="s">
        <v>956</v>
      </c>
      <c r="B5" s="1498"/>
      <c r="C5" s="1499" t="s">
        <v>243</v>
      </c>
      <c r="D5" s="1499"/>
      <c r="E5" s="1499"/>
      <c r="F5" s="1500" t="s">
        <v>957</v>
      </c>
      <c r="G5" s="1500"/>
      <c r="H5" s="1501" t="s">
        <v>243</v>
      </c>
      <c r="I5" s="1502"/>
      <c r="J5" s="1503"/>
    </row>
    <row r="6" spans="1:10">
      <c r="C6"/>
      <c r="D6"/>
    </row>
    <row r="7" spans="1:10" ht="50.25" customHeight="1">
      <c r="A7" s="1504" t="s">
        <v>958</v>
      </c>
      <c r="B7" s="1505"/>
      <c r="C7" s="1505"/>
      <c r="D7" s="1505"/>
      <c r="E7" s="1505"/>
      <c r="F7" s="1505"/>
      <c r="G7" s="1505"/>
      <c r="H7" s="1505"/>
      <c r="I7" s="1505"/>
      <c r="J7" s="1506"/>
    </row>
    <row r="9" spans="1:10" ht="24" customHeight="1">
      <c r="A9" s="1495" t="s">
        <v>959</v>
      </c>
      <c r="B9" s="1495"/>
      <c r="C9" s="1495"/>
      <c r="D9" s="1495"/>
      <c r="E9" s="1495"/>
      <c r="F9" s="1495"/>
      <c r="G9" s="1495"/>
      <c r="H9" s="1495"/>
      <c r="I9" s="1495"/>
      <c r="J9" s="1495"/>
    </row>
    <row r="10" spans="1:10">
      <c r="A10" s="1495"/>
      <c r="B10" s="1495"/>
      <c r="C10" s="1495"/>
      <c r="D10" s="1495"/>
      <c r="E10" s="1495"/>
      <c r="F10" s="1495"/>
      <c r="G10" s="1495"/>
      <c r="H10" s="1495"/>
      <c r="I10" s="1495"/>
      <c r="J10" s="1495"/>
    </row>
    <row r="11" spans="1:10" ht="45.75" thickBot="1">
      <c r="A11" s="57" t="s">
        <v>3</v>
      </c>
      <c r="B11" s="58" t="s">
        <v>4</v>
      </c>
      <c r="C11" s="59" t="s">
        <v>5</v>
      </c>
      <c r="D11" s="59" t="s">
        <v>6</v>
      </c>
      <c r="E11" s="59" t="s">
        <v>7</v>
      </c>
      <c r="F11" s="59" t="s">
        <v>8</v>
      </c>
      <c r="G11" s="60" t="s">
        <v>9</v>
      </c>
      <c r="H11" s="61" t="s">
        <v>960</v>
      </c>
      <c r="I11" s="62" t="s">
        <v>961</v>
      </c>
      <c r="J11" s="63" t="s">
        <v>962</v>
      </c>
    </row>
    <row r="12" spans="1:10">
      <c r="A12" s="99"/>
      <c r="B12" s="125" t="s">
        <v>11</v>
      </c>
      <c r="C12" s="126"/>
      <c r="D12" s="127"/>
      <c r="E12" s="101"/>
      <c r="F12" s="101"/>
      <c r="G12" s="128"/>
      <c r="H12" s="103"/>
      <c r="I12" s="129"/>
      <c r="J12" s="130"/>
    </row>
    <row r="13" spans="1:10" ht="65.25" customHeight="1">
      <c r="A13" s="131" t="s">
        <v>963</v>
      </c>
      <c r="B13" s="3" t="s">
        <v>964</v>
      </c>
      <c r="C13" s="4">
        <v>2</v>
      </c>
      <c r="D13" s="5">
        <v>1</v>
      </c>
      <c r="E13" s="6">
        <v>10</v>
      </c>
      <c r="F13" s="74"/>
      <c r="G13" s="7">
        <v>1.8</v>
      </c>
      <c r="H13" s="8">
        <f>+G13*F13*E13*(C13/2)*D13</f>
        <v>0</v>
      </c>
      <c r="I13" s="8">
        <f>+G13*F13*E13*(C13/2)*D13</f>
        <v>0</v>
      </c>
      <c r="J13" s="107">
        <f>H13+I13</f>
        <v>0</v>
      </c>
    </row>
    <row r="14" spans="1:10" ht="94.5" customHeight="1">
      <c r="A14" s="131" t="s">
        <v>17</v>
      </c>
      <c r="B14" s="3" t="s">
        <v>965</v>
      </c>
      <c r="C14" s="9">
        <v>2</v>
      </c>
      <c r="D14" s="10">
        <v>0.25</v>
      </c>
      <c r="E14" s="11">
        <v>10</v>
      </c>
      <c r="F14" s="54"/>
      <c r="G14" s="12">
        <f>+G13</f>
        <v>1.8</v>
      </c>
      <c r="H14" s="8">
        <f>D14*E14*F14*G14*1</f>
        <v>0</v>
      </c>
      <c r="I14" s="8">
        <f>+G14*F14*(E14)*(C14/2)*D14</f>
        <v>0</v>
      </c>
      <c r="J14" s="107">
        <f>H14+I14</f>
        <v>0</v>
      </c>
    </row>
    <row r="15" spans="1:10" ht="15.75" thickBot="1">
      <c r="A15" s="132"/>
      <c r="B15" s="119" t="s">
        <v>16</v>
      </c>
      <c r="C15" s="133"/>
      <c r="D15" s="134"/>
      <c r="E15" s="112"/>
      <c r="F15" s="135">
        <f>SUM(F13:F14)</f>
        <v>0</v>
      </c>
      <c r="G15" s="136"/>
      <c r="H15" s="137">
        <f>+H14+H13</f>
        <v>0</v>
      </c>
      <c r="I15" s="137">
        <f>+I14+I13</f>
        <v>0</v>
      </c>
      <c r="J15" s="138">
        <f>H15+I15</f>
        <v>0</v>
      </c>
    </row>
    <row r="16" spans="1:10" ht="45">
      <c r="A16" s="99">
        <v>2</v>
      </c>
      <c r="B16" s="100" t="s">
        <v>966</v>
      </c>
      <c r="C16" s="101" t="s">
        <v>5</v>
      </c>
      <c r="D16" s="101" t="s">
        <v>6</v>
      </c>
      <c r="E16" s="101" t="s">
        <v>7</v>
      </c>
      <c r="F16" s="101" t="s">
        <v>8</v>
      </c>
      <c r="G16" s="102" t="s">
        <v>9</v>
      </c>
      <c r="H16" s="103" t="s">
        <v>960</v>
      </c>
      <c r="I16" s="104" t="s">
        <v>961</v>
      </c>
      <c r="J16" s="105" t="s">
        <v>962</v>
      </c>
    </row>
    <row r="17" spans="1:26" ht="34.5" customHeight="1">
      <c r="A17" s="106" t="s">
        <v>48</v>
      </c>
      <c r="B17" s="13" t="s">
        <v>967</v>
      </c>
      <c r="C17" s="4">
        <v>2</v>
      </c>
      <c r="D17" s="14">
        <v>1</v>
      </c>
      <c r="E17" s="11">
        <v>10</v>
      </c>
      <c r="F17" s="54"/>
      <c r="G17" s="12">
        <f>+G13</f>
        <v>1.8</v>
      </c>
      <c r="H17" s="15">
        <f>F17*G17*E17*D17*(C17/2)</f>
        <v>0</v>
      </c>
      <c r="I17" s="8">
        <f>+G17*F17*E17*(C17/2)*D17</f>
        <v>0</v>
      </c>
      <c r="J17" s="107">
        <f>H17+I17</f>
        <v>0</v>
      </c>
    </row>
    <row r="18" spans="1:26" ht="31.5" customHeight="1">
      <c r="A18" s="106" t="s">
        <v>91</v>
      </c>
      <c r="B18" s="16" t="s">
        <v>968</v>
      </c>
      <c r="C18" s="4">
        <v>2</v>
      </c>
      <c r="D18" s="14">
        <v>1</v>
      </c>
      <c r="E18" s="11">
        <v>10</v>
      </c>
      <c r="F18" s="54"/>
      <c r="G18" s="12">
        <f>+G13</f>
        <v>1.8</v>
      </c>
      <c r="H18" s="15">
        <f>F18*G18*E18*D18*(C18/2)</f>
        <v>0</v>
      </c>
      <c r="I18" s="8">
        <f>+G18*F18*E18*(C18/2)*D18</f>
        <v>0</v>
      </c>
      <c r="J18" s="107">
        <f t="shared" ref="J18" si="0">H18+I18</f>
        <v>0</v>
      </c>
    </row>
    <row r="19" spans="1:26" ht="27.75" customHeight="1" thickBot="1">
      <c r="A19" s="108"/>
      <c r="B19" s="109" t="s">
        <v>28</v>
      </c>
      <c r="C19" s="110"/>
      <c r="D19" s="111"/>
      <c r="E19" s="112"/>
      <c r="F19" s="113">
        <f>SUM(F17:F18)</f>
        <v>0</v>
      </c>
      <c r="G19" s="114"/>
      <c r="H19" s="115">
        <f>SUM(H17:H18)</f>
        <v>0</v>
      </c>
      <c r="I19" s="115">
        <f>SUM(I17:I18)</f>
        <v>0</v>
      </c>
      <c r="J19" s="116">
        <f>SUM(J17:J18)</f>
        <v>0</v>
      </c>
    </row>
    <row r="20" spans="1:26" ht="27.75" customHeight="1">
      <c r="A20" s="139">
        <v>3</v>
      </c>
      <c r="B20" s="140" t="s">
        <v>969</v>
      </c>
      <c r="C20" s="101" t="s">
        <v>5</v>
      </c>
      <c r="D20" s="101" t="s">
        <v>6</v>
      </c>
      <c r="E20" s="101" t="s">
        <v>7</v>
      </c>
      <c r="F20" s="101" t="s">
        <v>8</v>
      </c>
      <c r="G20" s="102" t="s">
        <v>9</v>
      </c>
      <c r="H20" s="103" t="s">
        <v>960</v>
      </c>
      <c r="I20" s="104" t="s">
        <v>961</v>
      </c>
      <c r="J20" s="105" t="s">
        <v>962</v>
      </c>
    </row>
    <row r="21" spans="1:26" s="34" customFormat="1" ht="88.5" customHeight="1">
      <c r="A21" s="141" t="s">
        <v>183</v>
      </c>
      <c r="B21" s="18" t="s">
        <v>970</v>
      </c>
      <c r="C21" s="4">
        <v>2</v>
      </c>
      <c r="D21" s="14">
        <v>1</v>
      </c>
      <c r="E21" s="31">
        <v>9</v>
      </c>
      <c r="F21" s="75"/>
      <c r="G21" s="32">
        <v>1.8</v>
      </c>
      <c r="H21" s="33">
        <f>F21*G21*E21*D21*(C21/2)</f>
        <v>0</v>
      </c>
      <c r="I21" s="22">
        <f>+G21*F21*E21*(C21/2)*D21</f>
        <v>0</v>
      </c>
      <c r="J21" s="117">
        <f t="shared" ref="J21:J23" si="1">H21+I21</f>
        <v>0</v>
      </c>
    </row>
    <row r="22" spans="1:26" s="2" customFormat="1" ht="76.5" customHeight="1">
      <c r="A22" s="142" t="s">
        <v>246</v>
      </c>
      <c r="B22" s="18" t="s">
        <v>971</v>
      </c>
      <c r="C22" s="64">
        <v>2</v>
      </c>
      <c r="D22" s="65">
        <v>1</v>
      </c>
      <c r="E22" s="66">
        <v>9</v>
      </c>
      <c r="F22" s="76"/>
      <c r="G22" s="67">
        <f>+G21</f>
        <v>1.8</v>
      </c>
      <c r="H22" s="68">
        <f t="shared" ref="H22:H23" si="2">F22*G22*E22*D22*(C22/2)</f>
        <v>0</v>
      </c>
      <c r="I22" s="69">
        <f t="shared" ref="I22:I23" si="3">+G22*F22*E22*(C22/2)*D22</f>
        <v>0</v>
      </c>
      <c r="J22" s="143">
        <f t="shared" si="1"/>
        <v>0</v>
      </c>
    </row>
    <row r="23" spans="1:26" s="34" customFormat="1" ht="82.5" customHeight="1">
      <c r="A23" s="144" t="s">
        <v>280</v>
      </c>
      <c r="B23" s="19" t="s">
        <v>972</v>
      </c>
      <c r="C23" s="4">
        <v>2</v>
      </c>
      <c r="D23" s="14">
        <v>0.5</v>
      </c>
      <c r="E23" s="31">
        <v>6</v>
      </c>
      <c r="F23" s="75"/>
      <c r="G23" s="35">
        <f>+G22</f>
        <v>1.8</v>
      </c>
      <c r="H23" s="33">
        <f t="shared" si="2"/>
        <v>0</v>
      </c>
      <c r="I23" s="22">
        <f t="shared" si="3"/>
        <v>0</v>
      </c>
      <c r="J23" s="117">
        <f t="shared" si="1"/>
        <v>0</v>
      </c>
    </row>
    <row r="24" spans="1:26" ht="27.75" customHeight="1" thickBot="1">
      <c r="A24" s="132"/>
      <c r="B24" s="145" t="s">
        <v>37</v>
      </c>
      <c r="C24" s="146"/>
      <c r="D24" s="121"/>
      <c r="E24" s="112"/>
      <c r="F24" s="113">
        <f>SUM(F21:F23)</f>
        <v>0</v>
      </c>
      <c r="G24" s="114"/>
      <c r="H24" s="137">
        <f>SUM(H21:H23)</f>
        <v>0</v>
      </c>
      <c r="I24" s="137">
        <f>SUM(I21:I23)</f>
        <v>0</v>
      </c>
      <c r="J24" s="138">
        <f>SUM(J21:J23)</f>
        <v>0</v>
      </c>
    </row>
    <row r="25" spans="1:26" ht="27.75" customHeight="1">
      <c r="A25" s="99">
        <v>4</v>
      </c>
      <c r="B25" s="100" t="s">
        <v>973</v>
      </c>
      <c r="C25" s="101" t="s">
        <v>5</v>
      </c>
      <c r="D25" s="101" t="s">
        <v>6</v>
      </c>
      <c r="E25" s="101" t="s">
        <v>7</v>
      </c>
      <c r="F25" s="101" t="s">
        <v>8</v>
      </c>
      <c r="G25" s="102" t="s">
        <v>9</v>
      </c>
      <c r="H25" s="103" t="s">
        <v>960</v>
      </c>
      <c r="I25" s="104" t="s">
        <v>961</v>
      </c>
      <c r="J25" s="105" t="s">
        <v>962</v>
      </c>
    </row>
    <row r="26" spans="1:26" s="2" customFormat="1" ht="62.25" customHeight="1">
      <c r="A26" s="106" t="s">
        <v>974</v>
      </c>
      <c r="B26" s="20" t="s">
        <v>975</v>
      </c>
      <c r="C26" s="4">
        <v>2</v>
      </c>
      <c r="D26" s="14">
        <v>1</v>
      </c>
      <c r="E26" s="21">
        <v>3</v>
      </c>
      <c r="F26" s="55"/>
      <c r="G26" s="23">
        <f>+G23</f>
        <v>1.8</v>
      </c>
      <c r="H26" s="17">
        <f>D26*E26*F26*G26</f>
        <v>0</v>
      </c>
      <c r="I26" s="17">
        <f>G26*F26*E26*D26</f>
        <v>0</v>
      </c>
      <c r="J26" s="107">
        <f>G26*F26*E26*D26*C26</f>
        <v>0</v>
      </c>
      <c r="K26" s="36"/>
    </row>
    <row r="27" spans="1:26" s="39" customFormat="1" ht="52.5" customHeight="1">
      <c r="A27" s="106" t="s">
        <v>542</v>
      </c>
      <c r="B27" s="16" t="s">
        <v>976</v>
      </c>
      <c r="C27" s="4">
        <v>1</v>
      </c>
      <c r="D27" s="14">
        <v>1</v>
      </c>
      <c r="E27" s="25">
        <v>3</v>
      </c>
      <c r="F27" s="56"/>
      <c r="G27" s="26">
        <f>+G26</f>
        <v>1.8</v>
      </c>
      <c r="H27" s="17">
        <f t="shared" ref="H27" si="4">D27*E27*F27*G27</f>
        <v>0</v>
      </c>
      <c r="I27" s="27">
        <f>G27*F27*E27*D27</f>
        <v>0</v>
      </c>
      <c r="J27" s="117">
        <f>G27*F27*E27*D27*C27</f>
        <v>0</v>
      </c>
      <c r="K27" s="37"/>
      <c r="L27" s="38"/>
      <c r="M27" s="38"/>
      <c r="N27" s="38"/>
      <c r="O27" s="38"/>
      <c r="P27" s="38">
        <v>0</v>
      </c>
      <c r="Q27" s="38"/>
      <c r="R27" s="38"/>
      <c r="S27" s="38"/>
      <c r="T27" s="38"/>
      <c r="U27" s="38"/>
      <c r="V27" s="38"/>
      <c r="W27" s="38"/>
      <c r="X27" s="38"/>
      <c r="Y27" s="38"/>
      <c r="Z27" s="38">
        <v>0</v>
      </c>
    </row>
    <row r="28" spans="1:26" s="2" customFormat="1" ht="52.5" customHeight="1">
      <c r="A28" s="106" t="s">
        <v>562</v>
      </c>
      <c r="B28" s="16" t="s">
        <v>977</v>
      </c>
      <c r="C28" s="4">
        <v>1</v>
      </c>
      <c r="D28" s="14">
        <v>0.5</v>
      </c>
      <c r="E28" s="25">
        <v>3</v>
      </c>
      <c r="F28" s="56"/>
      <c r="G28" s="77">
        <f t="shared" ref="G28:G29" si="5">+G27</f>
        <v>1.8</v>
      </c>
      <c r="H28" s="78"/>
      <c r="I28" s="27">
        <f>G28*F28*E28*D28*C28</f>
        <v>0</v>
      </c>
      <c r="J28" s="118">
        <f>G28*F28*E28*D28*C28</f>
        <v>0</v>
      </c>
      <c r="K28" s="36"/>
    </row>
    <row r="29" spans="1:26" s="2" customFormat="1" ht="47.25" customHeight="1">
      <c r="A29" s="106" t="s">
        <v>609</v>
      </c>
      <c r="B29" s="70" t="s">
        <v>977</v>
      </c>
      <c r="C29" s="64">
        <v>1</v>
      </c>
      <c r="D29" s="65">
        <v>0.25</v>
      </c>
      <c r="E29" s="71">
        <v>10</v>
      </c>
      <c r="F29" s="79"/>
      <c r="G29" s="72">
        <f t="shared" si="5"/>
        <v>1.8</v>
      </c>
      <c r="H29" s="73">
        <f>G29*F29*E29*D29*C29</f>
        <v>0</v>
      </c>
      <c r="I29" s="27"/>
      <c r="J29" s="147">
        <f>G29*F29*E29*D29*C29</f>
        <v>0</v>
      </c>
      <c r="K29" s="36"/>
    </row>
    <row r="30" spans="1:26" s="2" customFormat="1" ht="47.25" customHeight="1">
      <c r="A30" s="106" t="s">
        <v>642</v>
      </c>
      <c r="B30" s="3" t="s">
        <v>978</v>
      </c>
      <c r="C30" s="4">
        <v>8</v>
      </c>
      <c r="D30" s="14">
        <v>0.5</v>
      </c>
      <c r="E30" s="25">
        <v>9</v>
      </c>
      <c r="F30" s="55"/>
      <c r="G30" s="26">
        <f>+G29</f>
        <v>1.8</v>
      </c>
      <c r="H30" s="73">
        <f>G30*F30*E30*D30*C30</f>
        <v>0</v>
      </c>
      <c r="I30" s="28">
        <f>G30*F30*E30*D30*(C30-2)</f>
        <v>0</v>
      </c>
      <c r="J30" s="107">
        <f>G30*F30*E30*D30*(C30)</f>
        <v>0</v>
      </c>
      <c r="K30" s="36"/>
      <c r="N30" s="36"/>
      <c r="O30" s="40"/>
      <c r="P30" s="36"/>
      <c r="Q30" s="36"/>
    </row>
    <row r="31" spans="1:26" ht="27.75" customHeight="1" thickBot="1">
      <c r="A31" s="148"/>
      <c r="B31" s="119" t="s">
        <v>979</v>
      </c>
      <c r="C31" s="120"/>
      <c r="D31" s="121"/>
      <c r="E31" s="112"/>
      <c r="F31" s="113">
        <f>SUM(F26:F30)</f>
        <v>0</v>
      </c>
      <c r="G31" s="122"/>
      <c r="H31" s="123">
        <f>SUM(H26:H30)</f>
        <v>0</v>
      </c>
      <c r="I31" s="123">
        <f>SUM(I26:I30)</f>
        <v>0</v>
      </c>
      <c r="J31" s="124">
        <f>SUM(J26:J30)</f>
        <v>0</v>
      </c>
      <c r="K31" s="29"/>
      <c r="O31" s="24"/>
    </row>
    <row r="32" spans="1:26" ht="27.75" customHeight="1" thickBot="1">
      <c r="A32" s="42"/>
      <c r="B32" s="43" t="s">
        <v>980</v>
      </c>
      <c r="C32" s="44"/>
      <c r="D32" s="45"/>
      <c r="E32" s="46"/>
      <c r="F32" s="48">
        <f>F19+F15+F24+F31</f>
        <v>0</v>
      </c>
      <c r="G32" s="47"/>
      <c r="H32" s="48">
        <f>H19+H15+H24+H31</f>
        <v>0</v>
      </c>
      <c r="I32" s="48">
        <f>I19+I15+I24+I31</f>
        <v>0</v>
      </c>
      <c r="J32" s="49">
        <f>J19+J15+J24+J31</f>
        <v>0</v>
      </c>
      <c r="L32" s="1"/>
      <c r="O32" s="24"/>
      <c r="P32" s="24"/>
      <c r="R32" s="24"/>
    </row>
    <row r="33" spans="1:10">
      <c r="J33" s="41"/>
    </row>
    <row r="34" spans="1:10">
      <c r="B34" s="150"/>
      <c r="G34" s="149"/>
    </row>
    <row r="37" spans="1:10" ht="15.75">
      <c r="A37" s="98" t="s">
        <v>981</v>
      </c>
      <c r="B37" s="98"/>
      <c r="C37" s="98"/>
      <c r="D37" s="98"/>
      <c r="E37" s="51"/>
      <c r="F37" s="51"/>
      <c r="G37" s="51"/>
      <c r="H37" s="51"/>
    </row>
    <row r="38" spans="1:10" ht="15.75">
      <c r="A38" s="52"/>
      <c r="B38" s="52"/>
      <c r="C38" s="52"/>
      <c r="D38" s="52"/>
      <c r="E38" s="51"/>
      <c r="F38" s="51"/>
      <c r="G38" s="51"/>
      <c r="H38" s="51"/>
    </row>
    <row r="39" spans="1:10" ht="52.5" customHeight="1">
      <c r="A39" s="97"/>
      <c r="B39" s="97"/>
      <c r="C39" s="97"/>
      <c r="D39" s="97"/>
      <c r="E39" s="53"/>
    </row>
    <row r="40" spans="1:10" ht="15.75">
      <c r="A40" s="98" t="s">
        <v>982</v>
      </c>
      <c r="B40" s="98"/>
      <c r="C40" s="98"/>
      <c r="D40" s="98"/>
      <c r="E40" s="50"/>
    </row>
    <row r="41" spans="1:10">
      <c r="B41" s="30"/>
      <c r="D41"/>
    </row>
    <row r="42" spans="1:10" ht="40.5" customHeight="1">
      <c r="A42" s="97"/>
      <c r="B42" s="97"/>
      <c r="C42" s="97"/>
    </row>
    <row r="43" spans="1:10" ht="15.75">
      <c r="A43" s="98" t="s">
        <v>983</v>
      </c>
      <c r="B43" s="98"/>
      <c r="C43" s="98"/>
    </row>
    <row r="44" spans="1:10">
      <c r="C44"/>
    </row>
    <row r="45" spans="1:10">
      <c r="C45"/>
    </row>
  </sheetData>
  <mergeCells count="16">
    <mergeCell ref="A9:J10"/>
    <mergeCell ref="A1:J1"/>
    <mergeCell ref="A2:H2"/>
    <mergeCell ref="A3:B3"/>
    <mergeCell ref="C3:E3"/>
    <mergeCell ref="F3:G3"/>
    <mergeCell ref="H3:J3"/>
    <mergeCell ref="A4:B4"/>
    <mergeCell ref="C4:E4"/>
    <mergeCell ref="F4:G4"/>
    <mergeCell ref="H4:J4"/>
    <mergeCell ref="A5:B5"/>
    <mergeCell ref="C5:E5"/>
    <mergeCell ref="F5:G5"/>
    <mergeCell ref="H5:J5"/>
    <mergeCell ref="A7:J7"/>
  </mergeCells>
  <pageMargins left="0.7" right="0.7" top="0.75" bottom="0.75" header="0.3" footer="0.3"/>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372DB-6897-48AE-8070-8ECA20C17F6E}">
  <dimension ref="A1:P658"/>
  <sheetViews>
    <sheetView tabSelected="1" topLeftCell="B640" zoomScale="85" zoomScaleNormal="85" workbookViewId="0">
      <selection activeCell="E650" sqref="E650:G652"/>
    </sheetView>
  </sheetViews>
  <sheetFormatPr defaultColWidth="9" defaultRowHeight="16.5"/>
  <cols>
    <col min="1" max="1" width="9.42578125" style="910" customWidth="1"/>
    <col min="2" max="2" width="45.28515625" style="162" customWidth="1"/>
    <col min="3" max="3" width="20.7109375" style="162" customWidth="1"/>
    <col min="4" max="4" width="16.42578125" style="162" customWidth="1"/>
    <col min="5" max="5" width="24.42578125" style="162" customWidth="1"/>
    <col min="6" max="6" width="22.28515625" style="162" customWidth="1"/>
    <col min="7" max="7" width="20.28515625" style="548" customWidth="1"/>
    <col min="8" max="8" width="18.140625" style="162" customWidth="1"/>
    <col min="9" max="16384" width="9" style="162"/>
  </cols>
  <sheetData>
    <row r="1" spans="1:16" ht="18">
      <c r="A1" s="1507" t="s">
        <v>984</v>
      </c>
      <c r="B1" s="1507"/>
      <c r="C1" s="1507"/>
      <c r="D1" s="1507"/>
      <c r="E1" s="1507"/>
      <c r="F1" s="1507"/>
      <c r="G1" s="1507"/>
      <c r="H1" s="1507"/>
    </row>
    <row r="2" spans="1:16" ht="36" customHeight="1">
      <c r="A2" s="1484" t="s">
        <v>1</v>
      </c>
      <c r="B2" s="1484"/>
      <c r="C2" s="1484"/>
      <c r="D2" s="1484"/>
      <c r="E2" s="1484"/>
      <c r="F2" s="1484"/>
      <c r="G2" s="1484"/>
      <c r="H2" s="1484"/>
      <c r="I2" s="861"/>
      <c r="J2" s="861"/>
      <c r="K2" s="861"/>
      <c r="L2" s="861"/>
      <c r="M2" s="861"/>
      <c r="N2" s="861"/>
      <c r="O2" s="861"/>
      <c r="P2" s="861"/>
    </row>
    <row r="3" spans="1:16" ht="27">
      <c r="A3" s="1396" t="s">
        <v>2</v>
      </c>
      <c r="B3" s="1396"/>
      <c r="C3" s="1396"/>
      <c r="D3" s="1396"/>
      <c r="E3" s="1396"/>
      <c r="F3" s="1396"/>
      <c r="G3" s="1396"/>
      <c r="H3" s="1396"/>
    </row>
    <row r="4" spans="1:16" ht="36" customHeight="1">
      <c r="A4" s="969" t="s">
        <v>3</v>
      </c>
      <c r="B4" s="970" t="s">
        <v>4</v>
      </c>
      <c r="C4" s="971" t="s">
        <v>5</v>
      </c>
      <c r="D4" s="971" t="s">
        <v>6</v>
      </c>
      <c r="E4" s="971" t="s">
        <v>7</v>
      </c>
      <c r="F4" s="971" t="s">
        <v>8</v>
      </c>
      <c r="G4" s="972" t="s">
        <v>9</v>
      </c>
      <c r="H4" s="973" t="s">
        <v>10</v>
      </c>
    </row>
    <row r="5" spans="1:16">
      <c r="A5" s="974">
        <v>1.1000000000000001</v>
      </c>
      <c r="B5" s="975" t="s">
        <v>11</v>
      </c>
      <c r="C5" s="976"/>
      <c r="D5" s="977"/>
      <c r="E5" s="978"/>
      <c r="F5" s="978"/>
      <c r="G5" s="979"/>
      <c r="H5" s="980"/>
    </row>
    <row r="6" spans="1:16">
      <c r="A6" s="981" t="s">
        <v>12</v>
      </c>
      <c r="B6" s="982" t="s">
        <v>13</v>
      </c>
      <c r="C6" s="983">
        <v>1</v>
      </c>
      <c r="D6" s="984">
        <v>0.86</v>
      </c>
      <c r="E6" s="259">
        <v>3</v>
      </c>
      <c r="F6" s="985">
        <f>'[2]RES 1044-2013'!$Q$12</f>
        <v>8946068</v>
      </c>
      <c r="G6" s="986">
        <v>2</v>
      </c>
      <c r="H6" s="987">
        <f>C6*D6*E6*F6*G6</f>
        <v>46161710.880000003</v>
      </c>
    </row>
    <row r="7" spans="1:16">
      <c r="A7" s="981" t="s">
        <v>14</v>
      </c>
      <c r="B7" s="982" t="s">
        <v>15</v>
      </c>
      <c r="C7" s="988">
        <v>1</v>
      </c>
      <c r="D7" s="989">
        <v>0.25</v>
      </c>
      <c r="E7" s="990">
        <v>3</v>
      </c>
      <c r="F7" s="991">
        <f>'[2]RES 1044-2013'!$Q$14</f>
        <v>6553517</v>
      </c>
      <c r="G7" s="992">
        <v>2</v>
      </c>
      <c r="H7" s="987">
        <f>C7*D7*E7*F7*G7</f>
        <v>9830275.5</v>
      </c>
    </row>
    <row r="8" spans="1:16">
      <c r="A8" s="1562" t="s">
        <v>16</v>
      </c>
      <c r="B8" s="1562"/>
      <c r="C8" s="1562"/>
      <c r="D8" s="1562"/>
      <c r="E8" s="1562"/>
      <c r="F8" s="1562"/>
      <c r="G8" s="1562"/>
      <c r="H8" s="993">
        <f>+H7+H6</f>
        <v>55991986.380000003</v>
      </c>
      <c r="I8" s="994"/>
    </row>
    <row r="9" spans="1:16" ht="33">
      <c r="A9" s="995" t="s">
        <v>17</v>
      </c>
      <c r="B9" s="996" t="s">
        <v>18</v>
      </c>
      <c r="C9" s="997" t="s">
        <v>5</v>
      </c>
      <c r="D9" s="997" t="s">
        <v>6</v>
      </c>
      <c r="E9" s="997" t="s">
        <v>7</v>
      </c>
      <c r="F9" s="997" t="s">
        <v>8</v>
      </c>
      <c r="G9" s="998" t="s">
        <v>9</v>
      </c>
      <c r="H9" s="999" t="s">
        <v>19</v>
      </c>
    </row>
    <row r="10" spans="1:16">
      <c r="A10" s="1000" t="s">
        <v>20</v>
      </c>
      <c r="B10" s="982" t="s">
        <v>21</v>
      </c>
      <c r="C10" s="983">
        <v>1</v>
      </c>
      <c r="D10" s="1001">
        <v>0.8</v>
      </c>
      <c r="E10" s="990">
        <v>3</v>
      </c>
      <c r="F10" s="1002">
        <v>6553517</v>
      </c>
      <c r="G10" s="992">
        <f>+G6</f>
        <v>2</v>
      </c>
      <c r="H10" s="987">
        <f>C10*D10*E10*F10*G10</f>
        <v>31456881.600000005</v>
      </c>
    </row>
    <row r="11" spans="1:16">
      <c r="A11" s="1000" t="s">
        <v>22</v>
      </c>
      <c r="B11" s="982" t="s">
        <v>23</v>
      </c>
      <c r="C11" s="983">
        <v>1</v>
      </c>
      <c r="D11" s="1001">
        <v>0.33</v>
      </c>
      <c r="E11" s="990">
        <v>2</v>
      </c>
      <c r="F11" s="1002">
        <v>5409251</v>
      </c>
      <c r="G11" s="992">
        <f>+G6</f>
        <v>2</v>
      </c>
      <c r="H11" s="987">
        <f>C11*D11*E11*F11*G11</f>
        <v>7140211.3200000003</v>
      </c>
    </row>
    <row r="12" spans="1:16">
      <c r="A12" s="1003" t="s">
        <v>24</v>
      </c>
      <c r="B12" s="982" t="s">
        <v>25</v>
      </c>
      <c r="C12" s="983">
        <v>1</v>
      </c>
      <c r="D12" s="1004">
        <v>0.33</v>
      </c>
      <c r="E12" s="1005">
        <v>2</v>
      </c>
      <c r="F12" s="1006">
        <v>5409251</v>
      </c>
      <c r="G12" s="1007">
        <f>+G11</f>
        <v>2</v>
      </c>
      <c r="H12" s="987">
        <f>C12*D12*E12*F12*G12</f>
        <v>7140211.3200000003</v>
      </c>
    </row>
    <row r="13" spans="1:16">
      <c r="A13" s="1003" t="s">
        <v>26</v>
      </c>
      <c r="B13" s="982" t="s">
        <v>27</v>
      </c>
      <c r="C13" s="1008">
        <v>1</v>
      </c>
      <c r="D13" s="1001">
        <v>1</v>
      </c>
      <c r="E13" s="1009">
        <v>3</v>
      </c>
      <c r="F13" s="1002">
        <v>3120723</v>
      </c>
      <c r="G13" s="1007">
        <f>+G12</f>
        <v>2</v>
      </c>
      <c r="H13" s="987">
        <f>C13*D13*E13*F13*G13</f>
        <v>18724338</v>
      </c>
    </row>
    <row r="14" spans="1:16">
      <c r="A14" s="1563" t="s">
        <v>28</v>
      </c>
      <c r="B14" s="1563"/>
      <c r="C14" s="1563"/>
      <c r="D14" s="1563"/>
      <c r="E14" s="1563"/>
      <c r="F14" s="1563"/>
      <c r="G14" s="1563"/>
      <c r="H14" s="1010">
        <f>SUM(H10:H13)</f>
        <v>64461642.240000002</v>
      </c>
    </row>
    <row r="15" spans="1:16" ht="33">
      <c r="A15" s="969" t="s">
        <v>29</v>
      </c>
      <c r="B15" s="970" t="s">
        <v>30</v>
      </c>
      <c r="C15" s="971" t="s">
        <v>5</v>
      </c>
      <c r="D15" s="971" t="s">
        <v>6</v>
      </c>
      <c r="E15" s="971" t="s">
        <v>7</v>
      </c>
      <c r="F15" s="971" t="s">
        <v>8</v>
      </c>
      <c r="G15" s="1011" t="s">
        <v>9</v>
      </c>
      <c r="H15" s="973" t="s">
        <v>19</v>
      </c>
    </row>
    <row r="16" spans="1:16">
      <c r="A16" s="1012" t="s">
        <v>31</v>
      </c>
      <c r="B16" s="982" t="s">
        <v>32</v>
      </c>
      <c r="C16" s="983">
        <v>1</v>
      </c>
      <c r="D16" s="1001">
        <v>0.47</v>
      </c>
      <c r="E16" s="990">
        <v>2</v>
      </c>
      <c r="F16" s="1002">
        <v>7697783</v>
      </c>
      <c r="G16" s="992">
        <v>2</v>
      </c>
      <c r="H16" s="987">
        <f>C16*D16*E16*F16*G16</f>
        <v>14471832.039999999</v>
      </c>
    </row>
    <row r="17" spans="1:16">
      <c r="A17" s="1013" t="s">
        <v>33</v>
      </c>
      <c r="B17" s="982" t="s">
        <v>34</v>
      </c>
      <c r="C17" s="1014">
        <v>1</v>
      </c>
      <c r="D17" s="1015">
        <v>0.16</v>
      </c>
      <c r="E17" s="1005">
        <v>3</v>
      </c>
      <c r="F17" s="1006">
        <v>5409251</v>
      </c>
      <c r="G17" s="1007">
        <f>+G16</f>
        <v>2</v>
      </c>
      <c r="H17" s="1016">
        <f>C17*D17*E17*F17*G17</f>
        <v>5192880.96</v>
      </c>
    </row>
    <row r="18" spans="1:16">
      <c r="A18" s="247" t="s">
        <v>35</v>
      </c>
      <c r="B18" s="1017" t="s">
        <v>36</v>
      </c>
      <c r="C18" s="259">
        <v>1</v>
      </c>
      <c r="D18" s="1001">
        <v>0.33</v>
      </c>
      <c r="E18" s="990">
        <v>2</v>
      </c>
      <c r="F18" s="1002">
        <v>6553517</v>
      </c>
      <c r="G18" s="1018">
        <v>2</v>
      </c>
      <c r="H18" s="987">
        <f>C18*D18*E18*F18*G18</f>
        <v>8650642.4399999995</v>
      </c>
    </row>
    <row r="19" spans="1:16">
      <c r="A19" s="1564" t="s">
        <v>37</v>
      </c>
      <c r="B19" s="1564"/>
      <c r="C19" s="1564"/>
      <c r="D19" s="1564"/>
      <c r="E19" s="1564"/>
      <c r="F19" s="1564"/>
      <c r="G19" s="1564"/>
      <c r="H19" s="1019">
        <f>SUM(H16:H18)</f>
        <v>28315355.439999998</v>
      </c>
    </row>
    <row r="20" spans="1:16" ht="33">
      <c r="A20" s="995" t="s">
        <v>38</v>
      </c>
      <c r="B20" s="996" t="s">
        <v>39</v>
      </c>
      <c r="C20" s="997" t="s">
        <v>5</v>
      </c>
      <c r="D20" s="997" t="s">
        <v>6</v>
      </c>
      <c r="E20" s="997" t="s">
        <v>7</v>
      </c>
      <c r="F20" s="997" t="s">
        <v>8</v>
      </c>
      <c r="G20" s="1020" t="s">
        <v>9</v>
      </c>
      <c r="H20" s="999" t="s">
        <v>19</v>
      </c>
    </row>
    <row r="21" spans="1:16">
      <c r="A21" s="1000" t="s">
        <v>40</v>
      </c>
      <c r="B21" s="1021" t="s">
        <v>41</v>
      </c>
      <c r="C21" s="983">
        <v>1</v>
      </c>
      <c r="D21" s="1001">
        <v>0.99</v>
      </c>
      <c r="E21" s="1022">
        <v>3</v>
      </c>
      <c r="F21" s="1023">
        <v>5409251</v>
      </c>
      <c r="G21" s="1024">
        <v>2</v>
      </c>
      <c r="H21" s="1016">
        <f>C21*D21*E21*F21*G21</f>
        <v>32130950.939999998</v>
      </c>
      <c r="I21" s="1025"/>
    </row>
    <row r="22" spans="1:16">
      <c r="A22" s="1000" t="s">
        <v>42</v>
      </c>
      <c r="B22" s="1021" t="s">
        <v>43</v>
      </c>
      <c r="C22" s="983">
        <v>1</v>
      </c>
      <c r="D22" s="1001">
        <v>0.99</v>
      </c>
      <c r="E22" s="1022">
        <v>3</v>
      </c>
      <c r="F22" s="1023">
        <v>5409251</v>
      </c>
      <c r="G22" s="1024">
        <v>2</v>
      </c>
      <c r="H22" s="1016">
        <f>C22*D22*E22*F22*G22</f>
        <v>32130950.939999998</v>
      </c>
      <c r="I22" s="1025"/>
    </row>
    <row r="23" spans="1:16">
      <c r="A23" s="1565" t="s">
        <v>44</v>
      </c>
      <c r="B23" s="1565"/>
      <c r="C23" s="1565"/>
      <c r="D23" s="1565"/>
      <c r="E23" s="1565"/>
      <c r="F23" s="1565"/>
      <c r="G23" s="1565"/>
      <c r="H23" s="1026">
        <f>SUM(H21:H22)</f>
        <v>64261901.879999995</v>
      </c>
      <c r="I23" s="1027"/>
      <c r="M23" s="1025"/>
    </row>
    <row r="24" spans="1:16">
      <c r="A24" s="1567" t="s">
        <v>45</v>
      </c>
      <c r="B24" s="1567"/>
      <c r="C24" s="1567"/>
      <c r="D24" s="1567"/>
      <c r="E24" s="1567"/>
      <c r="F24" s="1567"/>
      <c r="G24" s="1567"/>
      <c r="H24" s="1028">
        <f>H14+H8+H19+H23</f>
        <v>213030885.94</v>
      </c>
      <c r="J24" s="251"/>
      <c r="M24" s="1025"/>
      <c r="N24" s="1025"/>
      <c r="P24" s="1025"/>
    </row>
    <row r="25" spans="1:16">
      <c r="B25" s="1029"/>
    </row>
    <row r="26" spans="1:16">
      <c r="A26" s="1389" t="s">
        <v>46</v>
      </c>
      <c r="B26" s="1389"/>
      <c r="C26" s="1389"/>
      <c r="D26" s="1389"/>
      <c r="E26" s="1389"/>
      <c r="F26" s="1389"/>
      <c r="G26" s="1389"/>
      <c r="H26" s="1030">
        <f>+H24</f>
        <v>213030885.94</v>
      </c>
      <c r="I26" s="994"/>
    </row>
    <row r="27" spans="1:16">
      <c r="B27" s="1029"/>
      <c r="C27" s="1031"/>
      <c r="D27" s="1031"/>
    </row>
    <row r="28" spans="1:16" ht="30">
      <c r="A28" s="1568" t="s">
        <v>985</v>
      </c>
      <c r="B28" s="1568"/>
      <c r="C28" s="1568"/>
      <c r="D28" s="1568"/>
      <c r="E28" s="1568"/>
      <c r="F28" s="1568"/>
      <c r="G28" s="1568"/>
      <c r="H28" s="222"/>
      <c r="I28" s="222"/>
      <c r="J28" s="222"/>
      <c r="K28" s="222"/>
    </row>
    <row r="29" spans="1:16">
      <c r="A29" s="226" t="s">
        <v>48</v>
      </c>
      <c r="B29" s="1493" t="s">
        <v>49</v>
      </c>
      <c r="C29" s="1493"/>
      <c r="D29" s="1493"/>
      <c r="E29" s="1493"/>
      <c r="F29" s="1493"/>
      <c r="G29" s="1493"/>
    </row>
    <row r="30" spans="1:16">
      <c r="A30" s="227"/>
      <c r="B30" s="1447" t="s">
        <v>50</v>
      </c>
      <c r="C30" s="1447"/>
      <c r="D30" s="229" t="s">
        <v>51</v>
      </c>
      <c r="E30" s="230" t="s">
        <v>52</v>
      </c>
      <c r="F30" s="231" t="s">
        <v>53</v>
      </c>
      <c r="G30" s="231" t="s">
        <v>54</v>
      </c>
    </row>
    <row r="31" spans="1:16">
      <c r="A31" s="885" t="s">
        <v>55</v>
      </c>
      <c r="B31" s="1569" t="s">
        <v>56</v>
      </c>
      <c r="C31" s="1569"/>
      <c r="D31" s="1569"/>
      <c r="E31" s="1569"/>
      <c r="F31" s="1569"/>
      <c r="G31" s="1569"/>
    </row>
    <row r="32" spans="1:16">
      <c r="A32" s="233" t="s">
        <v>57</v>
      </c>
      <c r="B32" s="1540" t="s">
        <v>58</v>
      </c>
      <c r="C32" s="1540"/>
      <c r="D32" s="1032" t="s">
        <v>59</v>
      </c>
      <c r="E32" s="1032">
        <v>68</v>
      </c>
      <c r="F32" s="1033">
        <v>22927.5</v>
      </c>
      <c r="G32" s="1034">
        <f>F32*E32</f>
        <v>1559070</v>
      </c>
    </row>
    <row r="33" spans="1:8">
      <c r="A33" s="233" t="s">
        <v>60</v>
      </c>
      <c r="B33" s="1540" t="s">
        <v>61</v>
      </c>
      <c r="C33" s="1540"/>
      <c r="D33" s="1032" t="s">
        <v>62</v>
      </c>
      <c r="E33" s="1032">
        <v>4</v>
      </c>
      <c r="F33" s="1033">
        <v>51856</v>
      </c>
      <c r="G33" s="1034">
        <f t="shared" ref="G33:G34" si="0">F33*E33</f>
        <v>207424</v>
      </c>
    </row>
    <row r="34" spans="1:8">
      <c r="A34" s="233" t="s">
        <v>63</v>
      </c>
      <c r="B34" s="1558" t="s">
        <v>64</v>
      </c>
      <c r="C34" s="1558"/>
      <c r="D34" s="1032" t="s">
        <v>59</v>
      </c>
      <c r="E34" s="1032">
        <v>4</v>
      </c>
      <c r="F34" s="1033">
        <v>446250</v>
      </c>
      <c r="G34" s="1034">
        <f t="shared" si="0"/>
        <v>1785000</v>
      </c>
    </row>
    <row r="35" spans="1:8">
      <c r="A35" s="233"/>
      <c r="B35" s="1566" t="s">
        <v>65</v>
      </c>
      <c r="C35" s="1566"/>
      <c r="D35" s="1566"/>
      <c r="E35" s="1566"/>
      <c r="F35" s="1566"/>
      <c r="G35" s="1035">
        <f>SUM(G32:G34)</f>
        <v>3551494</v>
      </c>
    </row>
    <row r="36" spans="1:8">
      <c r="A36" s="227"/>
      <c r="B36" s="1447" t="s">
        <v>50</v>
      </c>
      <c r="C36" s="1447"/>
      <c r="D36" s="229" t="s">
        <v>51</v>
      </c>
      <c r="E36" s="230" t="s">
        <v>52</v>
      </c>
      <c r="F36" s="231" t="s">
        <v>53</v>
      </c>
      <c r="G36" s="231" t="s">
        <v>54</v>
      </c>
    </row>
    <row r="37" spans="1:8">
      <c r="A37" s="237" t="s">
        <v>66</v>
      </c>
      <c r="B37" s="1560" t="s">
        <v>67</v>
      </c>
      <c r="C37" s="1560"/>
      <c r="D37" s="1560"/>
      <c r="E37" s="1560"/>
      <c r="F37" s="1560"/>
      <c r="G37" s="1560"/>
      <c r="H37" s="858"/>
    </row>
    <row r="38" spans="1:8">
      <c r="A38" s="238" t="s">
        <v>68</v>
      </c>
      <c r="B38" s="1545" t="s">
        <v>61</v>
      </c>
      <c r="C38" s="1545"/>
      <c r="D38" s="1036" t="s">
        <v>62</v>
      </c>
      <c r="E38" s="1032">
        <v>4</v>
      </c>
      <c r="F38" s="1033">
        <v>51856</v>
      </c>
      <c r="G38" s="1034">
        <f>E38*F38</f>
        <v>207424</v>
      </c>
    </row>
    <row r="39" spans="1:8">
      <c r="A39" s="238" t="s">
        <v>69</v>
      </c>
      <c r="B39" s="1545" t="s">
        <v>70</v>
      </c>
      <c r="C39" s="1545"/>
      <c r="D39" s="1036" t="s">
        <v>71</v>
      </c>
      <c r="E39" s="1032">
        <v>68</v>
      </c>
      <c r="F39" s="1033">
        <v>22927.5</v>
      </c>
      <c r="G39" s="1034">
        <f t="shared" ref="G39:G40" si="1">E39*F39</f>
        <v>1559070</v>
      </c>
    </row>
    <row r="40" spans="1:8">
      <c r="A40" s="238" t="s">
        <v>72</v>
      </c>
      <c r="B40" s="1532" t="s">
        <v>64</v>
      </c>
      <c r="C40" s="1532"/>
      <c r="D40" s="1036" t="s">
        <v>59</v>
      </c>
      <c r="E40" s="1032">
        <v>2</v>
      </c>
      <c r="F40" s="1033">
        <v>446250</v>
      </c>
      <c r="G40" s="1034">
        <f t="shared" si="1"/>
        <v>892500</v>
      </c>
    </row>
    <row r="41" spans="1:8">
      <c r="A41" s="238"/>
      <c r="B41" s="1544" t="s">
        <v>73</v>
      </c>
      <c r="C41" s="1544"/>
      <c r="D41" s="1544"/>
      <c r="E41" s="1544"/>
      <c r="F41" s="1544"/>
      <c r="G41" s="1035">
        <f>SUM(G38:G40)</f>
        <v>2658994</v>
      </c>
      <c r="H41" s="859"/>
    </row>
    <row r="42" spans="1:8">
      <c r="A42" s="227"/>
      <c r="B42" s="1447" t="s">
        <v>50</v>
      </c>
      <c r="C42" s="1447"/>
      <c r="D42" s="229" t="s">
        <v>51</v>
      </c>
      <c r="E42" s="230" t="s">
        <v>52</v>
      </c>
      <c r="F42" s="231" t="s">
        <v>53</v>
      </c>
      <c r="G42" s="231" t="s">
        <v>54</v>
      </c>
    </row>
    <row r="43" spans="1:8">
      <c r="A43" s="151" t="s">
        <v>74</v>
      </c>
      <c r="B43" s="1550" t="s">
        <v>75</v>
      </c>
      <c r="C43" s="1550"/>
      <c r="D43" s="1550"/>
      <c r="E43" s="1550"/>
      <c r="F43" s="1550"/>
      <c r="G43" s="1550"/>
    </row>
    <row r="44" spans="1:8">
      <c r="A44" s="238" t="s">
        <v>76</v>
      </c>
      <c r="B44" s="1545" t="s">
        <v>61</v>
      </c>
      <c r="C44" s="1545"/>
      <c r="D44" s="281" t="s">
        <v>77</v>
      </c>
      <c r="E44" s="1032">
        <v>2</v>
      </c>
      <c r="F44" s="1033">
        <v>51856</v>
      </c>
      <c r="G44" s="1034">
        <f t="shared" ref="G44:G46" si="2">F44*E44</f>
        <v>103712</v>
      </c>
    </row>
    <row r="45" spans="1:8">
      <c r="A45" s="238" t="s">
        <v>78</v>
      </c>
      <c r="B45" s="1556" t="s">
        <v>79</v>
      </c>
      <c r="C45" s="1556"/>
      <c r="D45" s="281" t="s">
        <v>59</v>
      </c>
      <c r="E45" s="1032">
        <v>34</v>
      </c>
      <c r="F45" s="1033">
        <v>22927.5</v>
      </c>
      <c r="G45" s="1034">
        <f t="shared" si="2"/>
        <v>779535</v>
      </c>
    </row>
    <row r="46" spans="1:8">
      <c r="A46" s="238" t="s">
        <v>80</v>
      </c>
      <c r="B46" s="1556" t="s">
        <v>64</v>
      </c>
      <c r="C46" s="1556"/>
      <c r="D46" s="281" t="s">
        <v>59</v>
      </c>
      <c r="E46" s="1032">
        <v>2</v>
      </c>
      <c r="F46" s="1038">
        <v>446250</v>
      </c>
      <c r="G46" s="1034">
        <f t="shared" si="2"/>
        <v>892500</v>
      </c>
    </row>
    <row r="47" spans="1:8">
      <c r="A47" s="245"/>
      <c r="B47" s="1570" t="s">
        <v>81</v>
      </c>
      <c r="C47" s="1570"/>
      <c r="D47" s="1570"/>
      <c r="E47" s="1570"/>
      <c r="F47" s="1570"/>
      <c r="G47" s="1039">
        <f>SUM(G44:G46)</f>
        <v>1775747</v>
      </c>
      <c r="H47" s="224"/>
    </row>
    <row r="48" spans="1:8">
      <c r="A48" s="227"/>
      <c r="B48" s="1447" t="s">
        <v>50</v>
      </c>
      <c r="C48" s="1447"/>
      <c r="D48" s="229" t="s">
        <v>51</v>
      </c>
      <c r="E48" s="230" t="s">
        <v>52</v>
      </c>
      <c r="F48" s="231" t="s">
        <v>53</v>
      </c>
      <c r="G48" s="231" t="s">
        <v>54</v>
      </c>
    </row>
    <row r="49" spans="1:8">
      <c r="A49" s="247" t="s">
        <v>82</v>
      </c>
      <c r="B49" s="1560" t="s">
        <v>83</v>
      </c>
      <c r="C49" s="1560"/>
      <c r="D49" s="1560"/>
      <c r="E49" s="1560"/>
      <c r="F49" s="1560"/>
      <c r="G49" s="1560"/>
    </row>
    <row r="50" spans="1:8">
      <c r="A50" s="248" t="s">
        <v>84</v>
      </c>
      <c r="B50" s="1545" t="s">
        <v>61</v>
      </c>
      <c r="C50" s="1545"/>
      <c r="D50" s="259" t="s">
        <v>77</v>
      </c>
      <c r="E50" s="1032">
        <v>3</v>
      </c>
      <c r="F50" s="1033">
        <v>51856</v>
      </c>
      <c r="G50" s="1040">
        <f t="shared" ref="G50" si="3">F50*E50</f>
        <v>155568</v>
      </c>
    </row>
    <row r="51" spans="1:8">
      <c r="A51" s="248" t="s">
        <v>85</v>
      </c>
      <c r="B51" s="1545" t="s">
        <v>86</v>
      </c>
      <c r="C51" s="1545"/>
      <c r="D51" s="259" t="s">
        <v>59</v>
      </c>
      <c r="E51" s="1032">
        <v>3</v>
      </c>
      <c r="F51" s="1033">
        <v>623034</v>
      </c>
      <c r="G51" s="1040">
        <f>F51*E51</f>
        <v>1869102</v>
      </c>
      <c r="H51" s="251"/>
    </row>
    <row r="52" spans="1:8">
      <c r="A52" s="248" t="s">
        <v>87</v>
      </c>
      <c r="B52" s="1553" t="s">
        <v>64</v>
      </c>
      <c r="C52" s="1553"/>
      <c r="D52" s="259" t="s">
        <v>59</v>
      </c>
      <c r="E52" s="1032">
        <v>3</v>
      </c>
      <c r="F52" s="1033">
        <v>446250</v>
      </c>
      <c r="G52" s="1040">
        <f>F52*E52</f>
        <v>1338750</v>
      </c>
    </row>
    <row r="53" spans="1:8">
      <c r="A53" s="248" t="s">
        <v>88</v>
      </c>
      <c r="B53" s="1559" t="s">
        <v>89</v>
      </c>
      <c r="C53" s="1559"/>
      <c r="D53" s="259" t="s">
        <v>59</v>
      </c>
      <c r="E53" s="1032">
        <v>3</v>
      </c>
      <c r="F53" s="1033">
        <v>727273</v>
      </c>
      <c r="G53" s="1040">
        <f>F53*E53</f>
        <v>2181819</v>
      </c>
    </row>
    <row r="54" spans="1:8">
      <c r="A54" s="245"/>
      <c r="B54" s="1550" t="s">
        <v>90</v>
      </c>
      <c r="C54" s="1550"/>
      <c r="D54" s="1550"/>
      <c r="E54" s="1550"/>
      <c r="F54" s="1550"/>
      <c r="G54" s="1041">
        <f>SUM(G50:G53)</f>
        <v>5545239</v>
      </c>
      <c r="H54" s="224"/>
    </row>
    <row r="55" spans="1:8">
      <c r="A55" s="225" t="s">
        <v>91</v>
      </c>
      <c r="B55" s="1476" t="s">
        <v>92</v>
      </c>
      <c r="C55" s="1476"/>
      <c r="D55" s="1476"/>
      <c r="E55" s="1476"/>
      <c r="F55" s="1476"/>
      <c r="G55" s="1476"/>
    </row>
    <row r="56" spans="1:8">
      <c r="A56" s="225"/>
      <c r="B56" s="1471" t="s">
        <v>50</v>
      </c>
      <c r="C56" s="1471"/>
      <c r="D56" s="254" t="s">
        <v>51</v>
      </c>
      <c r="E56" s="255" t="s">
        <v>52</v>
      </c>
      <c r="F56" s="256" t="s">
        <v>53</v>
      </c>
      <c r="G56" s="256" t="s">
        <v>54</v>
      </c>
    </row>
    <row r="57" spans="1:8" s="859" customFormat="1">
      <c r="A57" s="262" t="s">
        <v>93</v>
      </c>
      <c r="B57" s="1555" t="s">
        <v>94</v>
      </c>
      <c r="C57" s="1555"/>
      <c r="D57" s="1555"/>
      <c r="E57" s="1555"/>
      <c r="F57" s="1555"/>
      <c r="G57" s="1555"/>
    </row>
    <row r="58" spans="1:8">
      <c r="A58" s="259" t="s">
        <v>95</v>
      </c>
      <c r="B58" s="1545" t="s">
        <v>96</v>
      </c>
      <c r="C58" s="1545"/>
      <c r="D58" s="259" t="s">
        <v>77</v>
      </c>
      <c r="E58" s="281">
        <v>40</v>
      </c>
      <c r="F58" s="1042">
        <v>51856</v>
      </c>
      <c r="G58" s="1043">
        <f t="shared" ref="G58:G61" si="4">E58*F58</f>
        <v>2074240</v>
      </c>
    </row>
    <row r="59" spans="1:8">
      <c r="A59" s="259" t="s">
        <v>97</v>
      </c>
      <c r="B59" s="1556" t="s">
        <v>70</v>
      </c>
      <c r="C59" s="1556"/>
      <c r="D59" s="259" t="s">
        <v>71</v>
      </c>
      <c r="E59" s="281">
        <v>320</v>
      </c>
      <c r="F59" s="1042">
        <v>22927.5</v>
      </c>
      <c r="G59" s="1043">
        <f t="shared" si="4"/>
        <v>7336800</v>
      </c>
    </row>
    <row r="60" spans="1:8">
      <c r="A60" s="259" t="s">
        <v>98</v>
      </c>
      <c r="B60" s="1556" t="s">
        <v>99</v>
      </c>
      <c r="C60" s="1556"/>
      <c r="D60" s="259" t="s">
        <v>71</v>
      </c>
      <c r="E60" s="281">
        <v>68</v>
      </c>
      <c r="F60" s="1042">
        <v>41835</v>
      </c>
      <c r="G60" s="1043">
        <f t="shared" si="4"/>
        <v>2844780</v>
      </c>
      <c r="H60" s="251"/>
    </row>
    <row r="61" spans="1:8">
      <c r="A61" s="259" t="s">
        <v>100</v>
      </c>
      <c r="B61" s="1557" t="s">
        <v>64</v>
      </c>
      <c r="C61" s="1557"/>
      <c r="D61" s="259" t="s">
        <v>71</v>
      </c>
      <c r="E61" s="281">
        <v>10</v>
      </c>
      <c r="F61" s="1042">
        <v>446250</v>
      </c>
      <c r="G61" s="1043">
        <f t="shared" si="4"/>
        <v>4462500</v>
      </c>
    </row>
    <row r="62" spans="1:8">
      <c r="A62" s="259" t="s">
        <v>101</v>
      </c>
      <c r="B62" s="1558" t="s">
        <v>102</v>
      </c>
      <c r="C62" s="1558"/>
      <c r="D62" s="259" t="s">
        <v>71</v>
      </c>
      <c r="E62" s="281">
        <v>17</v>
      </c>
      <c r="F62" s="1042">
        <v>38274</v>
      </c>
      <c r="G62" s="1043">
        <f>E62*F62</f>
        <v>650658</v>
      </c>
    </row>
    <row r="63" spans="1:8">
      <c r="A63" s="262"/>
      <c r="B63" s="1544" t="s">
        <v>103</v>
      </c>
      <c r="C63" s="1544"/>
      <c r="D63" s="1544"/>
      <c r="E63" s="1544"/>
      <c r="F63" s="1544"/>
      <c r="G63" s="1044">
        <f>SUM(G58:G62)</f>
        <v>17368978</v>
      </c>
    </row>
    <row r="64" spans="1:8">
      <c r="A64" s="225" t="s">
        <v>104</v>
      </c>
      <c r="B64" s="1476" t="s">
        <v>105</v>
      </c>
      <c r="C64" s="1476"/>
      <c r="D64" s="1476"/>
      <c r="E64" s="1476"/>
      <c r="F64" s="1476"/>
      <c r="G64" s="1476"/>
    </row>
    <row r="65" spans="1:8">
      <c r="A65" s="225"/>
      <c r="B65" s="1471" t="s">
        <v>50</v>
      </c>
      <c r="C65" s="1471"/>
      <c r="D65" s="254" t="s">
        <v>51</v>
      </c>
      <c r="E65" s="255" t="s">
        <v>52</v>
      </c>
      <c r="F65" s="256" t="s">
        <v>53</v>
      </c>
      <c r="G65" s="256" t="s">
        <v>54</v>
      </c>
    </row>
    <row r="66" spans="1:8">
      <c r="A66" s="262" t="s">
        <v>106</v>
      </c>
      <c r="B66" s="1421" t="s">
        <v>107</v>
      </c>
      <c r="C66" s="1421"/>
      <c r="D66" s="1421"/>
      <c r="E66" s="1421"/>
      <c r="F66" s="1421"/>
      <c r="G66" s="1421"/>
    </row>
    <row r="67" spans="1:8">
      <c r="A67" s="259" t="s">
        <v>108</v>
      </c>
      <c r="B67" s="1553" t="s">
        <v>96</v>
      </c>
      <c r="C67" s="1553"/>
      <c r="D67" s="259" t="s">
        <v>77</v>
      </c>
      <c r="E67" s="259">
        <v>40</v>
      </c>
      <c r="F67" s="1033">
        <v>51856</v>
      </c>
      <c r="G67" s="1045">
        <f>F67*E67</f>
        <v>2074240</v>
      </c>
    </row>
    <row r="68" spans="1:8">
      <c r="A68" s="259" t="s">
        <v>109</v>
      </c>
      <c r="B68" s="1554" t="s">
        <v>70</v>
      </c>
      <c r="C68" s="1554"/>
      <c r="D68" s="259" t="s">
        <v>71</v>
      </c>
      <c r="E68" s="259">
        <v>308</v>
      </c>
      <c r="F68" s="1033">
        <v>22927.5</v>
      </c>
      <c r="G68" s="1045">
        <f>F68*E68</f>
        <v>7061670</v>
      </c>
    </row>
    <row r="69" spans="1:8">
      <c r="A69" s="259" t="s">
        <v>110</v>
      </c>
      <c r="B69" s="1549" t="s">
        <v>64</v>
      </c>
      <c r="C69" s="1549"/>
      <c r="D69" s="259" t="s">
        <v>71</v>
      </c>
      <c r="E69" s="259">
        <v>7</v>
      </c>
      <c r="F69" s="1033">
        <v>446250</v>
      </c>
      <c r="G69" s="1045">
        <f>F69*E69</f>
        <v>3123750</v>
      </c>
    </row>
    <row r="70" spans="1:8">
      <c r="A70" s="259" t="s">
        <v>111</v>
      </c>
      <c r="B70" s="1549" t="s">
        <v>112</v>
      </c>
      <c r="C70" s="1549"/>
      <c r="D70" s="259" t="s">
        <v>71</v>
      </c>
      <c r="E70" s="259">
        <v>51</v>
      </c>
      <c r="F70" s="1033">
        <v>41835</v>
      </c>
      <c r="G70" s="1045">
        <f>F70*E70</f>
        <v>2133585</v>
      </c>
    </row>
    <row r="71" spans="1:8" ht="29.25" customHeight="1">
      <c r="A71" s="259"/>
      <c r="B71" s="1551" t="s">
        <v>113</v>
      </c>
      <c r="C71" s="1551"/>
      <c r="D71" s="1551"/>
      <c r="E71" s="1551"/>
      <c r="F71" s="1551"/>
      <c r="G71" s="1046">
        <f>SUM(G66:G70)</f>
        <v>14393245</v>
      </c>
      <c r="H71" s="859"/>
    </row>
    <row r="72" spans="1:8">
      <c r="A72" s="227"/>
      <c r="B72" s="1447" t="s">
        <v>50</v>
      </c>
      <c r="C72" s="1447"/>
      <c r="D72" s="229" t="s">
        <v>51</v>
      </c>
      <c r="E72" s="230" t="s">
        <v>52</v>
      </c>
      <c r="F72" s="231" t="s">
        <v>53</v>
      </c>
      <c r="G72" s="231" t="s">
        <v>54</v>
      </c>
    </row>
    <row r="73" spans="1:8" ht="33" customHeight="1">
      <c r="A73" s="262" t="s">
        <v>114</v>
      </c>
      <c r="B73" s="1550" t="s">
        <v>115</v>
      </c>
      <c r="C73" s="1550"/>
      <c r="D73" s="1550"/>
      <c r="E73" s="1550"/>
      <c r="F73" s="1550"/>
      <c r="G73" s="1047"/>
    </row>
    <row r="74" spans="1:8">
      <c r="A74" s="259" t="s">
        <v>116</v>
      </c>
      <c r="B74" s="1552" t="s">
        <v>96</v>
      </c>
      <c r="C74" s="1552"/>
      <c r="D74" s="281" t="s">
        <v>77</v>
      </c>
      <c r="E74" s="1048">
        <v>2</v>
      </c>
      <c r="F74" s="1049">
        <v>51856</v>
      </c>
      <c r="G74" s="1050">
        <f>F74*E74</f>
        <v>103712</v>
      </c>
      <c r="H74" s="251"/>
    </row>
    <row r="75" spans="1:8">
      <c r="A75" s="259" t="s">
        <v>117</v>
      </c>
      <c r="B75" s="1547" t="s">
        <v>70</v>
      </c>
      <c r="C75" s="1547"/>
      <c r="D75" s="88" t="s">
        <v>71</v>
      </c>
      <c r="E75" s="1048">
        <v>54</v>
      </c>
      <c r="F75" s="1042">
        <v>22927.5</v>
      </c>
      <c r="G75" s="1050">
        <f>F75*E75</f>
        <v>1238085</v>
      </c>
    </row>
    <row r="76" spans="1:8">
      <c r="A76" s="259" t="s">
        <v>118</v>
      </c>
      <c r="B76" s="1548" t="s">
        <v>119</v>
      </c>
      <c r="C76" s="1548"/>
      <c r="D76" s="88" t="s">
        <v>71</v>
      </c>
      <c r="E76" s="1048">
        <v>54</v>
      </c>
      <c r="F76" s="1042">
        <v>41835</v>
      </c>
      <c r="G76" s="1050">
        <f>F76*E76</f>
        <v>2259090</v>
      </c>
    </row>
    <row r="77" spans="1:8">
      <c r="A77" s="259" t="s">
        <v>120</v>
      </c>
      <c r="B77" s="1549" t="s">
        <v>121</v>
      </c>
      <c r="C77" s="1549"/>
      <c r="D77" s="88" t="s">
        <v>71</v>
      </c>
      <c r="E77" s="1048">
        <v>54</v>
      </c>
      <c r="F77" s="1042">
        <v>41835</v>
      </c>
      <c r="G77" s="1050">
        <f>F77*E77</f>
        <v>2259090</v>
      </c>
    </row>
    <row r="78" spans="1:8">
      <c r="A78" s="259" t="s">
        <v>122</v>
      </c>
      <c r="B78" s="1549" t="s">
        <v>123</v>
      </c>
      <c r="C78" s="1549"/>
      <c r="D78" s="88" t="s">
        <v>71</v>
      </c>
      <c r="E78" s="1048">
        <v>2</v>
      </c>
      <c r="F78" s="1042">
        <v>1640000</v>
      </c>
      <c r="G78" s="1050">
        <f>F78*E78</f>
        <v>3280000</v>
      </c>
    </row>
    <row r="79" spans="1:8" ht="32.25" customHeight="1">
      <c r="A79" s="262"/>
      <c r="B79" s="1550" t="s">
        <v>124</v>
      </c>
      <c r="C79" s="1550"/>
      <c r="D79" s="1550"/>
      <c r="E79" s="1550"/>
      <c r="F79" s="1550"/>
      <c r="G79" s="1047">
        <f>SUM(G74:G78)</f>
        <v>9139977</v>
      </c>
    </row>
    <row r="80" spans="1:8">
      <c r="A80" s="227"/>
      <c r="B80" s="1447" t="s">
        <v>50</v>
      </c>
      <c r="C80" s="1447"/>
      <c r="D80" s="229" t="s">
        <v>51</v>
      </c>
      <c r="E80" s="230" t="s">
        <v>52</v>
      </c>
      <c r="F80" s="231" t="s">
        <v>53</v>
      </c>
      <c r="G80" s="231" t="s">
        <v>54</v>
      </c>
    </row>
    <row r="81" spans="1:8">
      <c r="A81" s="245" t="s">
        <v>125</v>
      </c>
      <c r="B81" s="1544" t="s">
        <v>126</v>
      </c>
      <c r="C81" s="1544"/>
      <c r="D81" s="1544"/>
      <c r="E81" s="1544"/>
      <c r="F81" s="1544"/>
      <c r="G81" s="1544"/>
      <c r="H81" s="224"/>
    </row>
    <row r="82" spans="1:8">
      <c r="A82" s="281" t="s">
        <v>127</v>
      </c>
      <c r="B82" s="1532" t="s">
        <v>96</v>
      </c>
      <c r="C82" s="1532"/>
      <c r="D82" s="1052" t="s">
        <v>77</v>
      </c>
      <c r="E82" s="281">
        <v>7</v>
      </c>
      <c r="F82" s="1053">
        <v>51856</v>
      </c>
      <c r="G82" s="1054">
        <f t="shared" ref="G82:G88" si="5">F82*E82</f>
        <v>362992</v>
      </c>
      <c r="H82" s="224"/>
    </row>
    <row r="83" spans="1:8">
      <c r="A83" s="281" t="s">
        <v>128</v>
      </c>
      <c r="B83" s="1532" t="s">
        <v>70</v>
      </c>
      <c r="C83" s="1532"/>
      <c r="D83" s="88" t="s">
        <v>71</v>
      </c>
      <c r="E83" s="281">
        <v>140</v>
      </c>
      <c r="F83" s="1053">
        <v>22927.5</v>
      </c>
      <c r="G83" s="1054">
        <f t="shared" si="5"/>
        <v>3209850</v>
      </c>
      <c r="H83" s="224"/>
    </row>
    <row r="84" spans="1:8">
      <c r="A84" s="281" t="s">
        <v>129</v>
      </c>
      <c r="B84" s="1532" t="s">
        <v>130</v>
      </c>
      <c r="C84" s="1532"/>
      <c r="D84" s="88" t="s">
        <v>71</v>
      </c>
      <c r="E84" s="281">
        <v>3</v>
      </c>
      <c r="F84" s="1053">
        <v>352320</v>
      </c>
      <c r="G84" s="1054">
        <f t="shared" si="5"/>
        <v>1056960</v>
      </c>
      <c r="H84" s="224"/>
    </row>
    <row r="85" spans="1:8">
      <c r="A85" s="281" t="s">
        <v>131</v>
      </c>
      <c r="B85" s="1532" t="s">
        <v>132</v>
      </c>
      <c r="C85" s="1532"/>
      <c r="D85" s="88" t="s">
        <v>71</v>
      </c>
      <c r="E85" s="281">
        <v>6</v>
      </c>
      <c r="F85" s="1053">
        <v>727273</v>
      </c>
      <c r="G85" s="1054">
        <f t="shared" si="5"/>
        <v>4363638</v>
      </c>
      <c r="H85" s="224"/>
    </row>
    <row r="86" spans="1:8">
      <c r="A86" s="281" t="s">
        <v>133</v>
      </c>
      <c r="B86" s="1532" t="s">
        <v>134</v>
      </c>
      <c r="C86" s="1532"/>
      <c r="D86" s="88" t="s">
        <v>71</v>
      </c>
      <c r="E86" s="281">
        <v>1</v>
      </c>
      <c r="F86" s="1053">
        <v>8656250</v>
      </c>
      <c r="G86" s="1054">
        <f t="shared" si="5"/>
        <v>8656250</v>
      </c>
      <c r="H86" s="224"/>
    </row>
    <row r="87" spans="1:8">
      <c r="A87" s="281" t="s">
        <v>135</v>
      </c>
      <c r="B87" s="1539" t="s">
        <v>136</v>
      </c>
      <c r="C87" s="1539"/>
      <c r="D87" s="88" t="s">
        <v>71</v>
      </c>
      <c r="E87" s="281">
        <v>40</v>
      </c>
      <c r="F87" s="1053">
        <v>69790.047500000001</v>
      </c>
      <c r="G87" s="1054">
        <f t="shared" si="5"/>
        <v>2791601.9</v>
      </c>
      <c r="H87" s="224"/>
    </row>
    <row r="88" spans="1:8">
      <c r="A88" s="281" t="s">
        <v>137</v>
      </c>
      <c r="B88" s="1539" t="s">
        <v>64</v>
      </c>
      <c r="C88" s="1539"/>
      <c r="D88" s="88" t="s">
        <v>71</v>
      </c>
      <c r="E88" s="281">
        <v>6</v>
      </c>
      <c r="F88" s="1053">
        <v>446250</v>
      </c>
      <c r="G88" s="1054">
        <f t="shared" si="5"/>
        <v>2677500</v>
      </c>
      <c r="H88" s="224"/>
    </row>
    <row r="89" spans="1:8" ht="31.5" customHeight="1">
      <c r="A89" s="245"/>
      <c r="B89" s="1544" t="s">
        <v>138</v>
      </c>
      <c r="C89" s="1544"/>
      <c r="D89" s="1544"/>
      <c r="E89" s="1544"/>
      <c r="F89" s="1544"/>
      <c r="G89" s="1041">
        <f>SUM(G82:G88)</f>
        <v>23118791.899999999</v>
      </c>
      <c r="H89" s="860"/>
    </row>
    <row r="90" spans="1:8">
      <c r="A90" s="227"/>
      <c r="B90" s="1447" t="s">
        <v>50</v>
      </c>
      <c r="C90" s="1447"/>
      <c r="D90" s="229" t="s">
        <v>51</v>
      </c>
      <c r="E90" s="230" t="s">
        <v>52</v>
      </c>
      <c r="F90" s="231" t="s">
        <v>53</v>
      </c>
      <c r="G90" s="231" t="s">
        <v>54</v>
      </c>
    </row>
    <row r="91" spans="1:8">
      <c r="A91" s="286" t="s">
        <v>139</v>
      </c>
      <c r="B91" s="1546" t="s">
        <v>140</v>
      </c>
      <c r="C91" s="1546"/>
      <c r="D91" s="1546"/>
      <c r="E91" s="1546"/>
      <c r="F91" s="1546"/>
      <c r="G91" s="1546"/>
    </row>
    <row r="92" spans="1:8">
      <c r="A92" s="287" t="s">
        <v>141</v>
      </c>
      <c r="B92" s="1542" t="s">
        <v>96</v>
      </c>
      <c r="C92" s="1542"/>
      <c r="D92" s="1052" t="s">
        <v>77</v>
      </c>
      <c r="E92" s="884">
        <v>10</v>
      </c>
      <c r="F92" s="1055">
        <v>51856</v>
      </c>
      <c r="G92" s="1056">
        <f>F92*E92</f>
        <v>518560</v>
      </c>
    </row>
    <row r="93" spans="1:8">
      <c r="A93" s="287" t="s">
        <v>142</v>
      </c>
      <c r="B93" s="1532" t="s">
        <v>70</v>
      </c>
      <c r="C93" s="1532"/>
      <c r="D93" s="1052" t="s">
        <v>71</v>
      </c>
      <c r="E93" s="281">
        <v>104</v>
      </c>
      <c r="F93" s="1055">
        <v>22927.5</v>
      </c>
      <c r="G93" s="1056">
        <f>F93*E93</f>
        <v>2384460</v>
      </c>
    </row>
    <row r="94" spans="1:8">
      <c r="A94" s="287" t="s">
        <v>143</v>
      </c>
      <c r="B94" s="1532" t="s">
        <v>144</v>
      </c>
      <c r="C94" s="1532"/>
      <c r="D94" s="1052" t="s">
        <v>71</v>
      </c>
      <c r="E94" s="281">
        <v>8</v>
      </c>
      <c r="F94" s="1055">
        <v>62864</v>
      </c>
      <c r="G94" s="1056">
        <f>F94*E94</f>
        <v>502912</v>
      </c>
    </row>
    <row r="95" spans="1:8">
      <c r="A95" s="291"/>
      <c r="B95" s="1544" t="s">
        <v>145</v>
      </c>
      <c r="C95" s="1544"/>
      <c r="D95" s="1544"/>
      <c r="E95" s="1544"/>
      <c r="F95" s="1544"/>
      <c r="G95" s="1057">
        <f>SUM(G92:G94)</f>
        <v>3405932</v>
      </c>
      <c r="H95" s="859"/>
    </row>
    <row r="96" spans="1:8">
      <c r="A96" s="227"/>
      <c r="B96" s="1447" t="s">
        <v>50</v>
      </c>
      <c r="C96" s="1447"/>
      <c r="D96" s="229" t="s">
        <v>51</v>
      </c>
      <c r="E96" s="230" t="s">
        <v>52</v>
      </c>
      <c r="F96" s="231" t="s">
        <v>53</v>
      </c>
      <c r="G96" s="231" t="s">
        <v>54</v>
      </c>
    </row>
    <row r="97" spans="1:8">
      <c r="A97" s="291" t="s">
        <v>146</v>
      </c>
      <c r="B97" s="1544" t="s">
        <v>147</v>
      </c>
      <c r="C97" s="1544"/>
      <c r="D97" s="1544"/>
      <c r="E97" s="1544"/>
      <c r="F97" s="1544"/>
      <c r="G97" s="1544"/>
    </row>
    <row r="98" spans="1:8">
      <c r="A98" s="88" t="s">
        <v>148</v>
      </c>
      <c r="B98" s="1542" t="s">
        <v>149</v>
      </c>
      <c r="C98" s="1542"/>
      <c r="D98" s="1052" t="s">
        <v>71</v>
      </c>
      <c r="E98" s="884">
        <v>1</v>
      </c>
      <c r="F98" s="1058">
        <v>9617500</v>
      </c>
      <c r="G98" s="1056">
        <f>F98*E98</f>
        <v>9617500</v>
      </c>
    </row>
    <row r="99" spans="1:8">
      <c r="A99" s="88" t="s">
        <v>150</v>
      </c>
      <c r="B99" s="1532" t="s">
        <v>151</v>
      </c>
      <c r="C99" s="1532"/>
      <c r="D99" s="1052" t="s">
        <v>71</v>
      </c>
      <c r="E99" s="281">
        <v>1</v>
      </c>
      <c r="F99" s="1059">
        <v>10190000</v>
      </c>
      <c r="G99" s="1056">
        <f>F99*E99</f>
        <v>10190000</v>
      </c>
      <c r="H99" s="224"/>
    </row>
    <row r="100" spans="1:8">
      <c r="A100" s="291"/>
      <c r="B100" s="1541" t="s">
        <v>152</v>
      </c>
      <c r="C100" s="1541"/>
      <c r="D100" s="1541"/>
      <c r="E100" s="1541"/>
      <c r="F100" s="1541"/>
      <c r="G100" s="1057">
        <f>SUM(G98:G99)</f>
        <v>19807500</v>
      </c>
      <c r="H100" s="224"/>
    </row>
    <row r="101" spans="1:8">
      <c r="A101" s="225" t="s">
        <v>153</v>
      </c>
      <c r="B101" s="1476" t="s">
        <v>154</v>
      </c>
      <c r="C101" s="1476"/>
      <c r="D101" s="1476"/>
      <c r="E101" s="1476"/>
      <c r="F101" s="1476"/>
      <c r="G101" s="1476"/>
    </row>
    <row r="102" spans="1:8">
      <c r="A102" s="225"/>
      <c r="B102" s="1471" t="s">
        <v>50</v>
      </c>
      <c r="C102" s="1471"/>
      <c r="D102" s="254" t="s">
        <v>51</v>
      </c>
      <c r="E102" s="255" t="s">
        <v>52</v>
      </c>
      <c r="F102" s="256" t="s">
        <v>53</v>
      </c>
      <c r="G102" s="256" t="s">
        <v>54</v>
      </c>
    </row>
    <row r="103" spans="1:8">
      <c r="A103" s="291" t="s">
        <v>155</v>
      </c>
      <c r="B103" s="1533" t="s">
        <v>156</v>
      </c>
      <c r="C103" s="1533"/>
      <c r="D103" s="1533"/>
      <c r="E103" s="1533"/>
      <c r="F103" s="1533"/>
      <c r="G103" s="1533"/>
      <c r="H103" s="224"/>
    </row>
    <row r="104" spans="1:8">
      <c r="A104" s="88" t="s">
        <v>157</v>
      </c>
      <c r="B104" s="1532" t="s">
        <v>61</v>
      </c>
      <c r="C104" s="1532"/>
      <c r="D104" s="1052" t="s">
        <v>77</v>
      </c>
      <c r="E104" s="1060">
        <v>4</v>
      </c>
      <c r="F104" s="1061">
        <v>51856</v>
      </c>
      <c r="G104" s="1056">
        <f>F104*E104</f>
        <v>207424</v>
      </c>
      <c r="H104" s="224"/>
    </row>
    <row r="105" spans="1:8">
      <c r="A105" s="88" t="s">
        <v>158</v>
      </c>
      <c r="B105" s="1542" t="s">
        <v>159</v>
      </c>
      <c r="C105" s="1542"/>
      <c r="D105" s="1052" t="s">
        <v>71</v>
      </c>
      <c r="E105" s="1060">
        <v>68</v>
      </c>
      <c r="F105" s="1061">
        <v>22927.5</v>
      </c>
      <c r="G105" s="1056">
        <f>F105*E105</f>
        <v>1559070</v>
      </c>
      <c r="H105" s="224"/>
    </row>
    <row r="106" spans="1:8">
      <c r="A106" s="291"/>
      <c r="B106" s="1543" t="s">
        <v>160</v>
      </c>
      <c r="C106" s="1543"/>
      <c r="D106" s="1543"/>
      <c r="E106" s="1543"/>
      <c r="F106" s="1543"/>
      <c r="G106" s="1057">
        <f>SUM(G104:G105)</f>
        <v>1766494</v>
      </c>
      <c r="H106" s="860"/>
    </row>
    <row r="107" spans="1:8">
      <c r="A107" s="225"/>
      <c r="B107" s="1471" t="s">
        <v>50</v>
      </c>
      <c r="C107" s="1471"/>
      <c r="D107" s="254" t="s">
        <v>51</v>
      </c>
      <c r="E107" s="255" t="s">
        <v>52</v>
      </c>
      <c r="F107" s="256" t="s">
        <v>53</v>
      </c>
      <c r="G107" s="256" t="s">
        <v>54</v>
      </c>
      <c r="H107" s="224"/>
    </row>
    <row r="108" spans="1:8">
      <c r="A108" s="291" t="s">
        <v>161</v>
      </c>
      <c r="B108" s="1544" t="s">
        <v>162</v>
      </c>
      <c r="C108" s="1544"/>
      <c r="D108" s="1544"/>
      <c r="E108" s="1544"/>
      <c r="F108" s="1544"/>
      <c r="G108" s="1544"/>
      <c r="H108" s="224"/>
    </row>
    <row r="109" spans="1:8">
      <c r="A109" s="88" t="s">
        <v>163</v>
      </c>
      <c r="B109" s="1545" t="s">
        <v>96</v>
      </c>
      <c r="C109" s="1545"/>
      <c r="D109" s="1032" t="s">
        <v>77</v>
      </c>
      <c r="E109" s="259">
        <v>10</v>
      </c>
      <c r="F109" s="1055">
        <v>51856</v>
      </c>
      <c r="G109" s="1056">
        <f>F109*E109</f>
        <v>518560</v>
      </c>
    </row>
    <row r="110" spans="1:8">
      <c r="A110" s="88" t="s">
        <v>164</v>
      </c>
      <c r="B110" s="1545" t="s">
        <v>79</v>
      </c>
      <c r="C110" s="1545"/>
      <c r="D110" s="1032" t="s">
        <v>71</v>
      </c>
      <c r="E110" s="287">
        <v>170</v>
      </c>
      <c r="F110" s="1055">
        <v>22927.5</v>
      </c>
      <c r="G110" s="1056">
        <f>F110*E110</f>
        <v>3897675</v>
      </c>
    </row>
    <row r="111" spans="1:8">
      <c r="A111" s="88" t="s">
        <v>165</v>
      </c>
      <c r="B111" s="1540" t="s">
        <v>166</v>
      </c>
      <c r="C111" s="1540"/>
      <c r="D111" s="1032" t="s">
        <v>71</v>
      </c>
      <c r="E111" s="287">
        <v>3</v>
      </c>
      <c r="F111" s="1055">
        <v>446250</v>
      </c>
      <c r="G111" s="1056">
        <f>F111*E111</f>
        <v>1338750</v>
      </c>
    </row>
    <row r="112" spans="1:8">
      <c r="A112" s="88"/>
      <c r="B112" s="1541" t="s">
        <v>167</v>
      </c>
      <c r="C112" s="1541"/>
      <c r="D112" s="1541"/>
      <c r="E112" s="1541"/>
      <c r="F112" s="1541"/>
      <c r="G112" s="1039">
        <f>SUM(G109:G111)</f>
        <v>5754985</v>
      </c>
      <c r="H112" s="859"/>
    </row>
    <row r="113" spans="1:8">
      <c r="A113" s="227"/>
      <c r="B113" s="1447" t="s">
        <v>50</v>
      </c>
      <c r="C113" s="1447"/>
      <c r="D113" s="229" t="s">
        <v>51</v>
      </c>
      <c r="E113" s="230" t="s">
        <v>52</v>
      </c>
      <c r="F113" s="231" t="s">
        <v>53</v>
      </c>
      <c r="G113" s="231" t="s">
        <v>54</v>
      </c>
    </row>
    <row r="114" spans="1:8" ht="27" customHeight="1">
      <c r="A114" s="291" t="s">
        <v>168</v>
      </c>
      <c r="B114" s="1533" t="s">
        <v>169</v>
      </c>
      <c r="C114" s="1533"/>
      <c r="D114" s="1533"/>
      <c r="E114" s="1533"/>
      <c r="F114" s="1533"/>
      <c r="G114" s="1533"/>
    </row>
    <row r="115" spans="1:8">
      <c r="A115" s="88" t="s">
        <v>170</v>
      </c>
      <c r="B115" s="1539" t="s">
        <v>61</v>
      </c>
      <c r="C115" s="1539"/>
      <c r="D115" s="281" t="s">
        <v>77</v>
      </c>
      <c r="E115" s="281">
        <v>5</v>
      </c>
      <c r="F115" s="1062">
        <v>51856</v>
      </c>
      <c r="G115" s="1054">
        <f>F115*E115</f>
        <v>259280</v>
      </c>
    </row>
    <row r="116" spans="1:8">
      <c r="A116" s="88" t="s">
        <v>171</v>
      </c>
      <c r="B116" s="1539" t="s">
        <v>58</v>
      </c>
      <c r="C116" s="1539"/>
      <c r="D116" s="281" t="s">
        <v>71</v>
      </c>
      <c r="E116" s="281">
        <v>51</v>
      </c>
      <c r="F116" s="1062">
        <v>22927.5</v>
      </c>
      <c r="G116" s="1054">
        <f>F116*E116</f>
        <v>1169302.5</v>
      </c>
    </row>
    <row r="117" spans="1:8">
      <c r="A117" s="88" t="s">
        <v>172</v>
      </c>
      <c r="B117" s="1539" t="s">
        <v>89</v>
      </c>
      <c r="C117" s="1539"/>
      <c r="D117" s="281" t="s">
        <v>71</v>
      </c>
      <c r="E117" s="281">
        <v>2</v>
      </c>
      <c r="F117" s="1062">
        <v>727273</v>
      </c>
      <c r="G117" s="1054">
        <f>F117*E117</f>
        <v>1454546</v>
      </c>
    </row>
    <row r="118" spans="1:8">
      <c r="A118" s="88" t="s">
        <v>173</v>
      </c>
      <c r="B118" s="1539" t="s">
        <v>64</v>
      </c>
      <c r="C118" s="1539"/>
      <c r="D118" s="281" t="s">
        <v>71</v>
      </c>
      <c r="E118" s="281">
        <v>5</v>
      </c>
      <c r="F118" s="1062">
        <v>446250</v>
      </c>
      <c r="G118" s="1054">
        <f>F118*E118</f>
        <v>2231250</v>
      </c>
    </row>
    <row r="119" spans="1:8">
      <c r="A119" s="88" t="s">
        <v>174</v>
      </c>
      <c r="B119" s="1539" t="s">
        <v>86</v>
      </c>
      <c r="C119" s="1539"/>
      <c r="D119" s="281" t="s">
        <v>71</v>
      </c>
      <c r="E119" s="281">
        <v>2</v>
      </c>
      <c r="F119" s="1062">
        <v>623034</v>
      </c>
      <c r="G119" s="1054">
        <f>F119*E119</f>
        <v>1246068</v>
      </c>
    </row>
    <row r="120" spans="1:8" ht="30" customHeight="1">
      <c r="A120" s="88"/>
      <c r="B120" s="1533" t="s">
        <v>175</v>
      </c>
      <c r="C120" s="1533"/>
      <c r="D120" s="1533"/>
      <c r="E120" s="1533"/>
      <c r="F120" s="1533"/>
      <c r="G120" s="1039">
        <f>SUM(G115:G119)</f>
        <v>6360446.5</v>
      </c>
    </row>
    <row r="121" spans="1:8">
      <c r="A121" s="227"/>
      <c r="B121" s="1447" t="s">
        <v>50</v>
      </c>
      <c r="C121" s="1447"/>
      <c r="D121" s="229" t="s">
        <v>51</v>
      </c>
      <c r="E121" s="230" t="s">
        <v>52</v>
      </c>
      <c r="F121" s="231" t="s">
        <v>53</v>
      </c>
      <c r="G121" s="231" t="s">
        <v>54</v>
      </c>
    </row>
    <row r="122" spans="1:8">
      <c r="A122" s="291" t="s">
        <v>176</v>
      </c>
      <c r="B122" s="1533" t="s">
        <v>177</v>
      </c>
      <c r="C122" s="1533"/>
      <c r="D122" s="1533"/>
      <c r="E122" s="1533"/>
      <c r="F122" s="1533"/>
      <c r="G122" s="1533"/>
    </row>
    <row r="123" spans="1:8">
      <c r="A123" s="303" t="s">
        <v>178</v>
      </c>
      <c r="B123" s="1532" t="s">
        <v>61</v>
      </c>
      <c r="C123" s="1532"/>
      <c r="D123" s="281" t="s">
        <v>77</v>
      </c>
      <c r="E123" s="281">
        <v>3</v>
      </c>
      <c r="F123" s="1063">
        <v>51856</v>
      </c>
      <c r="G123" s="1054">
        <f>F123*E123</f>
        <v>155568</v>
      </c>
    </row>
    <row r="124" spans="1:8">
      <c r="A124" s="303" t="s">
        <v>179</v>
      </c>
      <c r="B124" s="1532" t="s">
        <v>58</v>
      </c>
      <c r="C124" s="1532"/>
      <c r="D124" s="281" t="s">
        <v>71</v>
      </c>
      <c r="E124" s="281">
        <v>15</v>
      </c>
      <c r="F124" s="1063">
        <v>22927.5</v>
      </c>
      <c r="G124" s="1054">
        <f>F124*E124</f>
        <v>343912.5</v>
      </c>
    </row>
    <row r="125" spans="1:8">
      <c r="A125" s="88"/>
      <c r="B125" s="1533" t="s">
        <v>180</v>
      </c>
      <c r="C125" s="1533"/>
      <c r="D125" s="1533"/>
      <c r="E125" s="1533"/>
      <c r="F125" s="1533"/>
      <c r="G125" s="1064">
        <f>SUM(G123:G124)</f>
        <v>499480.5</v>
      </c>
    </row>
    <row r="126" spans="1:8">
      <c r="A126" s="1534" t="s">
        <v>986</v>
      </c>
      <c r="B126" s="1535"/>
      <c r="C126" s="1535"/>
      <c r="D126" s="1535"/>
      <c r="E126" s="1535"/>
      <c r="F126" s="1536"/>
      <c r="G126" s="918">
        <f>G35+G41+G54+G63+G71+G79+G89+G95+G100+G106+G112+G120+G125+G47</f>
        <v>115147303.90000001</v>
      </c>
    </row>
    <row r="128" spans="1:8" ht="27">
      <c r="A128" s="1537" t="s">
        <v>182</v>
      </c>
      <c r="B128" s="1537"/>
      <c r="C128" s="1537"/>
      <c r="D128" s="1537"/>
      <c r="E128" s="1537"/>
      <c r="F128" s="1537"/>
      <c r="G128" s="1537"/>
      <c r="H128" s="1396"/>
    </row>
    <row r="129" spans="1:8">
      <c r="A129" s="886" t="s">
        <v>183</v>
      </c>
      <c r="B129" s="1538" t="s">
        <v>184</v>
      </c>
      <c r="C129" s="1538"/>
      <c r="D129" s="1538"/>
      <c r="E129" s="1538"/>
      <c r="F129" s="1538"/>
      <c r="G129" s="1538"/>
      <c r="H129" s="1538"/>
    </row>
    <row r="130" spans="1:8" ht="49.5">
      <c r="A130" s="80" t="s">
        <v>185</v>
      </c>
      <c r="B130" s="81" t="s">
        <v>50</v>
      </c>
      <c r="C130" s="95" t="s">
        <v>51</v>
      </c>
      <c r="D130" s="96" t="s">
        <v>52</v>
      </c>
      <c r="E130" s="317" t="s">
        <v>53</v>
      </c>
      <c r="F130" s="317" t="s">
        <v>54</v>
      </c>
      <c r="G130" s="318" t="s">
        <v>186</v>
      </c>
      <c r="H130" s="319" t="s">
        <v>187</v>
      </c>
    </row>
    <row r="131" spans="1:8">
      <c r="A131" s="887" t="s">
        <v>188</v>
      </c>
      <c r="B131" s="1442" t="s">
        <v>189</v>
      </c>
      <c r="C131" s="1442"/>
      <c r="D131" s="1442"/>
      <c r="E131" s="1442"/>
      <c r="F131" s="1442"/>
      <c r="G131" s="919"/>
      <c r="H131" s="321"/>
    </row>
    <row r="132" spans="1:8">
      <c r="A132" s="888" t="s">
        <v>190</v>
      </c>
      <c r="B132" s="1065" t="s">
        <v>191</v>
      </c>
      <c r="C132" s="1066" t="s">
        <v>192</v>
      </c>
      <c r="D132" s="1067">
        <v>3</v>
      </c>
      <c r="E132" s="377">
        <v>73233</v>
      </c>
      <c r="F132" s="326">
        <f>ROUND((D132*E132),0)</f>
        <v>219699</v>
      </c>
      <c r="G132" s="920">
        <v>75</v>
      </c>
      <c r="H132" s="328">
        <f>+F132*G132</f>
        <v>16477425</v>
      </c>
    </row>
    <row r="133" spans="1:8">
      <c r="A133" s="888" t="s">
        <v>193</v>
      </c>
      <c r="B133" s="1068" t="s">
        <v>194</v>
      </c>
      <c r="C133" s="1069" t="s">
        <v>192</v>
      </c>
      <c r="D133" s="1067">
        <v>5</v>
      </c>
      <c r="E133" s="377">
        <v>73233</v>
      </c>
      <c r="F133" s="326">
        <f t="shared" ref="F133:F139" si="6">ROUND((D133*E133),0)</f>
        <v>366165</v>
      </c>
      <c r="G133" s="920">
        <v>75</v>
      </c>
      <c r="H133" s="328">
        <f t="shared" ref="H133:H138" si="7">+F133*G133</f>
        <v>27462375</v>
      </c>
    </row>
    <row r="134" spans="1:8">
      <c r="A134" s="888" t="s">
        <v>195</v>
      </c>
      <c r="B134" s="1070" t="s">
        <v>196</v>
      </c>
      <c r="C134" s="1069" t="s">
        <v>192</v>
      </c>
      <c r="D134" s="1067">
        <v>2</v>
      </c>
      <c r="E134" s="377">
        <v>73233</v>
      </c>
      <c r="F134" s="326">
        <f t="shared" si="6"/>
        <v>146466</v>
      </c>
      <c r="G134" s="920">
        <v>75</v>
      </c>
      <c r="H134" s="328">
        <f t="shared" si="7"/>
        <v>10984950</v>
      </c>
    </row>
    <row r="135" spans="1:8">
      <c r="A135" s="888" t="s">
        <v>197</v>
      </c>
      <c r="B135" s="1065" t="s">
        <v>198</v>
      </c>
      <c r="C135" s="1069" t="s">
        <v>192</v>
      </c>
      <c r="D135" s="1067">
        <v>2</v>
      </c>
      <c r="E135" s="377">
        <v>73233</v>
      </c>
      <c r="F135" s="326">
        <f t="shared" si="6"/>
        <v>146466</v>
      </c>
      <c r="G135" s="920">
        <v>75</v>
      </c>
      <c r="H135" s="328">
        <f t="shared" si="7"/>
        <v>10984950</v>
      </c>
    </row>
    <row r="136" spans="1:8">
      <c r="A136" s="888" t="s">
        <v>199</v>
      </c>
      <c r="B136" s="1065" t="s">
        <v>200</v>
      </c>
      <c r="C136" s="1069" t="s">
        <v>192</v>
      </c>
      <c r="D136" s="1067">
        <v>4</v>
      </c>
      <c r="E136" s="377">
        <v>73233</v>
      </c>
      <c r="F136" s="326">
        <f t="shared" si="6"/>
        <v>292932</v>
      </c>
      <c r="G136" s="920">
        <v>75</v>
      </c>
      <c r="H136" s="328">
        <f t="shared" si="7"/>
        <v>21969900</v>
      </c>
    </row>
    <row r="137" spans="1:8">
      <c r="A137" s="888" t="s">
        <v>201</v>
      </c>
      <c r="B137" s="1065" t="s">
        <v>202</v>
      </c>
      <c r="C137" s="1069" t="s">
        <v>192</v>
      </c>
      <c r="D137" s="1067">
        <v>0.5</v>
      </c>
      <c r="E137" s="377">
        <v>73233</v>
      </c>
      <c r="F137" s="326">
        <f t="shared" si="6"/>
        <v>36617</v>
      </c>
      <c r="G137" s="920">
        <v>75</v>
      </c>
      <c r="H137" s="328">
        <f t="shared" si="7"/>
        <v>2746275</v>
      </c>
    </row>
    <row r="138" spans="1:8">
      <c r="A138" s="888" t="s">
        <v>203</v>
      </c>
      <c r="B138" s="1065" t="s">
        <v>204</v>
      </c>
      <c r="C138" s="1069" t="s">
        <v>192</v>
      </c>
      <c r="D138" s="1067">
        <v>0.5</v>
      </c>
      <c r="E138" s="377">
        <v>73233</v>
      </c>
      <c r="F138" s="326">
        <f t="shared" si="6"/>
        <v>36617</v>
      </c>
      <c r="G138" s="920">
        <v>75</v>
      </c>
      <c r="H138" s="328">
        <f t="shared" si="7"/>
        <v>2746275</v>
      </c>
    </row>
    <row r="139" spans="1:8">
      <c r="A139" s="1071" t="s">
        <v>205</v>
      </c>
      <c r="B139" s="1070" t="s">
        <v>206</v>
      </c>
      <c r="C139" s="1069" t="s">
        <v>192</v>
      </c>
      <c r="D139" s="1067">
        <v>4</v>
      </c>
      <c r="E139" s="377">
        <v>73233</v>
      </c>
      <c r="F139" s="326">
        <f t="shared" si="6"/>
        <v>292932</v>
      </c>
      <c r="G139" s="920">
        <v>75</v>
      </c>
      <c r="H139" s="328">
        <f>+F139*G139</f>
        <v>21969900</v>
      </c>
    </row>
    <row r="140" spans="1:8" ht="33">
      <c r="A140" s="888"/>
      <c r="B140" s="947" t="s">
        <v>207</v>
      </c>
      <c r="C140" s="335"/>
      <c r="D140" s="1067"/>
      <c r="E140" s="336"/>
      <c r="F140" s="337">
        <f>SUM(F132:F139)</f>
        <v>1537894</v>
      </c>
      <c r="G140" s="921"/>
      <c r="H140" s="339">
        <f>SUM(H132:H138)</f>
        <v>93372150</v>
      </c>
    </row>
    <row r="141" spans="1:8" ht="49.5">
      <c r="A141" s="887" t="s">
        <v>208</v>
      </c>
      <c r="B141" s="948" t="s">
        <v>209</v>
      </c>
      <c r="C141" s="81" t="s">
        <v>210</v>
      </c>
      <c r="D141" s="341" t="s">
        <v>52</v>
      </c>
      <c r="E141" s="342" t="s">
        <v>211</v>
      </c>
      <c r="F141" s="317" t="s">
        <v>54</v>
      </c>
      <c r="G141" s="318" t="s">
        <v>186</v>
      </c>
      <c r="H141" s="344" t="s">
        <v>212</v>
      </c>
    </row>
    <row r="142" spans="1:8">
      <c r="A142" s="890" t="s">
        <v>213</v>
      </c>
      <c r="B142" s="1072" t="s">
        <v>214</v>
      </c>
      <c r="C142" s="1073" t="s">
        <v>215</v>
      </c>
      <c r="D142" s="1074">
        <v>192</v>
      </c>
      <c r="E142" s="377">
        <v>7794</v>
      </c>
      <c r="F142" s="326">
        <f t="shared" ref="F142:F148" si="8">ROUND((D142*E142),0)</f>
        <v>1496448</v>
      </c>
      <c r="G142" s="922">
        <v>75</v>
      </c>
      <c r="H142" s="328">
        <f t="shared" ref="H142:H148" si="9">+F142*G142</f>
        <v>112233600</v>
      </c>
    </row>
    <row r="143" spans="1:8">
      <c r="A143" s="890" t="s">
        <v>216</v>
      </c>
      <c r="B143" s="1072" t="s">
        <v>217</v>
      </c>
      <c r="C143" s="1073" t="s">
        <v>215</v>
      </c>
      <c r="D143" s="1074">
        <v>115</v>
      </c>
      <c r="E143" s="377">
        <v>8704</v>
      </c>
      <c r="F143" s="326">
        <f t="shared" si="8"/>
        <v>1000960</v>
      </c>
      <c r="G143" s="922">
        <v>75</v>
      </c>
      <c r="H143" s="349">
        <f t="shared" si="9"/>
        <v>75072000</v>
      </c>
    </row>
    <row r="144" spans="1:8">
      <c r="A144" s="890" t="s">
        <v>218</v>
      </c>
      <c r="B144" s="1072" t="s">
        <v>219</v>
      </c>
      <c r="C144" s="1073" t="s">
        <v>215</v>
      </c>
      <c r="D144" s="1074">
        <v>77</v>
      </c>
      <c r="E144" s="377">
        <v>13864</v>
      </c>
      <c r="F144" s="326">
        <f t="shared" si="8"/>
        <v>1067528</v>
      </c>
      <c r="G144" s="922">
        <v>75</v>
      </c>
      <c r="H144" s="350">
        <f t="shared" si="9"/>
        <v>80064600</v>
      </c>
    </row>
    <row r="145" spans="1:8">
      <c r="A145" s="890" t="s">
        <v>220</v>
      </c>
      <c r="B145" s="1073" t="s">
        <v>221</v>
      </c>
      <c r="C145" s="1073" t="s">
        <v>215</v>
      </c>
      <c r="D145" s="1074">
        <v>384</v>
      </c>
      <c r="E145" s="377">
        <v>1468</v>
      </c>
      <c r="F145" s="326">
        <f t="shared" si="8"/>
        <v>563712</v>
      </c>
      <c r="G145" s="922">
        <v>75</v>
      </c>
      <c r="H145" s="328">
        <f t="shared" si="9"/>
        <v>42278400</v>
      </c>
    </row>
    <row r="146" spans="1:8">
      <c r="A146" s="890" t="s">
        <v>222</v>
      </c>
      <c r="B146" s="1073" t="s">
        <v>223</v>
      </c>
      <c r="C146" s="1073" t="s">
        <v>224</v>
      </c>
      <c r="D146" s="1075">
        <f>((D142+D143+D144)*1.5)/50</f>
        <v>11.52</v>
      </c>
      <c r="E146" s="377">
        <v>44550</v>
      </c>
      <c r="F146" s="326">
        <f t="shared" si="8"/>
        <v>513216</v>
      </c>
      <c r="G146" s="922">
        <v>75</v>
      </c>
      <c r="H146" s="328">
        <f t="shared" si="9"/>
        <v>38491200</v>
      </c>
    </row>
    <row r="147" spans="1:8">
      <c r="A147" s="890" t="s">
        <v>225</v>
      </c>
      <c r="B147" s="1076" t="s">
        <v>226</v>
      </c>
      <c r="C147" s="1073" t="s">
        <v>227</v>
      </c>
      <c r="D147" s="1075">
        <f>((D142+D143+D144)*3)/1000</f>
        <v>1.1519999999999999</v>
      </c>
      <c r="E147" s="377">
        <v>60316</v>
      </c>
      <c r="F147" s="326">
        <f t="shared" si="8"/>
        <v>69484</v>
      </c>
      <c r="G147" s="922">
        <v>75</v>
      </c>
      <c r="H147" s="328">
        <f t="shared" si="9"/>
        <v>5211300</v>
      </c>
    </row>
    <row r="148" spans="1:8">
      <c r="A148" s="890" t="s">
        <v>228</v>
      </c>
      <c r="B148" s="1076" t="s">
        <v>229</v>
      </c>
      <c r="C148" s="1073" t="s">
        <v>230</v>
      </c>
      <c r="D148" s="1075">
        <v>1</v>
      </c>
      <c r="E148" s="377">
        <v>57350</v>
      </c>
      <c r="F148" s="326">
        <f t="shared" si="8"/>
        <v>57350</v>
      </c>
      <c r="G148" s="922">
        <v>75</v>
      </c>
      <c r="H148" s="353">
        <f t="shared" si="9"/>
        <v>4301250</v>
      </c>
    </row>
    <row r="149" spans="1:8">
      <c r="A149" s="890" t="s">
        <v>231</v>
      </c>
      <c r="B149" s="1076" t="s">
        <v>232</v>
      </c>
      <c r="C149" s="1073" t="s">
        <v>233</v>
      </c>
      <c r="D149" s="1074">
        <f>1.4*4</f>
        <v>5.6</v>
      </c>
      <c r="E149" s="377">
        <v>4357</v>
      </c>
      <c r="F149" s="326">
        <f>ROUND((+D149*E149),0)</f>
        <v>24399</v>
      </c>
      <c r="G149" s="1077">
        <v>75</v>
      </c>
      <c r="H149" s="353">
        <f>+F149*G149</f>
        <v>1829925</v>
      </c>
    </row>
    <row r="150" spans="1:8" ht="33">
      <c r="A150" s="891"/>
      <c r="B150" s="949" t="s">
        <v>234</v>
      </c>
      <c r="C150" s="83"/>
      <c r="D150" s="356"/>
      <c r="E150" s="357">
        <f>SUM(E142:E148)</f>
        <v>194046</v>
      </c>
      <c r="F150" s="358">
        <f>SUM(F142:F149)</f>
        <v>4793097</v>
      </c>
      <c r="G150" s="923"/>
      <c r="H150" s="339">
        <f>SUM(H142:H148)</f>
        <v>357652350</v>
      </c>
    </row>
    <row r="151" spans="1:8" ht="49.5">
      <c r="A151" s="493" t="s">
        <v>235</v>
      </c>
      <c r="B151" s="167" t="s">
        <v>236</v>
      </c>
      <c r="C151" s="95" t="s">
        <v>51</v>
      </c>
      <c r="D151" s="96" t="s">
        <v>52</v>
      </c>
      <c r="E151" s="317" t="s">
        <v>53</v>
      </c>
      <c r="F151" s="317" t="s">
        <v>54</v>
      </c>
      <c r="G151" s="318" t="s">
        <v>186</v>
      </c>
      <c r="H151" s="344" t="s">
        <v>212</v>
      </c>
    </row>
    <row r="152" spans="1:8">
      <c r="A152" s="494" t="s">
        <v>237</v>
      </c>
      <c r="B152" s="950" t="s">
        <v>238</v>
      </c>
      <c r="C152" s="361"/>
      <c r="D152" s="361"/>
      <c r="E152" s="361"/>
      <c r="F152" s="362">
        <f>ROUND((5%*(F140)),0)</f>
        <v>76895</v>
      </c>
      <c r="G152" s="922">
        <v>75</v>
      </c>
      <c r="H152" s="363">
        <f>+F152*G152</f>
        <v>5767125</v>
      </c>
    </row>
    <row r="153" spans="1:8">
      <c r="A153" s="494" t="s">
        <v>239</v>
      </c>
      <c r="B153" s="1432" t="s">
        <v>240</v>
      </c>
      <c r="C153" s="1432"/>
      <c r="D153" s="1432"/>
      <c r="E153" s="1432"/>
      <c r="F153" s="362">
        <f>ROUND((8%*(F150-F142-F143-F144)),0)</f>
        <v>98253</v>
      </c>
      <c r="G153" s="922">
        <v>75</v>
      </c>
      <c r="H153" s="363">
        <f>+F153*G153</f>
        <v>7368975</v>
      </c>
    </row>
    <row r="154" spans="1:8">
      <c r="A154" s="494" t="s">
        <v>241</v>
      </c>
      <c r="B154" s="169" t="s">
        <v>242</v>
      </c>
      <c r="C154" s="169" t="s">
        <v>243</v>
      </c>
      <c r="D154" s="94" t="s">
        <v>243</v>
      </c>
      <c r="E154" s="170" t="s">
        <v>243</v>
      </c>
      <c r="F154" s="171">
        <f>SUM(F152:F153)</f>
        <v>175148</v>
      </c>
      <c r="G154" s="922">
        <v>75</v>
      </c>
      <c r="H154" s="364">
        <f>+H152+H153</f>
        <v>13136100</v>
      </c>
    </row>
    <row r="155" spans="1:8">
      <c r="A155" s="494"/>
      <c r="B155" s="169" t="s">
        <v>244</v>
      </c>
      <c r="C155" s="172"/>
      <c r="D155" s="94"/>
      <c r="E155" s="170"/>
      <c r="F155" s="173">
        <f>+F140+F150</f>
        <v>6330991</v>
      </c>
      <c r="G155" s="924">
        <v>75</v>
      </c>
      <c r="H155" s="366">
        <f>+F155*G155</f>
        <v>474824325</v>
      </c>
    </row>
    <row r="156" spans="1:8">
      <c r="A156" s="494"/>
      <c r="B156" s="951" t="s">
        <v>245</v>
      </c>
      <c r="C156" s="368"/>
      <c r="D156" s="369"/>
      <c r="E156" s="370">
        <f>E138+E150</f>
        <v>267279</v>
      </c>
      <c r="F156" s="371">
        <f>+F155+F154</f>
        <v>6506139</v>
      </c>
      <c r="G156" s="924">
        <v>75</v>
      </c>
      <c r="H156" s="370">
        <f>+F156*G156</f>
        <v>487960425</v>
      </c>
    </row>
    <row r="157" spans="1:8">
      <c r="A157" s="888" t="s">
        <v>246</v>
      </c>
      <c r="B157" s="1438" t="s">
        <v>247</v>
      </c>
      <c r="C157" s="1438"/>
      <c r="D157" s="1438"/>
      <c r="E157" s="1438"/>
      <c r="F157" s="1438"/>
      <c r="G157" s="1438"/>
      <c r="H157" s="1438"/>
    </row>
    <row r="158" spans="1:8" ht="49.5">
      <c r="A158" s="80" t="s">
        <v>241</v>
      </c>
      <c r="B158" s="81" t="s">
        <v>50</v>
      </c>
      <c r="C158" s="81" t="s">
        <v>210</v>
      </c>
      <c r="D158" s="341" t="s">
        <v>52</v>
      </c>
      <c r="E158" s="342" t="s">
        <v>211</v>
      </c>
      <c r="F158" s="343" t="s">
        <v>248</v>
      </c>
      <c r="G158" s="318" t="s">
        <v>186</v>
      </c>
      <c r="H158" s="344" t="s">
        <v>212</v>
      </c>
    </row>
    <row r="159" spans="1:8">
      <c r="A159" s="888" t="s">
        <v>249</v>
      </c>
      <c r="B159" s="1434" t="s">
        <v>189</v>
      </c>
      <c r="C159" s="1434"/>
      <c r="D159" s="1434"/>
      <c r="E159" s="1434"/>
      <c r="F159" s="1434"/>
      <c r="G159" s="925"/>
      <c r="H159" s="373"/>
    </row>
    <row r="160" spans="1:8">
      <c r="A160" s="888" t="s">
        <v>250</v>
      </c>
      <c r="B160" s="1078" t="s">
        <v>251</v>
      </c>
      <c r="C160" s="1079" t="s">
        <v>252</v>
      </c>
      <c r="D160" s="1080">
        <v>1</v>
      </c>
      <c r="E160" s="377">
        <v>73233</v>
      </c>
      <c r="F160" s="326">
        <f>ROUND((D160*E160),0)</f>
        <v>73233</v>
      </c>
      <c r="G160" s="922">
        <v>45</v>
      </c>
      <c r="H160" s="328">
        <f>+F160*G160</f>
        <v>3295485</v>
      </c>
    </row>
    <row r="161" spans="1:8">
      <c r="A161" s="888" t="s">
        <v>253</v>
      </c>
      <c r="B161" s="1070" t="s">
        <v>196</v>
      </c>
      <c r="C161" s="1081" t="s">
        <v>252</v>
      </c>
      <c r="D161" s="1082">
        <v>0.5</v>
      </c>
      <c r="E161" s="377">
        <v>73233</v>
      </c>
      <c r="F161" s="326">
        <f t="shared" ref="F161:F166" si="10">ROUND((D161*E161),0)</f>
        <v>36617</v>
      </c>
      <c r="G161" s="920">
        <f t="shared" ref="G161:G167" si="11">+G160</f>
        <v>45</v>
      </c>
      <c r="H161" s="328">
        <f t="shared" ref="H161:H166" si="12">+F161*G161</f>
        <v>1647765</v>
      </c>
    </row>
    <row r="162" spans="1:8">
      <c r="A162" s="888" t="s">
        <v>254</v>
      </c>
      <c r="B162" s="1078" t="s">
        <v>255</v>
      </c>
      <c r="C162" s="1081" t="s">
        <v>252</v>
      </c>
      <c r="D162" s="1082">
        <v>1</v>
      </c>
      <c r="E162" s="377">
        <v>73233</v>
      </c>
      <c r="F162" s="326">
        <f t="shared" si="10"/>
        <v>73233</v>
      </c>
      <c r="G162" s="920">
        <f t="shared" si="11"/>
        <v>45</v>
      </c>
      <c r="H162" s="328">
        <f t="shared" si="12"/>
        <v>3295485</v>
      </c>
    </row>
    <row r="163" spans="1:8">
      <c r="A163" s="888" t="s">
        <v>256</v>
      </c>
      <c r="B163" s="1078" t="s">
        <v>257</v>
      </c>
      <c r="C163" s="1081" t="s">
        <v>252</v>
      </c>
      <c r="D163" s="1082">
        <v>2</v>
      </c>
      <c r="E163" s="377">
        <v>73233</v>
      </c>
      <c r="F163" s="326">
        <f t="shared" si="10"/>
        <v>146466</v>
      </c>
      <c r="G163" s="920">
        <f t="shared" si="11"/>
        <v>45</v>
      </c>
      <c r="H163" s="328">
        <f t="shared" si="12"/>
        <v>6590970</v>
      </c>
    </row>
    <row r="164" spans="1:8">
      <c r="A164" s="888" t="s">
        <v>258</v>
      </c>
      <c r="B164" s="1065" t="s">
        <v>202</v>
      </c>
      <c r="C164" s="1081" t="s">
        <v>252</v>
      </c>
      <c r="D164" s="1082">
        <v>0.5</v>
      </c>
      <c r="E164" s="377">
        <v>73233</v>
      </c>
      <c r="F164" s="326">
        <f t="shared" si="10"/>
        <v>36617</v>
      </c>
      <c r="G164" s="920">
        <f t="shared" si="11"/>
        <v>45</v>
      </c>
      <c r="H164" s="328">
        <f t="shared" si="12"/>
        <v>1647765</v>
      </c>
    </row>
    <row r="165" spans="1:8">
      <c r="A165" s="888" t="s">
        <v>259</v>
      </c>
      <c r="B165" s="1065" t="s">
        <v>204</v>
      </c>
      <c r="C165" s="1083" t="s">
        <v>192</v>
      </c>
      <c r="D165" s="1082">
        <v>1</v>
      </c>
      <c r="E165" s="377">
        <v>73233</v>
      </c>
      <c r="F165" s="326">
        <f t="shared" si="10"/>
        <v>73233</v>
      </c>
      <c r="G165" s="920">
        <f t="shared" si="11"/>
        <v>45</v>
      </c>
      <c r="H165" s="328">
        <f t="shared" si="12"/>
        <v>3295485</v>
      </c>
    </row>
    <row r="166" spans="1:8">
      <c r="A166" s="888" t="s">
        <v>260</v>
      </c>
      <c r="B166" s="1070" t="s">
        <v>206</v>
      </c>
      <c r="C166" s="1081" t="s">
        <v>252</v>
      </c>
      <c r="D166" s="1082">
        <v>1</v>
      </c>
      <c r="E166" s="377">
        <v>73233</v>
      </c>
      <c r="F166" s="326">
        <f t="shared" si="10"/>
        <v>73233</v>
      </c>
      <c r="G166" s="920">
        <f t="shared" si="11"/>
        <v>45</v>
      </c>
      <c r="H166" s="328">
        <f t="shared" si="12"/>
        <v>3295485</v>
      </c>
    </row>
    <row r="167" spans="1:8" ht="33">
      <c r="A167" s="888"/>
      <c r="B167" s="381" t="s">
        <v>261</v>
      </c>
      <c r="C167" s="382" t="s">
        <v>241</v>
      </c>
      <c r="D167" s="383" t="s">
        <v>241</v>
      </c>
      <c r="E167" s="377" t="s">
        <v>241</v>
      </c>
      <c r="F167" s="326">
        <f>ROUND((SUM(F160:F166)),0)</f>
        <v>512632</v>
      </c>
      <c r="G167" s="920">
        <f t="shared" si="11"/>
        <v>45</v>
      </c>
      <c r="H167" s="384">
        <f>SUM(H160:H166)</f>
        <v>23068440</v>
      </c>
    </row>
    <row r="168" spans="1:8" ht="49.5">
      <c r="A168" s="887" t="s">
        <v>262</v>
      </c>
      <c r="B168" s="948" t="s">
        <v>209</v>
      </c>
      <c r="C168" s="81" t="s">
        <v>51</v>
      </c>
      <c r="D168" s="341" t="s">
        <v>52</v>
      </c>
      <c r="E168" s="342" t="s">
        <v>211</v>
      </c>
      <c r="F168" s="343" t="s">
        <v>248</v>
      </c>
      <c r="G168" s="318" t="s">
        <v>186</v>
      </c>
      <c r="H168" s="344" t="s">
        <v>212</v>
      </c>
    </row>
    <row r="169" spans="1:8">
      <c r="A169" s="890" t="s">
        <v>263</v>
      </c>
      <c r="B169" s="1073" t="s">
        <v>219</v>
      </c>
      <c r="C169" s="1084" t="s">
        <v>215</v>
      </c>
      <c r="D169" s="1085">
        <v>77</v>
      </c>
      <c r="E169" s="377">
        <v>13864</v>
      </c>
      <c r="F169" s="326">
        <f>ROUND((D169*E169),0)</f>
        <v>1067528</v>
      </c>
      <c r="G169" s="922">
        <f t="shared" ref="G169:G171" si="13">+G160</f>
        <v>45</v>
      </c>
      <c r="H169" s="328">
        <f t="shared" ref="H169:H174" si="14">+F169*G169</f>
        <v>48038760</v>
      </c>
    </row>
    <row r="170" spans="1:8">
      <c r="A170" s="890" t="s">
        <v>264</v>
      </c>
      <c r="B170" s="1073" t="s">
        <v>221</v>
      </c>
      <c r="C170" s="1085" t="s">
        <v>215</v>
      </c>
      <c r="D170" s="1085">
        <f>D169</f>
        <v>77</v>
      </c>
      <c r="E170" s="377">
        <v>1468</v>
      </c>
      <c r="F170" s="326">
        <f t="shared" ref="F170:F174" si="15">ROUND((D170*E170),0)</f>
        <v>113036</v>
      </c>
      <c r="G170" s="926">
        <f t="shared" si="13"/>
        <v>45</v>
      </c>
      <c r="H170" s="349">
        <f t="shared" si="14"/>
        <v>5086620</v>
      </c>
    </row>
    <row r="171" spans="1:8">
      <c r="A171" s="890" t="s">
        <v>265</v>
      </c>
      <c r="B171" s="1073" t="s">
        <v>223</v>
      </c>
      <c r="C171" s="1084" t="s">
        <v>224</v>
      </c>
      <c r="D171" s="1075">
        <f>((D169)*1.5)/50</f>
        <v>2.31</v>
      </c>
      <c r="E171" s="377">
        <v>44550</v>
      </c>
      <c r="F171" s="326">
        <f t="shared" si="15"/>
        <v>102911</v>
      </c>
      <c r="G171" s="922">
        <f t="shared" si="13"/>
        <v>45</v>
      </c>
      <c r="H171" s="350">
        <f t="shared" si="14"/>
        <v>4630995</v>
      </c>
    </row>
    <row r="172" spans="1:8">
      <c r="A172" s="890" t="s">
        <v>266</v>
      </c>
      <c r="B172" s="1084" t="s">
        <v>267</v>
      </c>
      <c r="C172" s="1084" t="s">
        <v>227</v>
      </c>
      <c r="D172" s="1075">
        <f>((D169)*1)/1000</f>
        <v>7.6999999999999999E-2</v>
      </c>
      <c r="E172" s="377">
        <v>60316.200000000004</v>
      </c>
      <c r="F172" s="326">
        <f t="shared" si="15"/>
        <v>4644</v>
      </c>
      <c r="G172" s="927">
        <f t="shared" ref="G172:G174" si="16">+G164</f>
        <v>45</v>
      </c>
      <c r="H172" s="328">
        <f t="shared" si="14"/>
        <v>208980</v>
      </c>
    </row>
    <row r="173" spans="1:8">
      <c r="A173" s="890" t="s">
        <v>268</v>
      </c>
      <c r="B173" s="1076" t="s">
        <v>229</v>
      </c>
      <c r="C173" s="1084" t="s">
        <v>230</v>
      </c>
      <c r="D173" s="1075">
        <v>1</v>
      </c>
      <c r="E173" s="377">
        <v>57350</v>
      </c>
      <c r="F173" s="326">
        <f t="shared" si="15"/>
        <v>57350</v>
      </c>
      <c r="G173" s="922">
        <f t="shared" si="16"/>
        <v>45</v>
      </c>
      <c r="H173" s="328">
        <f t="shared" si="14"/>
        <v>2580750</v>
      </c>
    </row>
    <row r="174" spans="1:8">
      <c r="A174" s="890" t="s">
        <v>269</v>
      </c>
      <c r="B174" s="1076" t="s">
        <v>232</v>
      </c>
      <c r="C174" s="1073" t="s">
        <v>233</v>
      </c>
      <c r="D174" s="1074">
        <f>1.4*8</f>
        <v>11.2</v>
      </c>
      <c r="E174" s="377">
        <v>4357</v>
      </c>
      <c r="F174" s="326">
        <f t="shared" si="15"/>
        <v>48798</v>
      </c>
      <c r="G174" s="922">
        <f t="shared" si="16"/>
        <v>45</v>
      </c>
      <c r="H174" s="328">
        <f t="shared" si="14"/>
        <v>2195910</v>
      </c>
    </row>
    <row r="175" spans="1:8" ht="33">
      <c r="A175" s="888"/>
      <c r="B175" s="381" t="s">
        <v>270</v>
      </c>
      <c r="C175" s="382"/>
      <c r="D175" s="390"/>
      <c r="E175" s="377"/>
      <c r="F175" s="326">
        <f>ROUND((SUM(F169:F174)),0)</f>
        <v>1394267</v>
      </c>
      <c r="G175" s="926">
        <f>+G167</f>
        <v>45</v>
      </c>
      <c r="H175" s="353">
        <f>SUM(H169:H174)</f>
        <v>62742015</v>
      </c>
    </row>
    <row r="176" spans="1:8" ht="49.5">
      <c r="A176" s="493" t="s">
        <v>271</v>
      </c>
      <c r="B176" s="167" t="s">
        <v>272</v>
      </c>
      <c r="C176" s="95" t="s">
        <v>51</v>
      </c>
      <c r="D176" s="96" t="s">
        <v>52</v>
      </c>
      <c r="E176" s="317" t="s">
        <v>53</v>
      </c>
      <c r="F176" s="317" t="s">
        <v>54</v>
      </c>
      <c r="G176" s="318" t="s">
        <v>186</v>
      </c>
      <c r="H176" s="344" t="s">
        <v>212</v>
      </c>
    </row>
    <row r="177" spans="1:8">
      <c r="A177" s="494" t="s">
        <v>273</v>
      </c>
      <c r="B177" s="1432" t="s">
        <v>274</v>
      </c>
      <c r="C177" s="1432"/>
      <c r="D177" s="1432"/>
      <c r="E177" s="1432"/>
      <c r="F177" s="362">
        <f>ROUND((5%*(F167)),0)</f>
        <v>25632</v>
      </c>
      <c r="G177" s="922">
        <f t="shared" ref="G177:G180" si="17">+G169</f>
        <v>45</v>
      </c>
      <c r="H177" s="363">
        <f>+F177*G177</f>
        <v>1153440</v>
      </c>
    </row>
    <row r="178" spans="1:8">
      <c r="A178" s="494" t="s">
        <v>275</v>
      </c>
      <c r="B178" s="1432" t="s">
        <v>276</v>
      </c>
      <c r="C178" s="1432"/>
      <c r="D178" s="1432"/>
      <c r="E178" s="1432"/>
      <c r="F178" s="362">
        <f>ROUND((8%*(F175-F169)),0)</f>
        <v>26139</v>
      </c>
      <c r="G178" s="922">
        <f t="shared" si="17"/>
        <v>45</v>
      </c>
      <c r="H178" s="363">
        <f>+F178*G178</f>
        <v>1176255</v>
      </c>
    </row>
    <row r="179" spans="1:8">
      <c r="A179" s="494"/>
      <c r="B179" s="169" t="s">
        <v>277</v>
      </c>
      <c r="C179" s="169" t="s">
        <v>243</v>
      </c>
      <c r="D179" s="94" t="s">
        <v>243</v>
      </c>
      <c r="E179" s="170" t="s">
        <v>243</v>
      </c>
      <c r="F179" s="171">
        <f>SUM(F177:F178)</f>
        <v>51771</v>
      </c>
      <c r="G179" s="922">
        <f t="shared" si="17"/>
        <v>45</v>
      </c>
      <c r="H179" s="364">
        <f>+H177+H178</f>
        <v>2329695</v>
      </c>
    </row>
    <row r="180" spans="1:8">
      <c r="A180" s="494"/>
      <c r="B180" s="169" t="s">
        <v>278</v>
      </c>
      <c r="C180" s="172"/>
      <c r="D180" s="94"/>
      <c r="E180" s="170"/>
      <c r="F180" s="391">
        <f>+F167+F175</f>
        <v>1906899</v>
      </c>
      <c r="G180" s="922">
        <f t="shared" si="17"/>
        <v>45</v>
      </c>
      <c r="H180" s="366">
        <f>+F180*G180</f>
        <v>85810455</v>
      </c>
    </row>
    <row r="181" spans="1:8">
      <c r="A181" s="494"/>
      <c r="B181" s="951" t="s">
        <v>279</v>
      </c>
      <c r="C181" s="368"/>
      <c r="D181" s="369"/>
      <c r="E181" s="370">
        <f>E166+E175</f>
        <v>73233</v>
      </c>
      <c r="F181" s="371">
        <f>+F180+F179</f>
        <v>1958670</v>
      </c>
      <c r="G181" s="1077">
        <f>+G173</f>
        <v>45</v>
      </c>
      <c r="H181" s="370">
        <f>+F181*G181</f>
        <v>88140150</v>
      </c>
    </row>
    <row r="182" spans="1:8">
      <c r="A182" s="888" t="s">
        <v>280</v>
      </c>
      <c r="B182" s="1438" t="s">
        <v>281</v>
      </c>
      <c r="C182" s="1438"/>
      <c r="D182" s="1438"/>
      <c r="E182" s="1438"/>
      <c r="F182" s="1438"/>
      <c r="G182" s="1438"/>
      <c r="H182" s="1438"/>
    </row>
    <row r="183" spans="1:8">
      <c r="A183" s="887" t="s">
        <v>241</v>
      </c>
      <c r="B183" s="952" t="s">
        <v>4</v>
      </c>
      <c r="C183" s="1427" t="s">
        <v>282</v>
      </c>
      <c r="D183" s="1427"/>
      <c r="E183" s="1427"/>
      <c r="F183" s="1427" t="s">
        <v>283</v>
      </c>
      <c r="G183" s="1427" t="s">
        <v>284</v>
      </c>
      <c r="H183" s="1427" t="s">
        <v>212</v>
      </c>
    </row>
    <row r="184" spans="1:8">
      <c r="A184" s="887"/>
      <c r="B184" s="948"/>
      <c r="C184" s="502" t="s">
        <v>59</v>
      </c>
      <c r="D184" s="502" t="s">
        <v>285</v>
      </c>
      <c r="E184" s="502" t="s">
        <v>286</v>
      </c>
      <c r="F184" s="1427"/>
      <c r="G184" s="1427"/>
      <c r="H184" s="1427"/>
    </row>
    <row r="185" spans="1:8">
      <c r="A185" s="888" t="s">
        <v>287</v>
      </c>
      <c r="B185" s="1436" t="s">
        <v>189</v>
      </c>
      <c r="C185" s="1436"/>
      <c r="D185" s="1436"/>
      <c r="E185" s="1436"/>
      <c r="F185" s="1436"/>
      <c r="G185" s="925"/>
      <c r="H185" s="373"/>
    </row>
    <row r="186" spans="1:8">
      <c r="A186" s="890" t="s">
        <v>288</v>
      </c>
      <c r="B186" s="1086" t="s">
        <v>289</v>
      </c>
      <c r="C186" s="1087" t="s">
        <v>290</v>
      </c>
      <c r="D186" s="1088">
        <v>1</v>
      </c>
      <c r="E186" s="377">
        <v>73233</v>
      </c>
      <c r="F186" s="398">
        <f t="shared" ref="F186:F192" si="18">+(D186*E186)/1000</f>
        <v>73.233000000000004</v>
      </c>
      <c r="G186" s="1089">
        <v>50120.25</v>
      </c>
      <c r="H186" s="328">
        <f t="shared" ref="H186:H192" si="19">ROUND((F186*G186),0)</f>
        <v>3670456</v>
      </c>
    </row>
    <row r="187" spans="1:8">
      <c r="A187" s="890" t="s">
        <v>291</v>
      </c>
      <c r="B187" s="1086" t="s">
        <v>251</v>
      </c>
      <c r="C187" s="1087" t="s">
        <v>290</v>
      </c>
      <c r="D187" s="1088">
        <v>6</v>
      </c>
      <c r="E187" s="377">
        <v>73233</v>
      </c>
      <c r="F187" s="398">
        <f t="shared" si="18"/>
        <v>439.39800000000002</v>
      </c>
      <c r="G187" s="1089">
        <f t="shared" ref="G187:G192" si="20">+G186</f>
        <v>50120.25</v>
      </c>
      <c r="H187" s="328">
        <f t="shared" si="19"/>
        <v>22022738</v>
      </c>
    </row>
    <row r="188" spans="1:8">
      <c r="A188" s="890" t="s">
        <v>292</v>
      </c>
      <c r="B188" s="1086" t="s">
        <v>293</v>
      </c>
      <c r="C188" s="1087" t="s">
        <v>290</v>
      </c>
      <c r="D188" s="1088">
        <v>2</v>
      </c>
      <c r="E188" s="377">
        <v>73233</v>
      </c>
      <c r="F188" s="398">
        <f t="shared" si="18"/>
        <v>146.46600000000001</v>
      </c>
      <c r="G188" s="1089">
        <f t="shared" si="20"/>
        <v>50120.25</v>
      </c>
      <c r="H188" s="328">
        <f t="shared" si="19"/>
        <v>7340913</v>
      </c>
    </row>
    <row r="189" spans="1:8">
      <c r="A189" s="890" t="s">
        <v>294</v>
      </c>
      <c r="B189" s="1086" t="s">
        <v>295</v>
      </c>
      <c r="C189" s="1087" t="s">
        <v>290</v>
      </c>
      <c r="D189" s="1088">
        <v>1</v>
      </c>
      <c r="E189" s="377">
        <v>73233</v>
      </c>
      <c r="F189" s="398">
        <f t="shared" si="18"/>
        <v>73.233000000000004</v>
      </c>
      <c r="G189" s="1089">
        <f t="shared" si="20"/>
        <v>50120.25</v>
      </c>
      <c r="H189" s="328">
        <f t="shared" si="19"/>
        <v>3670456</v>
      </c>
    </row>
    <row r="190" spans="1:8">
      <c r="A190" s="890" t="s">
        <v>296</v>
      </c>
      <c r="B190" s="1086" t="s">
        <v>297</v>
      </c>
      <c r="C190" s="1087" t="s">
        <v>290</v>
      </c>
      <c r="D190" s="1088">
        <v>4</v>
      </c>
      <c r="E190" s="377">
        <v>73233</v>
      </c>
      <c r="F190" s="398">
        <f t="shared" si="18"/>
        <v>292.93200000000002</v>
      </c>
      <c r="G190" s="1089">
        <f t="shared" si="20"/>
        <v>50120.25</v>
      </c>
      <c r="H190" s="328">
        <f t="shared" si="19"/>
        <v>14681825</v>
      </c>
    </row>
    <row r="191" spans="1:8">
      <c r="A191" s="890" t="s">
        <v>298</v>
      </c>
      <c r="B191" s="1086" t="s">
        <v>299</v>
      </c>
      <c r="C191" s="1087" t="s">
        <v>290</v>
      </c>
      <c r="D191" s="1088">
        <v>1</v>
      </c>
      <c r="E191" s="377">
        <v>73233</v>
      </c>
      <c r="F191" s="398">
        <f t="shared" si="18"/>
        <v>73.233000000000004</v>
      </c>
      <c r="G191" s="1089">
        <f t="shared" si="20"/>
        <v>50120.25</v>
      </c>
      <c r="H191" s="328">
        <f t="shared" si="19"/>
        <v>3670456</v>
      </c>
    </row>
    <row r="192" spans="1:8">
      <c r="A192" s="890" t="s">
        <v>300</v>
      </c>
      <c r="B192" s="1086" t="s">
        <v>301</v>
      </c>
      <c r="C192" s="1087" t="s">
        <v>290</v>
      </c>
      <c r="D192" s="1088">
        <v>4</v>
      </c>
      <c r="E192" s="377">
        <v>73233</v>
      </c>
      <c r="F192" s="398">
        <f t="shared" si="18"/>
        <v>292.93200000000002</v>
      </c>
      <c r="G192" s="1089">
        <f t="shared" si="20"/>
        <v>50120.25</v>
      </c>
      <c r="H192" s="328">
        <f t="shared" si="19"/>
        <v>14681825</v>
      </c>
    </row>
    <row r="193" spans="1:8" ht="33">
      <c r="A193" s="891"/>
      <c r="B193" s="947" t="s">
        <v>302</v>
      </c>
      <c r="C193" s="83"/>
      <c r="D193" s="356"/>
      <c r="E193" s="357" t="s">
        <v>241</v>
      </c>
      <c r="F193" s="1090">
        <f>+ROUND((F186+F187+F188+F189+F190+F191+F192),0)</f>
        <v>1391</v>
      </c>
      <c r="G193" s="1091"/>
      <c r="H193" s="1090">
        <f>+ROUND((H186+H187+H188+H189+H190+H191+H192),0)</f>
        <v>69738669</v>
      </c>
    </row>
    <row r="194" spans="1:8" ht="49.5">
      <c r="A194" s="887" t="s">
        <v>303</v>
      </c>
      <c r="B194" s="81" t="s">
        <v>304</v>
      </c>
      <c r="C194" s="81" t="s">
        <v>210</v>
      </c>
      <c r="D194" s="341" t="s">
        <v>52</v>
      </c>
      <c r="E194" s="342" t="s">
        <v>211</v>
      </c>
      <c r="F194" s="343" t="s">
        <v>283</v>
      </c>
      <c r="G194" s="1092" t="s">
        <v>305</v>
      </c>
      <c r="H194" s="344" t="s">
        <v>212</v>
      </c>
    </row>
    <row r="195" spans="1:8">
      <c r="A195" s="892" t="s">
        <v>306</v>
      </c>
      <c r="B195" s="1086" t="s">
        <v>307</v>
      </c>
      <c r="C195" s="1093" t="s">
        <v>308</v>
      </c>
      <c r="D195" s="1094">
        <v>12</v>
      </c>
      <c r="E195" s="377">
        <v>327746</v>
      </c>
      <c r="F195" s="326">
        <f t="shared" ref="F195:F202" si="21">ROUND((D195*E195),0)/1000</f>
        <v>3932.9520000000002</v>
      </c>
      <c r="G195" s="922">
        <f>+G192</f>
        <v>50120.25</v>
      </c>
      <c r="H195" s="328">
        <f t="shared" ref="H195:H202" si="22">(F195*G195)</f>
        <v>197120537.47800002</v>
      </c>
    </row>
    <row r="196" spans="1:8">
      <c r="A196" s="892" t="s">
        <v>309</v>
      </c>
      <c r="B196" s="1086" t="s">
        <v>310</v>
      </c>
      <c r="C196" s="1093" t="s">
        <v>215</v>
      </c>
      <c r="D196" s="1094">
        <v>400</v>
      </c>
      <c r="E196" s="377">
        <v>28701</v>
      </c>
      <c r="F196" s="326">
        <f t="shared" si="21"/>
        <v>11480.4</v>
      </c>
      <c r="G196" s="922">
        <f t="shared" ref="G196:G202" si="23">+G195</f>
        <v>50120.25</v>
      </c>
      <c r="H196" s="328">
        <f t="shared" si="22"/>
        <v>575400518.10000002</v>
      </c>
    </row>
    <row r="197" spans="1:8">
      <c r="A197" s="892" t="s">
        <v>311</v>
      </c>
      <c r="B197" s="1086" t="s">
        <v>312</v>
      </c>
      <c r="C197" s="1093" t="s">
        <v>215</v>
      </c>
      <c r="D197" s="1094">
        <v>40</v>
      </c>
      <c r="E197" s="377">
        <v>28701</v>
      </c>
      <c r="F197" s="326">
        <f t="shared" si="21"/>
        <v>1148.04</v>
      </c>
      <c r="G197" s="922">
        <f t="shared" si="23"/>
        <v>50120.25</v>
      </c>
      <c r="H197" s="328">
        <f t="shared" si="22"/>
        <v>57540051.809999995</v>
      </c>
    </row>
    <row r="198" spans="1:8">
      <c r="A198" s="892" t="s">
        <v>313</v>
      </c>
      <c r="B198" s="1086" t="s">
        <v>314</v>
      </c>
      <c r="C198" s="1093" t="s">
        <v>315</v>
      </c>
      <c r="D198" s="1094">
        <v>3</v>
      </c>
      <c r="E198" s="377">
        <v>29745</v>
      </c>
      <c r="F198" s="326">
        <f t="shared" si="21"/>
        <v>89.234999999999999</v>
      </c>
      <c r="G198" s="922">
        <f t="shared" si="23"/>
        <v>50120.25</v>
      </c>
      <c r="H198" s="328">
        <f t="shared" si="22"/>
        <v>4472480.50875</v>
      </c>
    </row>
    <row r="199" spans="1:8">
      <c r="A199" s="892" t="s">
        <v>316</v>
      </c>
      <c r="B199" s="1086" t="s">
        <v>317</v>
      </c>
      <c r="C199" s="1093" t="s">
        <v>315</v>
      </c>
      <c r="D199" s="1094">
        <v>4</v>
      </c>
      <c r="E199" s="377">
        <v>120173</v>
      </c>
      <c r="F199" s="326">
        <f t="shared" si="21"/>
        <v>480.69200000000001</v>
      </c>
      <c r="G199" s="922">
        <f t="shared" si="23"/>
        <v>50120.25</v>
      </c>
      <c r="H199" s="328">
        <f t="shared" si="22"/>
        <v>24092403.213</v>
      </c>
    </row>
    <row r="200" spans="1:8">
      <c r="A200" s="892" t="s">
        <v>318</v>
      </c>
      <c r="B200" s="1086" t="s">
        <v>319</v>
      </c>
      <c r="C200" s="1093" t="s">
        <v>315</v>
      </c>
      <c r="D200" s="1094">
        <v>8</v>
      </c>
      <c r="E200" s="377">
        <v>16600</v>
      </c>
      <c r="F200" s="326">
        <f t="shared" si="21"/>
        <v>132.80000000000001</v>
      </c>
      <c r="G200" s="922">
        <f t="shared" si="23"/>
        <v>50120.25</v>
      </c>
      <c r="H200" s="328">
        <f t="shared" si="22"/>
        <v>6655969.2000000002</v>
      </c>
    </row>
    <row r="201" spans="1:8">
      <c r="A201" s="892" t="s">
        <v>320</v>
      </c>
      <c r="B201" s="1086" t="s">
        <v>321</v>
      </c>
      <c r="C201" s="1093" t="s">
        <v>227</v>
      </c>
      <c r="D201" s="1094">
        <v>7</v>
      </c>
      <c r="E201" s="377">
        <v>17043</v>
      </c>
      <c r="F201" s="326">
        <f t="shared" si="21"/>
        <v>119.301</v>
      </c>
      <c r="G201" s="922">
        <f t="shared" si="23"/>
        <v>50120.25</v>
      </c>
      <c r="H201" s="328">
        <f t="shared" si="22"/>
        <v>5979395.9452499999</v>
      </c>
    </row>
    <row r="202" spans="1:8">
      <c r="A202" s="892" t="s">
        <v>322</v>
      </c>
      <c r="B202" s="1086" t="s">
        <v>323</v>
      </c>
      <c r="C202" s="1093" t="s">
        <v>324</v>
      </c>
      <c r="D202" s="1094">
        <v>1</v>
      </c>
      <c r="E202" s="377">
        <v>19555</v>
      </c>
      <c r="F202" s="326">
        <f t="shared" si="21"/>
        <v>19.555</v>
      </c>
      <c r="G202" s="922">
        <f t="shared" si="23"/>
        <v>50120.25</v>
      </c>
      <c r="H202" s="328">
        <f t="shared" si="22"/>
        <v>980101.48875000002</v>
      </c>
    </row>
    <row r="203" spans="1:8" ht="33">
      <c r="A203" s="891"/>
      <c r="B203" s="953" t="s">
        <v>325</v>
      </c>
      <c r="C203" s="411"/>
      <c r="D203" s="412"/>
      <c r="E203" s="357"/>
      <c r="F203" s="1090">
        <f>+ROUND((F195+F196+F197+F198+F199+F200+F201+F202),0)</f>
        <v>17403</v>
      </c>
      <c r="G203" s="412"/>
      <c r="H203" s="1090">
        <f>+ROUND((H195+H196+H197+H198+H199+H200+H201+H202),0)</f>
        <v>872241458</v>
      </c>
    </row>
    <row r="204" spans="1:8" ht="49.5">
      <c r="A204" s="493" t="s">
        <v>326</v>
      </c>
      <c r="B204" s="167" t="s">
        <v>327</v>
      </c>
      <c r="C204" s="81" t="s">
        <v>210</v>
      </c>
      <c r="D204" s="341" t="s">
        <v>52</v>
      </c>
      <c r="E204" s="342" t="s">
        <v>211</v>
      </c>
      <c r="F204" s="343" t="s">
        <v>328</v>
      </c>
      <c r="G204" s="1092" t="s">
        <v>305</v>
      </c>
      <c r="H204" s="344" t="s">
        <v>329</v>
      </c>
    </row>
    <row r="205" spans="1:8">
      <c r="A205" s="893"/>
      <c r="B205" s="954"/>
      <c r="C205" s="414"/>
      <c r="D205" s="415"/>
      <c r="E205" s="416"/>
      <c r="F205" s="317"/>
      <c r="G205" s="417"/>
      <c r="H205" s="344"/>
    </row>
    <row r="206" spans="1:8">
      <c r="A206" s="494" t="s">
        <v>330</v>
      </c>
      <c r="B206" s="1437" t="s">
        <v>331</v>
      </c>
      <c r="C206" s="1437"/>
      <c r="D206" s="1437"/>
      <c r="E206" s="1437"/>
      <c r="F206" s="362">
        <f>ROUND((5%*(F193)),0)</f>
        <v>70</v>
      </c>
      <c r="G206" s="922">
        <f>+G202</f>
        <v>50120.25</v>
      </c>
      <c r="H206" s="363">
        <f>(F206*G206)</f>
        <v>3508417.5</v>
      </c>
    </row>
    <row r="207" spans="1:8">
      <c r="A207" s="494" t="s">
        <v>332</v>
      </c>
      <c r="B207" s="1432" t="s">
        <v>333</v>
      </c>
      <c r="C207" s="1432"/>
      <c r="D207" s="1432"/>
      <c r="E207" s="1432"/>
      <c r="F207" s="362">
        <f>ROUND((8%*(F203)),0)</f>
        <v>1392</v>
      </c>
      <c r="G207" s="922">
        <f>+G206</f>
        <v>50120.25</v>
      </c>
      <c r="H207" s="363">
        <f>(F207*G207)</f>
        <v>69767388</v>
      </c>
    </row>
    <row r="208" spans="1:8">
      <c r="A208" s="494" t="s">
        <v>241</v>
      </c>
      <c r="B208" s="169" t="s">
        <v>334</v>
      </c>
      <c r="C208" s="169" t="s">
        <v>243</v>
      </c>
      <c r="D208" s="94" t="s">
        <v>243</v>
      </c>
      <c r="E208" s="170" t="s">
        <v>243</v>
      </c>
      <c r="F208" s="418">
        <f>ROUND((F206+F207),2)</f>
        <v>1462</v>
      </c>
      <c r="G208" s="922">
        <f>+G207</f>
        <v>50120.25</v>
      </c>
      <c r="H208" s="363">
        <f>(F208*G208)</f>
        <v>73275805.5</v>
      </c>
    </row>
    <row r="209" spans="1:8">
      <c r="A209" s="494"/>
      <c r="B209" s="169" t="s">
        <v>335</v>
      </c>
      <c r="C209" s="172"/>
      <c r="D209" s="94"/>
      <c r="E209" s="170"/>
      <c r="F209" s="391">
        <f>ROUND((F193+F203),2)</f>
        <v>18794</v>
      </c>
      <c r="G209" s="922">
        <f>+G208</f>
        <v>50120.25</v>
      </c>
      <c r="H209" s="363">
        <f>(F209*G209)</f>
        <v>941959978.5</v>
      </c>
    </row>
    <row r="210" spans="1:8">
      <c r="A210" s="494"/>
      <c r="B210" s="951" t="s">
        <v>336</v>
      </c>
      <c r="C210" s="368"/>
      <c r="D210" s="369"/>
      <c r="E210" s="370" t="s">
        <v>241</v>
      </c>
      <c r="F210" s="549">
        <f>ROUND((F209+F208),2)</f>
        <v>20256</v>
      </c>
      <c r="G210" s="922">
        <f>+G209</f>
        <v>50120.25</v>
      </c>
      <c r="H210" s="366">
        <f>(F210*G210)</f>
        <v>1015235784</v>
      </c>
    </row>
    <row r="211" spans="1:8">
      <c r="A211" s="888" t="s">
        <v>337</v>
      </c>
      <c r="B211" s="1438" t="s">
        <v>338</v>
      </c>
      <c r="C211" s="1438"/>
      <c r="D211" s="1438"/>
      <c r="E211" s="1438"/>
      <c r="F211" s="1438"/>
      <c r="G211" s="1438"/>
      <c r="H211" s="1438"/>
    </row>
    <row r="212" spans="1:8" ht="49.5">
      <c r="A212" s="887" t="s">
        <v>241</v>
      </c>
      <c r="B212" s="952" t="s">
        <v>4</v>
      </c>
      <c r="C212" s="81" t="s">
        <v>210</v>
      </c>
      <c r="D212" s="341" t="s">
        <v>52</v>
      </c>
      <c r="E212" s="342" t="s">
        <v>211</v>
      </c>
      <c r="F212" s="343" t="s">
        <v>248</v>
      </c>
      <c r="G212" s="318" t="s">
        <v>186</v>
      </c>
      <c r="H212" s="344" t="s">
        <v>212</v>
      </c>
    </row>
    <row r="213" spans="1:8">
      <c r="A213" s="888" t="s">
        <v>339</v>
      </c>
      <c r="B213" s="1436" t="s">
        <v>189</v>
      </c>
      <c r="C213" s="1436"/>
      <c r="D213" s="1436"/>
      <c r="E213" s="1436"/>
      <c r="F213" s="1436"/>
      <c r="G213" s="925"/>
      <c r="H213" s="373"/>
    </row>
    <row r="214" spans="1:8">
      <c r="A214" s="890" t="s">
        <v>340</v>
      </c>
      <c r="B214" s="1073" t="s">
        <v>206</v>
      </c>
      <c r="C214" s="1067" t="s">
        <v>341</v>
      </c>
      <c r="D214" s="421">
        <v>1</v>
      </c>
      <c r="E214" s="377">
        <v>73233</v>
      </c>
      <c r="F214" s="326">
        <f>ROUND((D214*E214),0)</f>
        <v>73233</v>
      </c>
      <c r="G214" s="922">
        <v>75</v>
      </c>
      <c r="H214" s="328">
        <f t="shared" ref="H214:H219" si="24">+F214*G214</f>
        <v>5492475</v>
      </c>
    </row>
    <row r="215" spans="1:8">
      <c r="A215" s="890" t="s">
        <v>342</v>
      </c>
      <c r="B215" s="1073" t="s">
        <v>343</v>
      </c>
      <c r="C215" s="1067" t="s">
        <v>344</v>
      </c>
      <c r="D215" s="422">
        <v>0.5</v>
      </c>
      <c r="E215" s="377">
        <v>73233</v>
      </c>
      <c r="F215" s="326">
        <f t="shared" ref="F215:F219" si="25">ROUND((D215*E215),0)</f>
        <v>36617</v>
      </c>
      <c r="G215" s="922">
        <f t="shared" ref="G215:G219" si="26">+G214</f>
        <v>75</v>
      </c>
      <c r="H215" s="328">
        <f t="shared" si="24"/>
        <v>2746275</v>
      </c>
    </row>
    <row r="216" spans="1:8">
      <c r="A216" s="890" t="s">
        <v>345</v>
      </c>
      <c r="B216" s="1095" t="s">
        <v>346</v>
      </c>
      <c r="C216" s="1067" t="s">
        <v>341</v>
      </c>
      <c r="D216" s="422">
        <v>1</v>
      </c>
      <c r="E216" s="377">
        <v>73233</v>
      </c>
      <c r="F216" s="326">
        <f t="shared" si="25"/>
        <v>73233</v>
      </c>
      <c r="G216" s="922">
        <f t="shared" si="26"/>
        <v>75</v>
      </c>
      <c r="H216" s="350">
        <f t="shared" si="24"/>
        <v>5492475</v>
      </c>
    </row>
    <row r="217" spans="1:8">
      <c r="A217" s="890" t="s">
        <v>347</v>
      </c>
      <c r="B217" s="1095" t="s">
        <v>348</v>
      </c>
      <c r="C217" s="1067" t="s">
        <v>341</v>
      </c>
      <c r="D217" s="424">
        <v>0.25</v>
      </c>
      <c r="E217" s="377">
        <v>73233</v>
      </c>
      <c r="F217" s="326">
        <f t="shared" si="25"/>
        <v>18308</v>
      </c>
      <c r="G217" s="922">
        <f t="shared" si="26"/>
        <v>75</v>
      </c>
      <c r="H217" s="328">
        <f t="shared" si="24"/>
        <v>1373100</v>
      </c>
    </row>
    <row r="218" spans="1:8">
      <c r="A218" s="890" t="s">
        <v>349</v>
      </c>
      <c r="B218" s="1096" t="s">
        <v>350</v>
      </c>
      <c r="C218" s="1069" t="s">
        <v>344</v>
      </c>
      <c r="D218" s="422">
        <v>0.5</v>
      </c>
      <c r="E218" s="377">
        <v>73233</v>
      </c>
      <c r="F218" s="326">
        <f t="shared" si="25"/>
        <v>36617</v>
      </c>
      <c r="G218" s="922">
        <f t="shared" si="26"/>
        <v>75</v>
      </c>
      <c r="H218" s="328">
        <f t="shared" si="24"/>
        <v>2746275</v>
      </c>
    </row>
    <row r="219" spans="1:8">
      <c r="A219" s="890" t="s">
        <v>351</v>
      </c>
      <c r="B219" s="1084" t="s">
        <v>352</v>
      </c>
      <c r="C219" s="1067" t="s">
        <v>341</v>
      </c>
      <c r="D219" s="422">
        <v>0.5</v>
      </c>
      <c r="E219" s="377">
        <v>73233</v>
      </c>
      <c r="F219" s="326">
        <f t="shared" si="25"/>
        <v>36617</v>
      </c>
      <c r="G219" s="922">
        <f t="shared" si="26"/>
        <v>75</v>
      </c>
      <c r="H219" s="328">
        <f t="shared" si="24"/>
        <v>2746275</v>
      </c>
    </row>
    <row r="220" spans="1:8" ht="33">
      <c r="A220" s="891"/>
      <c r="B220" s="949" t="s">
        <v>353</v>
      </c>
      <c r="C220" s="335"/>
      <c r="D220" s="356"/>
      <c r="E220" s="357" t="s">
        <v>241</v>
      </c>
      <c r="F220" s="426">
        <f>SUM(F214:F219)</f>
        <v>274625</v>
      </c>
      <c r="G220" s="412"/>
      <c r="H220" s="339">
        <f>SUM(H214:H219)</f>
        <v>20596875</v>
      </c>
    </row>
    <row r="221" spans="1:8" ht="49.5">
      <c r="A221" s="887" t="s">
        <v>354</v>
      </c>
      <c r="B221" s="952" t="s">
        <v>209</v>
      </c>
      <c r="C221" s="81" t="s">
        <v>210</v>
      </c>
      <c r="D221" s="341" t="s">
        <v>52</v>
      </c>
      <c r="E221" s="342" t="s">
        <v>211</v>
      </c>
      <c r="F221" s="343" t="s">
        <v>248</v>
      </c>
      <c r="G221" s="318" t="s">
        <v>186</v>
      </c>
      <c r="H221" s="344" t="s">
        <v>212</v>
      </c>
    </row>
    <row r="222" spans="1:8">
      <c r="A222" s="891" t="s">
        <v>355</v>
      </c>
      <c r="B222" s="1097" t="s">
        <v>214</v>
      </c>
      <c r="C222" s="1073" t="s">
        <v>215</v>
      </c>
      <c r="D222" s="1098">
        <f>192*0.1</f>
        <v>19.200000000000003</v>
      </c>
      <c r="E222" s="377">
        <v>7794</v>
      </c>
      <c r="F222" s="326">
        <f t="shared" ref="F222:F228" si="27">ROUND((D222*E222),0)</f>
        <v>149645</v>
      </c>
      <c r="G222" s="922">
        <v>75</v>
      </c>
      <c r="H222" s="328">
        <f>+F222*G222</f>
        <v>11223375</v>
      </c>
    </row>
    <row r="223" spans="1:8">
      <c r="A223" s="891" t="s">
        <v>356</v>
      </c>
      <c r="B223" s="1070" t="s">
        <v>217</v>
      </c>
      <c r="C223" s="1073" t="s">
        <v>215</v>
      </c>
      <c r="D223" s="1098">
        <f>115*0.1</f>
        <v>11.5</v>
      </c>
      <c r="E223" s="377">
        <v>8704</v>
      </c>
      <c r="F223" s="326">
        <f t="shared" si="27"/>
        <v>100096</v>
      </c>
      <c r="G223" s="922">
        <f t="shared" ref="G223:G228" si="28">+G222</f>
        <v>75</v>
      </c>
      <c r="H223" s="328">
        <f t="shared" ref="H223:H228" si="29">+F223*G223</f>
        <v>7507200</v>
      </c>
    </row>
    <row r="224" spans="1:8">
      <c r="A224" s="891" t="s">
        <v>357</v>
      </c>
      <c r="B224" s="1070" t="s">
        <v>219</v>
      </c>
      <c r="C224" s="1073" t="s">
        <v>215</v>
      </c>
      <c r="D224" s="1098">
        <f>77*0.1</f>
        <v>7.7</v>
      </c>
      <c r="E224" s="377">
        <v>13864</v>
      </c>
      <c r="F224" s="326">
        <f t="shared" si="27"/>
        <v>106753</v>
      </c>
      <c r="G224" s="922">
        <f t="shared" si="28"/>
        <v>75</v>
      </c>
      <c r="H224" s="328">
        <f t="shared" si="29"/>
        <v>8006475</v>
      </c>
    </row>
    <row r="225" spans="1:8">
      <c r="A225" s="891" t="s">
        <v>358</v>
      </c>
      <c r="B225" s="1070" t="s">
        <v>221</v>
      </c>
      <c r="C225" s="1073" t="s">
        <v>215</v>
      </c>
      <c r="D225" s="1099">
        <v>38</v>
      </c>
      <c r="E225" s="377">
        <v>1468</v>
      </c>
      <c r="F225" s="326">
        <f t="shared" si="27"/>
        <v>55784</v>
      </c>
      <c r="G225" s="922">
        <f t="shared" si="28"/>
        <v>75</v>
      </c>
      <c r="H225" s="328">
        <f t="shared" si="29"/>
        <v>4183800</v>
      </c>
    </row>
    <row r="226" spans="1:8">
      <c r="A226" s="891" t="s">
        <v>359</v>
      </c>
      <c r="B226" s="1070" t="s">
        <v>223</v>
      </c>
      <c r="C226" s="1084" t="s">
        <v>224</v>
      </c>
      <c r="D226" s="1075">
        <f>(384*1)/50</f>
        <v>7.68</v>
      </c>
      <c r="E226" s="377">
        <v>44550</v>
      </c>
      <c r="F226" s="326">
        <f t="shared" si="27"/>
        <v>342144</v>
      </c>
      <c r="G226" s="922">
        <f t="shared" si="28"/>
        <v>75</v>
      </c>
      <c r="H226" s="328">
        <f t="shared" si="29"/>
        <v>25660800</v>
      </c>
    </row>
    <row r="227" spans="1:8">
      <c r="A227" s="891" t="s">
        <v>360</v>
      </c>
      <c r="B227" s="1100" t="s">
        <v>229</v>
      </c>
      <c r="C227" s="1073" t="s">
        <v>230</v>
      </c>
      <c r="D227" s="1075">
        <v>1</v>
      </c>
      <c r="E227" s="377">
        <v>57350</v>
      </c>
      <c r="F227" s="326">
        <f t="shared" si="27"/>
        <v>57350</v>
      </c>
      <c r="G227" s="922">
        <f t="shared" si="28"/>
        <v>75</v>
      </c>
      <c r="H227" s="328">
        <f t="shared" si="29"/>
        <v>4301250</v>
      </c>
    </row>
    <row r="228" spans="1:8">
      <c r="A228" s="891" t="s">
        <v>361</v>
      </c>
      <c r="B228" s="1100" t="s">
        <v>232</v>
      </c>
      <c r="C228" s="1073" t="s">
        <v>233</v>
      </c>
      <c r="D228" s="1074">
        <f>1.4*4</f>
        <v>5.6</v>
      </c>
      <c r="E228" s="377">
        <v>4357</v>
      </c>
      <c r="F228" s="326">
        <f t="shared" si="27"/>
        <v>24399</v>
      </c>
      <c r="G228" s="922">
        <f t="shared" si="28"/>
        <v>75</v>
      </c>
      <c r="H228" s="328">
        <f t="shared" si="29"/>
        <v>1829925</v>
      </c>
    </row>
    <row r="229" spans="1:8" ht="33">
      <c r="A229" s="891"/>
      <c r="B229" s="955" t="s">
        <v>362</v>
      </c>
      <c r="C229" s="411"/>
      <c r="D229" s="412"/>
      <c r="E229" s="357"/>
      <c r="F229" s="426">
        <f>SUM(F222:F228)</f>
        <v>836171</v>
      </c>
      <c r="G229" s="412"/>
      <c r="H229" s="432">
        <f>SUM(H222:H228)</f>
        <v>62712825</v>
      </c>
    </row>
    <row r="230" spans="1:8" ht="49.5">
      <c r="A230" s="493" t="s">
        <v>363</v>
      </c>
      <c r="B230" s="167" t="s">
        <v>364</v>
      </c>
      <c r="C230" s="95" t="s">
        <v>51</v>
      </c>
      <c r="D230" s="96" t="s">
        <v>52</v>
      </c>
      <c r="E230" s="317" t="s">
        <v>53</v>
      </c>
      <c r="F230" s="317" t="s">
        <v>54</v>
      </c>
      <c r="G230" s="318" t="s">
        <v>186</v>
      </c>
      <c r="H230" s="344" t="s">
        <v>212</v>
      </c>
    </row>
    <row r="231" spans="1:8">
      <c r="A231" s="494" t="s">
        <v>365</v>
      </c>
      <c r="B231" s="1432" t="s">
        <v>366</v>
      </c>
      <c r="C231" s="1432"/>
      <c r="D231" s="1432"/>
      <c r="E231" s="1432"/>
      <c r="F231" s="362">
        <f>ROUND((5%*(F220)),0)</f>
        <v>13731</v>
      </c>
      <c r="G231" s="922">
        <v>75</v>
      </c>
      <c r="H231" s="363">
        <f>+F231*G231</f>
        <v>1029825</v>
      </c>
    </row>
    <row r="232" spans="1:8">
      <c r="A232" s="494" t="s">
        <v>367</v>
      </c>
      <c r="B232" s="1432" t="s">
        <v>368</v>
      </c>
      <c r="C232" s="1432"/>
      <c r="D232" s="1432"/>
      <c r="E232" s="1432"/>
      <c r="F232" s="433">
        <f>ROUND((8%*(F229-F222)),0)</f>
        <v>54922</v>
      </c>
      <c r="G232" s="922">
        <f>+G231</f>
        <v>75</v>
      </c>
      <c r="H232" s="363">
        <f>+F232*G232</f>
        <v>4119150</v>
      </c>
    </row>
    <row r="233" spans="1:8">
      <c r="A233" s="494" t="s">
        <v>241</v>
      </c>
      <c r="B233" s="169" t="s">
        <v>369</v>
      </c>
      <c r="C233" s="169" t="s">
        <v>243</v>
      </c>
      <c r="D233" s="94" t="s">
        <v>243</v>
      </c>
      <c r="E233" s="170" t="s">
        <v>243</v>
      </c>
      <c r="F233" s="171">
        <f>SUM(F231:F232)</f>
        <v>68653</v>
      </c>
      <c r="G233" s="922">
        <f>+G232</f>
        <v>75</v>
      </c>
      <c r="H233" s="364">
        <f>+H231+H232</f>
        <v>5148975</v>
      </c>
    </row>
    <row r="234" spans="1:8">
      <c r="A234" s="494"/>
      <c r="B234" s="169" t="s">
        <v>370</v>
      </c>
      <c r="C234" s="172"/>
      <c r="D234" s="94"/>
      <c r="E234" s="170"/>
      <c r="F234" s="391">
        <f>+F220+F229</f>
        <v>1110796</v>
      </c>
      <c r="G234" s="922">
        <f>+G233</f>
        <v>75</v>
      </c>
      <c r="H234" s="366">
        <f>+F234*G234</f>
        <v>83309700</v>
      </c>
    </row>
    <row r="235" spans="1:8">
      <c r="A235" s="494"/>
      <c r="B235" s="951" t="s">
        <v>371</v>
      </c>
      <c r="C235" s="368"/>
      <c r="D235" s="369"/>
      <c r="E235" s="370" t="s">
        <v>241</v>
      </c>
      <c r="F235" s="434">
        <f>+F234+F233</f>
        <v>1179449</v>
      </c>
      <c r="G235" s="922">
        <f>+G234</f>
        <v>75</v>
      </c>
      <c r="H235" s="370">
        <f>+F235*G235</f>
        <v>88458675</v>
      </c>
    </row>
    <row r="236" spans="1:8">
      <c r="A236" s="894" t="s">
        <v>372</v>
      </c>
      <c r="B236" s="1420" t="s">
        <v>373</v>
      </c>
      <c r="C236" s="1420"/>
      <c r="D236" s="1420"/>
      <c r="E236" s="1420"/>
      <c r="F236" s="1420"/>
      <c r="G236" s="1420"/>
      <c r="H236" s="1420"/>
    </row>
    <row r="237" spans="1:8" ht="49.5">
      <c r="A237" s="80" t="s">
        <v>185</v>
      </c>
      <c r="B237" s="81" t="s">
        <v>50</v>
      </c>
      <c r="C237" s="81" t="s">
        <v>210</v>
      </c>
      <c r="D237" s="341" t="s">
        <v>52</v>
      </c>
      <c r="E237" s="342" t="s">
        <v>211</v>
      </c>
      <c r="F237" s="343" t="s">
        <v>248</v>
      </c>
      <c r="G237" s="318" t="s">
        <v>186</v>
      </c>
      <c r="H237" s="344" t="s">
        <v>212</v>
      </c>
    </row>
    <row r="238" spans="1:8">
      <c r="A238" s="895" t="s">
        <v>374</v>
      </c>
      <c r="B238" s="1434" t="s">
        <v>189</v>
      </c>
      <c r="C238" s="1434"/>
      <c r="D238" s="1434"/>
      <c r="E238" s="1434"/>
      <c r="F238" s="1434"/>
      <c r="G238" s="928"/>
      <c r="H238" s="328">
        <f t="shared" ref="H238:H244" si="30">+F238*G238</f>
        <v>0</v>
      </c>
    </row>
    <row r="239" spans="1:8">
      <c r="A239" s="495" t="s">
        <v>375</v>
      </c>
      <c r="B239" s="1070" t="s">
        <v>206</v>
      </c>
      <c r="C239" s="1101" t="s">
        <v>290</v>
      </c>
      <c r="D239" s="1102">
        <v>1.25</v>
      </c>
      <c r="E239" s="377">
        <v>73233</v>
      </c>
      <c r="F239" s="326">
        <f t="shared" ref="F239:F244" si="31">ROUND((D239*E239),0)</f>
        <v>91541</v>
      </c>
      <c r="G239" s="929">
        <v>45</v>
      </c>
      <c r="H239" s="328">
        <f t="shared" si="30"/>
        <v>4119345</v>
      </c>
    </row>
    <row r="240" spans="1:8">
      <c r="A240" s="495" t="s">
        <v>376</v>
      </c>
      <c r="B240" s="1070" t="s">
        <v>343</v>
      </c>
      <c r="C240" s="1087" t="s">
        <v>290</v>
      </c>
      <c r="D240" s="1102">
        <v>0.25</v>
      </c>
      <c r="E240" s="377">
        <v>73233</v>
      </c>
      <c r="F240" s="326">
        <f t="shared" si="31"/>
        <v>18308</v>
      </c>
      <c r="G240" s="929">
        <v>45</v>
      </c>
      <c r="H240" s="328">
        <f t="shared" si="30"/>
        <v>823860</v>
      </c>
    </row>
    <row r="241" spans="1:8">
      <c r="A241" s="495" t="s">
        <v>377</v>
      </c>
      <c r="B241" s="1070" t="s">
        <v>346</v>
      </c>
      <c r="C241" s="1103" t="s">
        <v>290</v>
      </c>
      <c r="D241" s="1102">
        <v>0.5</v>
      </c>
      <c r="E241" s="377">
        <v>73233</v>
      </c>
      <c r="F241" s="326">
        <f t="shared" si="31"/>
        <v>36617</v>
      </c>
      <c r="G241" s="929">
        <v>45</v>
      </c>
      <c r="H241" s="328">
        <f t="shared" si="30"/>
        <v>1647765</v>
      </c>
    </row>
    <row r="242" spans="1:8">
      <c r="A242" s="495" t="s">
        <v>378</v>
      </c>
      <c r="B242" s="1070" t="s">
        <v>348</v>
      </c>
      <c r="C242" s="1103" t="s">
        <v>290</v>
      </c>
      <c r="D242" s="1102">
        <v>0.25</v>
      </c>
      <c r="E242" s="377">
        <v>73233</v>
      </c>
      <c r="F242" s="326">
        <f t="shared" si="31"/>
        <v>18308</v>
      </c>
      <c r="G242" s="929">
        <v>45</v>
      </c>
      <c r="H242" s="328">
        <f t="shared" si="30"/>
        <v>823860</v>
      </c>
    </row>
    <row r="243" spans="1:8">
      <c r="A243" s="495" t="s">
        <v>379</v>
      </c>
      <c r="B243" s="1070" t="s">
        <v>350</v>
      </c>
      <c r="C243" s="1103" t="s">
        <v>290</v>
      </c>
      <c r="D243" s="1102">
        <v>0.5</v>
      </c>
      <c r="E243" s="377">
        <v>73233</v>
      </c>
      <c r="F243" s="326">
        <f t="shared" si="31"/>
        <v>36617</v>
      </c>
      <c r="G243" s="929">
        <v>45</v>
      </c>
      <c r="H243" s="328">
        <f t="shared" si="30"/>
        <v>1647765</v>
      </c>
    </row>
    <row r="244" spans="1:8">
      <c r="A244" s="495" t="s">
        <v>380</v>
      </c>
      <c r="B244" s="1070" t="s">
        <v>352</v>
      </c>
      <c r="C244" s="1103" t="s">
        <v>290</v>
      </c>
      <c r="D244" s="1102">
        <v>0.5</v>
      </c>
      <c r="E244" s="377">
        <v>73233</v>
      </c>
      <c r="F244" s="326">
        <f t="shared" si="31"/>
        <v>36617</v>
      </c>
      <c r="G244" s="929">
        <v>45</v>
      </c>
      <c r="H244" s="328">
        <f t="shared" si="30"/>
        <v>1647765</v>
      </c>
    </row>
    <row r="245" spans="1:8" ht="33">
      <c r="A245" s="83"/>
      <c r="B245" s="956" t="s">
        <v>381</v>
      </c>
      <c r="C245" s="83"/>
      <c r="D245" s="356" t="s">
        <v>241</v>
      </c>
      <c r="E245" s="336">
        <f>SUM(E239:E244)</f>
        <v>439398</v>
      </c>
      <c r="F245" s="444">
        <f>SUM(F239:F244)</f>
        <v>238008</v>
      </c>
      <c r="G245" s="930"/>
      <c r="H245" s="446">
        <f>SUM(H238:H244)</f>
        <v>10710360</v>
      </c>
    </row>
    <row r="246" spans="1:8" ht="49.5">
      <c r="A246" s="321" t="s">
        <v>382</v>
      </c>
      <c r="B246" s="153" t="s">
        <v>304</v>
      </c>
      <c r="C246" s="81" t="s">
        <v>210</v>
      </c>
      <c r="D246" s="341" t="s">
        <v>52</v>
      </c>
      <c r="E246" s="342" t="s">
        <v>211</v>
      </c>
      <c r="F246" s="343" t="s">
        <v>248</v>
      </c>
      <c r="G246" s="318" t="s">
        <v>186</v>
      </c>
      <c r="H246" s="344" t="s">
        <v>212</v>
      </c>
    </row>
    <row r="247" spans="1:8">
      <c r="A247" s="495" t="s">
        <v>383</v>
      </c>
      <c r="B247" s="1070" t="s">
        <v>219</v>
      </c>
      <c r="C247" s="1073" t="s">
        <v>215</v>
      </c>
      <c r="D247" s="1104">
        <f>77*0.1</f>
        <v>7.7</v>
      </c>
      <c r="E247" s="377">
        <v>13864</v>
      </c>
      <c r="F247" s="326">
        <f>ROUND((D247*E247),0)</f>
        <v>106753</v>
      </c>
      <c r="G247" s="929">
        <f>+G239</f>
        <v>45</v>
      </c>
      <c r="H247" s="328">
        <f t="shared" ref="H247:H251" si="32">+F247*G247</f>
        <v>4803885</v>
      </c>
    </row>
    <row r="248" spans="1:8">
      <c r="A248" s="495" t="s">
        <v>384</v>
      </c>
      <c r="B248" s="1070" t="s">
        <v>221</v>
      </c>
      <c r="C248" s="1073" t="s">
        <v>215</v>
      </c>
      <c r="D248" s="1104">
        <v>8</v>
      </c>
      <c r="E248" s="377">
        <v>1468</v>
      </c>
      <c r="F248" s="326">
        <f t="shared" ref="F248:F251" si="33">ROUND((D248*E248),0)</f>
        <v>11744</v>
      </c>
      <c r="G248" s="929">
        <f>+G247</f>
        <v>45</v>
      </c>
      <c r="H248" s="328">
        <f t="shared" si="32"/>
        <v>528480</v>
      </c>
    </row>
    <row r="249" spans="1:8">
      <c r="A249" s="495" t="s">
        <v>385</v>
      </c>
      <c r="B249" s="1070" t="s">
        <v>223</v>
      </c>
      <c r="C249" s="1084" t="s">
        <v>224</v>
      </c>
      <c r="D249" s="1105">
        <f>(77*1)/50</f>
        <v>1.54</v>
      </c>
      <c r="E249" s="377">
        <v>44550</v>
      </c>
      <c r="F249" s="326">
        <f t="shared" si="33"/>
        <v>68607</v>
      </c>
      <c r="G249" s="929">
        <f>+G248</f>
        <v>45</v>
      </c>
      <c r="H249" s="328">
        <f t="shared" si="32"/>
        <v>3087315</v>
      </c>
    </row>
    <row r="250" spans="1:8">
      <c r="A250" s="495" t="s">
        <v>386</v>
      </c>
      <c r="B250" s="1070" t="s">
        <v>229</v>
      </c>
      <c r="C250" s="1073" t="s">
        <v>230</v>
      </c>
      <c r="D250" s="1104">
        <v>1</v>
      </c>
      <c r="E250" s="377">
        <v>57350</v>
      </c>
      <c r="F250" s="326">
        <f t="shared" si="33"/>
        <v>57350</v>
      </c>
      <c r="G250" s="929">
        <f>+G249</f>
        <v>45</v>
      </c>
      <c r="H250" s="328">
        <f t="shared" si="32"/>
        <v>2580750</v>
      </c>
    </row>
    <row r="251" spans="1:8">
      <c r="A251" s="495" t="s">
        <v>387</v>
      </c>
      <c r="B251" s="1070" t="s">
        <v>232</v>
      </c>
      <c r="C251" s="1073" t="s">
        <v>233</v>
      </c>
      <c r="D251" s="1104">
        <v>5.6</v>
      </c>
      <c r="E251" s="377">
        <v>4357</v>
      </c>
      <c r="F251" s="326">
        <f t="shared" si="33"/>
        <v>24399</v>
      </c>
      <c r="G251" s="929">
        <f>+G250</f>
        <v>45</v>
      </c>
      <c r="H251" s="328">
        <f t="shared" si="32"/>
        <v>1097955</v>
      </c>
    </row>
    <row r="252" spans="1:8" ht="33">
      <c r="A252" s="896"/>
      <c r="B252" s="956" t="s">
        <v>388</v>
      </c>
      <c r="C252" s="83"/>
      <c r="D252" s="356" t="s">
        <v>241</v>
      </c>
      <c r="E252" s="336">
        <f>SUM(E247:E251)</f>
        <v>121589</v>
      </c>
      <c r="F252" s="444">
        <f>SUM(F247:F251)</f>
        <v>268853</v>
      </c>
      <c r="G252" s="930"/>
      <c r="H252" s="446">
        <f>SUM(H246:H251)</f>
        <v>12098385</v>
      </c>
    </row>
    <row r="253" spans="1:8" ht="49.5">
      <c r="A253" s="897" t="s">
        <v>389</v>
      </c>
      <c r="B253" s="167" t="s">
        <v>390</v>
      </c>
      <c r="C253" s="452" t="s">
        <v>51</v>
      </c>
      <c r="D253" s="453" t="s">
        <v>52</v>
      </c>
      <c r="E253" s="454" t="s">
        <v>53</v>
      </c>
      <c r="F253" s="317" t="s">
        <v>54</v>
      </c>
      <c r="G253" s="318" t="s">
        <v>186</v>
      </c>
      <c r="H253" s="344" t="s">
        <v>212</v>
      </c>
    </row>
    <row r="254" spans="1:8">
      <c r="A254" s="898" t="s">
        <v>391</v>
      </c>
      <c r="B254" s="1425" t="s">
        <v>392</v>
      </c>
      <c r="C254" s="1425"/>
      <c r="D254" s="1425"/>
      <c r="E254" s="1425"/>
      <c r="F254" s="456">
        <f>ROUND((5%*(F245)),0)</f>
        <v>11900</v>
      </c>
      <c r="G254" s="929">
        <f>+G247</f>
        <v>45</v>
      </c>
      <c r="H254" s="363">
        <f>+F254*G254</f>
        <v>535500</v>
      </c>
    </row>
    <row r="255" spans="1:8">
      <c r="A255" s="898" t="s">
        <v>393</v>
      </c>
      <c r="B255" s="1425" t="s">
        <v>394</v>
      </c>
      <c r="C255" s="1425"/>
      <c r="D255" s="1425"/>
      <c r="E255" s="1425"/>
      <c r="F255" s="456">
        <f>ROUND(8%*(F252-F247),0)</f>
        <v>12968</v>
      </c>
      <c r="G255" s="929">
        <f>+G254</f>
        <v>45</v>
      </c>
      <c r="H255" s="363">
        <f>+F255*G255</f>
        <v>583560</v>
      </c>
    </row>
    <row r="256" spans="1:8">
      <c r="A256" s="899" t="s">
        <v>241</v>
      </c>
      <c r="B256" s="169" t="s">
        <v>395</v>
      </c>
      <c r="C256" s="169" t="s">
        <v>243</v>
      </c>
      <c r="D256" s="94" t="s">
        <v>243</v>
      </c>
      <c r="E256" s="170" t="s">
        <v>243</v>
      </c>
      <c r="F256" s="457">
        <f>+F254+F255</f>
        <v>24868</v>
      </c>
      <c r="G256" s="929">
        <f>+G255</f>
        <v>45</v>
      </c>
      <c r="H256" s="363">
        <f>+F256*G256</f>
        <v>1119060</v>
      </c>
    </row>
    <row r="257" spans="1:8">
      <c r="A257" s="898"/>
      <c r="B257" s="169" t="s">
        <v>396</v>
      </c>
      <c r="C257" s="172"/>
      <c r="D257" s="94"/>
      <c r="E257" s="170"/>
      <c r="F257" s="458">
        <f>+F252+F245</f>
        <v>506861</v>
      </c>
      <c r="G257" s="929">
        <f>+G256</f>
        <v>45</v>
      </c>
      <c r="H257" s="366">
        <f>+F257*G257</f>
        <v>22808745</v>
      </c>
    </row>
    <row r="258" spans="1:8">
      <c r="A258" s="898"/>
      <c r="B258" s="957" t="s">
        <v>397</v>
      </c>
      <c r="C258" s="368"/>
      <c r="D258" s="369"/>
      <c r="E258" s="459" t="s">
        <v>241</v>
      </c>
      <c r="F258" s="460">
        <f>+F257+F256</f>
        <v>531729</v>
      </c>
      <c r="G258" s="931">
        <f>+G257</f>
        <v>45</v>
      </c>
      <c r="H258" s="366">
        <f>+H257+H256</f>
        <v>23927805</v>
      </c>
    </row>
    <row r="259" spans="1:8">
      <c r="A259" s="900" t="s">
        <v>398</v>
      </c>
      <c r="B259" s="1420" t="s">
        <v>399</v>
      </c>
      <c r="C259" s="1420"/>
      <c r="D259" s="1420"/>
      <c r="E259" s="1420"/>
      <c r="F259" s="1420"/>
      <c r="G259" s="1420"/>
      <c r="H259" s="1420"/>
    </row>
    <row r="260" spans="1:8" ht="49.5">
      <c r="A260" s="80" t="s">
        <v>185</v>
      </c>
      <c r="B260" s="81" t="s">
        <v>50</v>
      </c>
      <c r="C260" s="81" t="s">
        <v>210</v>
      </c>
      <c r="D260" s="341" t="s">
        <v>52</v>
      </c>
      <c r="E260" s="342" t="s">
        <v>211</v>
      </c>
      <c r="F260" s="343" t="s">
        <v>248</v>
      </c>
      <c r="G260" s="318" t="s">
        <v>186</v>
      </c>
      <c r="H260" s="344" t="s">
        <v>212</v>
      </c>
    </row>
    <row r="261" spans="1:8">
      <c r="A261" s="894" t="s">
        <v>400</v>
      </c>
      <c r="B261" s="1434" t="s">
        <v>189</v>
      </c>
      <c r="C261" s="1434"/>
      <c r="D261" s="1434"/>
      <c r="E261" s="1434"/>
      <c r="F261" s="1434"/>
      <c r="G261" s="928"/>
      <c r="H261" s="328">
        <f t="shared" ref="H261:H267" si="34">+F261*G261</f>
        <v>0</v>
      </c>
    </row>
    <row r="262" spans="1:8">
      <c r="A262" s="491" t="s">
        <v>401</v>
      </c>
      <c r="B262" s="1106" t="s">
        <v>206</v>
      </c>
      <c r="C262" s="1107" t="s">
        <v>290</v>
      </c>
      <c r="D262" s="1108">
        <v>1</v>
      </c>
      <c r="E262" s="377">
        <v>73233</v>
      </c>
      <c r="F262" s="326">
        <f t="shared" ref="F262:F265" si="35">ROUND((D262*E262),0)</f>
        <v>73233</v>
      </c>
      <c r="G262" s="929">
        <v>75</v>
      </c>
      <c r="H262" s="328">
        <f t="shared" si="34"/>
        <v>5492475</v>
      </c>
    </row>
    <row r="263" spans="1:8">
      <c r="A263" s="491" t="s">
        <v>402</v>
      </c>
      <c r="B263" s="1106" t="s">
        <v>343</v>
      </c>
      <c r="C263" s="1109" t="s">
        <v>290</v>
      </c>
      <c r="D263" s="1108">
        <v>0.5</v>
      </c>
      <c r="E263" s="377">
        <v>73233</v>
      </c>
      <c r="F263" s="326">
        <f t="shared" si="35"/>
        <v>36617</v>
      </c>
      <c r="G263" s="929">
        <v>75</v>
      </c>
      <c r="H263" s="328">
        <f t="shared" si="34"/>
        <v>2746275</v>
      </c>
    </row>
    <row r="264" spans="1:8">
      <c r="A264" s="491" t="s">
        <v>403</v>
      </c>
      <c r="B264" s="1106" t="s">
        <v>350</v>
      </c>
      <c r="C264" s="1036" t="s">
        <v>290</v>
      </c>
      <c r="D264" s="1108">
        <v>0.5</v>
      </c>
      <c r="E264" s="377">
        <v>73233</v>
      </c>
      <c r="F264" s="326">
        <f t="shared" si="35"/>
        <v>36617</v>
      </c>
      <c r="G264" s="929">
        <v>75</v>
      </c>
      <c r="H264" s="328">
        <f t="shared" si="34"/>
        <v>2746275</v>
      </c>
    </row>
    <row r="265" spans="1:8">
      <c r="A265" s="491" t="s">
        <v>404</v>
      </c>
      <c r="B265" s="1106" t="s">
        <v>352</v>
      </c>
      <c r="C265" s="1036" t="s">
        <v>290</v>
      </c>
      <c r="D265" s="1108">
        <v>0.5</v>
      </c>
      <c r="E265" s="377">
        <v>73233</v>
      </c>
      <c r="F265" s="326">
        <f t="shared" si="35"/>
        <v>36617</v>
      </c>
      <c r="G265" s="929">
        <v>75</v>
      </c>
      <c r="H265" s="328">
        <f t="shared" si="34"/>
        <v>2746275</v>
      </c>
    </row>
    <row r="266" spans="1:8">
      <c r="A266" s="895"/>
      <c r="B266" s="1084"/>
      <c r="C266" s="1103"/>
      <c r="D266" s="1110"/>
      <c r="E266" s="377"/>
      <c r="F266" s="326"/>
      <c r="G266" s="929"/>
      <c r="H266" s="328">
        <f t="shared" si="34"/>
        <v>0</v>
      </c>
    </row>
    <row r="267" spans="1:8">
      <c r="A267" s="82"/>
      <c r="B267" s="1084"/>
      <c r="C267" s="1103"/>
      <c r="D267" s="1110"/>
      <c r="E267" s="377"/>
      <c r="F267" s="326"/>
      <c r="G267" s="929"/>
      <c r="H267" s="328">
        <f t="shared" si="34"/>
        <v>0</v>
      </c>
    </row>
    <row r="268" spans="1:8" ht="33">
      <c r="A268" s="83"/>
      <c r="B268" s="956" t="s">
        <v>405</v>
      </c>
      <c r="C268" s="83"/>
      <c r="D268" s="356" t="s">
        <v>241</v>
      </c>
      <c r="E268" s="336">
        <f>SUM(E262:E267)</f>
        <v>292932</v>
      </c>
      <c r="F268" s="444">
        <f>SUM(F262:F267)</f>
        <v>183084</v>
      </c>
      <c r="G268" s="930"/>
      <c r="H268" s="446">
        <f>SUM(H261:H267)</f>
        <v>13731300</v>
      </c>
    </row>
    <row r="269" spans="1:8" ht="49.5">
      <c r="A269" s="321" t="s">
        <v>406</v>
      </c>
      <c r="B269" s="153" t="s">
        <v>304</v>
      </c>
      <c r="C269" s="81" t="s">
        <v>210</v>
      </c>
      <c r="D269" s="341" t="s">
        <v>52</v>
      </c>
      <c r="E269" s="342" t="s">
        <v>211</v>
      </c>
      <c r="F269" s="343" t="s">
        <v>248</v>
      </c>
      <c r="G269" s="318" t="s">
        <v>186</v>
      </c>
      <c r="H269" s="344" t="s">
        <v>212</v>
      </c>
    </row>
    <row r="270" spans="1:8">
      <c r="A270" s="901" t="s">
        <v>407</v>
      </c>
      <c r="B270" s="1070" t="s">
        <v>223</v>
      </c>
      <c r="C270" s="1111" t="s">
        <v>224</v>
      </c>
      <c r="D270" s="1104">
        <f>(384*1)/50</f>
        <v>7.68</v>
      </c>
      <c r="E270" s="377">
        <v>44550</v>
      </c>
      <c r="F270" s="326">
        <f>ROUND((E270*D270),0)</f>
        <v>342144</v>
      </c>
      <c r="G270" s="929">
        <v>75</v>
      </c>
      <c r="H270" s="328">
        <f>+F270*G270</f>
        <v>25660800</v>
      </c>
    </row>
    <row r="271" spans="1:8">
      <c r="A271" s="901" t="s">
        <v>408</v>
      </c>
      <c r="B271" s="1070" t="s">
        <v>229</v>
      </c>
      <c r="C271" s="1088" t="s">
        <v>230</v>
      </c>
      <c r="D271" s="1112">
        <v>1</v>
      </c>
      <c r="E271" s="377">
        <v>57350</v>
      </c>
      <c r="F271" s="326">
        <f>ROUND((E271*D271),0)</f>
        <v>57350</v>
      </c>
      <c r="G271" s="929">
        <v>75</v>
      </c>
      <c r="H271" s="328">
        <f>+F271*G271</f>
        <v>4301250</v>
      </c>
    </row>
    <row r="272" spans="1:8">
      <c r="A272" s="901" t="s">
        <v>409</v>
      </c>
      <c r="B272" s="1070" t="s">
        <v>232</v>
      </c>
      <c r="C272" s="1088" t="s">
        <v>233</v>
      </c>
      <c r="D272" s="1105">
        <f>1.4*4</f>
        <v>5.6</v>
      </c>
      <c r="E272" s="377">
        <v>4357</v>
      </c>
      <c r="F272" s="326">
        <f>ROUND((E272*D272),0)</f>
        <v>24399</v>
      </c>
      <c r="G272" s="929">
        <v>75</v>
      </c>
      <c r="H272" s="328">
        <f>+F272*G272</f>
        <v>1829925</v>
      </c>
    </row>
    <row r="273" spans="1:8">
      <c r="A273" s="901" t="s">
        <v>410</v>
      </c>
      <c r="B273" s="1070"/>
      <c r="C273" s="1113"/>
      <c r="D273" s="1104"/>
      <c r="E273" s="377"/>
      <c r="F273" s="326"/>
      <c r="G273" s="929"/>
      <c r="H273" s="328">
        <f>+F273*G273</f>
        <v>0</v>
      </c>
    </row>
    <row r="274" spans="1:8" ht="33">
      <c r="A274" s="896"/>
      <c r="B274" s="956" t="s">
        <v>411</v>
      </c>
      <c r="C274" s="83"/>
      <c r="D274" s="356" t="s">
        <v>241</v>
      </c>
      <c r="E274" s="336">
        <f>SUM(E270:E273)</f>
        <v>106257</v>
      </c>
      <c r="F274" s="473">
        <f>ROUND(SUM(F270:F273),0)</f>
        <v>423893</v>
      </c>
      <c r="G274" s="930"/>
      <c r="H274" s="446">
        <f>SUM(H269:H273)</f>
        <v>31791975</v>
      </c>
    </row>
    <row r="275" spans="1:8" ht="49.5">
      <c r="A275" s="897" t="s">
        <v>412</v>
      </c>
      <c r="B275" s="167" t="s">
        <v>413</v>
      </c>
      <c r="C275" s="452" t="s">
        <v>51</v>
      </c>
      <c r="D275" s="453" t="s">
        <v>52</v>
      </c>
      <c r="E275" s="454" t="s">
        <v>53</v>
      </c>
      <c r="F275" s="317" t="s">
        <v>54</v>
      </c>
      <c r="G275" s="318" t="s">
        <v>186</v>
      </c>
      <c r="H275" s="344" t="s">
        <v>212</v>
      </c>
    </row>
    <row r="276" spans="1:8">
      <c r="A276" s="898" t="s">
        <v>414</v>
      </c>
      <c r="B276" s="1425" t="s">
        <v>415</v>
      </c>
      <c r="C276" s="1425"/>
      <c r="D276" s="1425"/>
      <c r="E276" s="1425"/>
      <c r="F276" s="474">
        <f>ROUND((5%*(F268)),0)</f>
        <v>9154</v>
      </c>
      <c r="G276" s="929">
        <f>+G270</f>
        <v>75</v>
      </c>
      <c r="H276" s="363">
        <f>+F276*G276</f>
        <v>686550</v>
      </c>
    </row>
    <row r="277" spans="1:8">
      <c r="A277" s="898" t="s">
        <v>416</v>
      </c>
      <c r="B277" s="1425" t="s">
        <v>417</v>
      </c>
      <c r="C277" s="1425"/>
      <c r="D277" s="1425"/>
      <c r="E277" s="1425"/>
      <c r="F277" s="474">
        <f>ROUND((8%*(F274)),0)</f>
        <v>33911</v>
      </c>
      <c r="G277" s="929">
        <f>+G276</f>
        <v>75</v>
      </c>
      <c r="H277" s="363">
        <f>+F277*G277</f>
        <v>2543325</v>
      </c>
    </row>
    <row r="278" spans="1:8">
      <c r="A278" s="899" t="s">
        <v>241</v>
      </c>
      <c r="B278" s="169" t="s">
        <v>418</v>
      </c>
      <c r="C278" s="169" t="s">
        <v>243</v>
      </c>
      <c r="D278" s="94" t="s">
        <v>243</v>
      </c>
      <c r="E278" s="170" t="s">
        <v>243</v>
      </c>
      <c r="F278" s="171">
        <f>+F276+F277</f>
        <v>43065</v>
      </c>
      <c r="G278" s="929">
        <f>+G277</f>
        <v>75</v>
      </c>
      <c r="H278" s="363">
        <f>+F278*G278</f>
        <v>3229875</v>
      </c>
    </row>
    <row r="279" spans="1:8">
      <c r="A279" s="898"/>
      <c r="B279" s="169" t="s">
        <v>419</v>
      </c>
      <c r="C279" s="172"/>
      <c r="D279" s="94"/>
      <c r="E279" s="170"/>
      <c r="F279" s="475">
        <f>+F274+F268</f>
        <v>606977</v>
      </c>
      <c r="G279" s="929">
        <f>+G278</f>
        <v>75</v>
      </c>
      <c r="H279" s="363">
        <f>+F279*G279</f>
        <v>45523275</v>
      </c>
    </row>
    <row r="280" spans="1:8">
      <c r="A280" s="898"/>
      <c r="B280" s="957" t="s">
        <v>420</v>
      </c>
      <c r="C280" s="368"/>
      <c r="D280" s="369"/>
      <c r="E280" s="459" t="s">
        <v>241</v>
      </c>
      <c r="F280" s="460">
        <f>+F279+F278</f>
        <v>650042</v>
      </c>
      <c r="G280" s="931">
        <f>+G279</f>
        <v>75</v>
      </c>
      <c r="H280" s="476">
        <f>+H278+H279</f>
        <v>48753150</v>
      </c>
    </row>
    <row r="281" spans="1:8">
      <c r="A281" s="888" t="s">
        <v>421</v>
      </c>
      <c r="B281" s="1438" t="s">
        <v>422</v>
      </c>
      <c r="C281" s="1438"/>
      <c r="D281" s="1438"/>
      <c r="E281" s="1438"/>
      <c r="F281" s="1438"/>
      <c r="G281" s="1438"/>
      <c r="H281" s="1438"/>
    </row>
    <row r="282" spans="1:8" ht="49.5">
      <c r="A282" s="887" t="s">
        <v>241</v>
      </c>
      <c r="B282" s="948" t="s">
        <v>4</v>
      </c>
      <c r="C282" s="153" t="s">
        <v>210</v>
      </c>
      <c r="D282" s="477" t="s">
        <v>52</v>
      </c>
      <c r="E282" s="478" t="s">
        <v>211</v>
      </c>
      <c r="F282" s="479" t="s">
        <v>248</v>
      </c>
      <c r="G282" s="318" t="s">
        <v>186</v>
      </c>
      <c r="H282" s="344" t="s">
        <v>212</v>
      </c>
    </row>
    <row r="283" spans="1:8">
      <c r="A283" s="890" t="s">
        <v>423</v>
      </c>
      <c r="B283" s="1434" t="s">
        <v>189</v>
      </c>
      <c r="C283" s="1434"/>
      <c r="D283" s="1434"/>
      <c r="E283" s="1434"/>
      <c r="F283" s="1434"/>
      <c r="G283" s="932"/>
      <c r="H283" s="373"/>
    </row>
    <row r="284" spans="1:8">
      <c r="A284" s="890" t="s">
        <v>424</v>
      </c>
      <c r="B284" s="1073" t="s">
        <v>206</v>
      </c>
      <c r="C284" s="1073" t="s">
        <v>290</v>
      </c>
      <c r="D284" s="1108">
        <v>1.25</v>
      </c>
      <c r="E284" s="377">
        <v>73233</v>
      </c>
      <c r="F284" s="481">
        <f>ROUND((D284*E284),0)</f>
        <v>91541</v>
      </c>
      <c r="G284" s="933">
        <v>45</v>
      </c>
      <c r="H284" s="328">
        <f>+F284*G284</f>
        <v>4119345</v>
      </c>
    </row>
    <row r="285" spans="1:8">
      <c r="A285" s="890" t="s">
        <v>425</v>
      </c>
      <c r="B285" s="1073" t="s">
        <v>343</v>
      </c>
      <c r="C285" s="1073" t="s">
        <v>290</v>
      </c>
      <c r="D285" s="1108">
        <v>0.25</v>
      </c>
      <c r="E285" s="377">
        <v>73233</v>
      </c>
      <c r="F285" s="481">
        <f>ROUND((D285*E285),0)</f>
        <v>18308</v>
      </c>
      <c r="G285" s="933">
        <v>45</v>
      </c>
      <c r="H285" s="328">
        <f>+F285*G285</f>
        <v>823860</v>
      </c>
    </row>
    <row r="286" spans="1:8">
      <c r="A286" s="890" t="s">
        <v>426</v>
      </c>
      <c r="B286" s="1073" t="s">
        <v>350</v>
      </c>
      <c r="C286" s="1073" t="s">
        <v>290</v>
      </c>
      <c r="D286" s="1108">
        <v>0.5</v>
      </c>
      <c r="E286" s="377">
        <v>73233</v>
      </c>
      <c r="F286" s="481">
        <f>ROUND((D286*E286),0)</f>
        <v>36617</v>
      </c>
      <c r="G286" s="933">
        <v>45</v>
      </c>
      <c r="H286" s="350">
        <f>+F286*G286</f>
        <v>1647765</v>
      </c>
    </row>
    <row r="287" spans="1:8">
      <c r="A287" s="890" t="s">
        <v>427</v>
      </c>
      <c r="B287" s="1073" t="s">
        <v>352</v>
      </c>
      <c r="C287" s="1073" t="s">
        <v>290</v>
      </c>
      <c r="D287" s="1108">
        <v>0.5</v>
      </c>
      <c r="E287" s="377">
        <v>73233</v>
      </c>
      <c r="F287" s="481">
        <f>ROUND((D287*E287),0)</f>
        <v>36617</v>
      </c>
      <c r="G287" s="933">
        <v>45</v>
      </c>
      <c r="H287" s="328">
        <f>+F287*G287</f>
        <v>1647765</v>
      </c>
    </row>
    <row r="288" spans="1:8" ht="33">
      <c r="A288" s="892"/>
      <c r="B288" s="947" t="s">
        <v>428</v>
      </c>
      <c r="C288" s="83"/>
      <c r="D288" s="356"/>
      <c r="E288" s="357">
        <f>SUM(E284:E287)</f>
        <v>292932</v>
      </c>
      <c r="F288" s="357">
        <f>SUM(F284:F287)</f>
        <v>183083</v>
      </c>
      <c r="G288" s="483"/>
      <c r="H288" s="339">
        <f>SUM(H258:H280)</f>
        <v>215710530</v>
      </c>
    </row>
    <row r="289" spans="1:9" ht="49.5">
      <c r="A289" s="887" t="s">
        <v>429</v>
      </c>
      <c r="B289" s="958" t="s">
        <v>209</v>
      </c>
      <c r="C289" s="485" t="s">
        <v>210</v>
      </c>
      <c r="D289" s="486" t="s">
        <v>52</v>
      </c>
      <c r="E289" s="487" t="s">
        <v>211</v>
      </c>
      <c r="F289" s="488" t="s">
        <v>248</v>
      </c>
      <c r="G289" s="318" t="s">
        <v>186</v>
      </c>
      <c r="H289" s="344" t="s">
        <v>212</v>
      </c>
    </row>
    <row r="290" spans="1:9">
      <c r="A290" s="891" t="s">
        <v>430</v>
      </c>
      <c r="B290" s="1070" t="s">
        <v>223</v>
      </c>
      <c r="C290" s="1114" t="s">
        <v>224</v>
      </c>
      <c r="D290" s="490">
        <v>1.54</v>
      </c>
      <c r="E290" s="508">
        <v>44550</v>
      </c>
      <c r="F290" s="326">
        <f>E290*D290</f>
        <v>68607</v>
      </c>
      <c r="G290" s="922">
        <v>45</v>
      </c>
      <c r="H290" s="328">
        <f>+F290*G290</f>
        <v>3087315</v>
      </c>
    </row>
    <row r="291" spans="1:9">
      <c r="A291" s="891" t="s">
        <v>431</v>
      </c>
      <c r="B291" s="1070" t="s">
        <v>229</v>
      </c>
      <c r="C291" s="1073" t="s">
        <v>230</v>
      </c>
      <c r="D291" s="491">
        <v>1</v>
      </c>
      <c r="E291" s="508">
        <v>57350</v>
      </c>
      <c r="F291" s="326">
        <f t="shared" ref="F291:F292" si="36">E291*D291</f>
        <v>57350</v>
      </c>
      <c r="G291" s="922">
        <v>45</v>
      </c>
      <c r="H291" s="328">
        <f t="shared" ref="H291:H293" si="37">+F291*G291</f>
        <v>2580750</v>
      </c>
    </row>
    <row r="292" spans="1:9">
      <c r="A292" s="891" t="s">
        <v>432</v>
      </c>
      <c r="B292" s="1070" t="s">
        <v>232</v>
      </c>
      <c r="C292" s="1073" t="s">
        <v>233</v>
      </c>
      <c r="D292" s="491">
        <v>5.6</v>
      </c>
      <c r="E292" s="508">
        <v>4357</v>
      </c>
      <c r="F292" s="326">
        <f t="shared" si="36"/>
        <v>24399.199999999997</v>
      </c>
      <c r="G292" s="922">
        <v>45</v>
      </c>
      <c r="H292" s="328">
        <f t="shared" si="37"/>
        <v>1097963.9999999998</v>
      </c>
    </row>
    <row r="293" spans="1:9">
      <c r="A293" s="891"/>
      <c r="B293" s="382"/>
      <c r="C293" s="1115"/>
      <c r="D293" s="492"/>
      <c r="E293" s="377"/>
      <c r="F293" s="326"/>
      <c r="G293" s="922"/>
      <c r="H293" s="328">
        <f t="shared" si="37"/>
        <v>0</v>
      </c>
    </row>
    <row r="294" spans="1:9">
      <c r="A294" s="891"/>
      <c r="B294" s="955"/>
      <c r="C294" s="411"/>
      <c r="D294" s="412"/>
      <c r="E294" s="357"/>
      <c r="F294" s="426">
        <f>ROUND((SUM(F290:F293)),0)</f>
        <v>150356</v>
      </c>
      <c r="G294" s="412"/>
      <c r="H294" s="432">
        <f>SUM(H290:H293)</f>
        <v>6766029</v>
      </c>
    </row>
    <row r="295" spans="1:9" ht="49.5">
      <c r="A295" s="493" t="s">
        <v>433</v>
      </c>
      <c r="B295" s="167" t="s">
        <v>434</v>
      </c>
      <c r="C295" s="95" t="s">
        <v>51</v>
      </c>
      <c r="D295" s="96" t="s">
        <v>52</v>
      </c>
      <c r="E295" s="317" t="s">
        <v>53</v>
      </c>
      <c r="F295" s="317" t="s">
        <v>54</v>
      </c>
      <c r="G295" s="318" t="s">
        <v>186</v>
      </c>
      <c r="H295" s="344" t="s">
        <v>212</v>
      </c>
    </row>
    <row r="296" spans="1:9">
      <c r="A296" s="494" t="s">
        <v>435</v>
      </c>
      <c r="B296" s="1432" t="s">
        <v>436</v>
      </c>
      <c r="C296" s="1432"/>
      <c r="D296" s="1432"/>
      <c r="E296" s="1432"/>
      <c r="F296" s="362">
        <f>ROUND((5%*(F288)),0)</f>
        <v>9154</v>
      </c>
      <c r="G296" s="922">
        <v>45</v>
      </c>
      <c r="H296" s="363">
        <f>+F296*G296</f>
        <v>411930</v>
      </c>
    </row>
    <row r="297" spans="1:9">
      <c r="A297" s="494" t="s">
        <v>437</v>
      </c>
      <c r="B297" s="1432" t="s">
        <v>438</v>
      </c>
      <c r="C297" s="1432"/>
      <c r="D297" s="1432"/>
      <c r="E297" s="1432"/>
      <c r="F297" s="362">
        <f>ROUND((8%*(F294)),0)</f>
        <v>12028</v>
      </c>
      <c r="G297" s="922">
        <f>+G296</f>
        <v>45</v>
      </c>
      <c r="H297" s="363">
        <f>+F297*G297</f>
        <v>541260</v>
      </c>
    </row>
    <row r="298" spans="1:9">
      <c r="A298" s="494" t="s">
        <v>241</v>
      </c>
      <c r="B298" s="169" t="s">
        <v>439</v>
      </c>
      <c r="C298" s="169" t="s">
        <v>243</v>
      </c>
      <c r="D298" s="94" t="s">
        <v>243</v>
      </c>
      <c r="E298" s="170" t="s">
        <v>243</v>
      </c>
      <c r="F298" s="171">
        <f>ROUND((SUM(F296:F297)),0)</f>
        <v>21182</v>
      </c>
      <c r="G298" s="922">
        <f t="shared" ref="G298:G299" si="38">+G297</f>
        <v>45</v>
      </c>
      <c r="H298" s="364">
        <f>+H296+H297</f>
        <v>953190</v>
      </c>
    </row>
    <row r="299" spans="1:9">
      <c r="A299" s="494"/>
      <c r="B299" s="169" t="s">
        <v>440</v>
      </c>
      <c r="C299" s="172"/>
      <c r="D299" s="94"/>
      <c r="E299" s="170"/>
      <c r="F299" s="391">
        <f>+F288+F294</f>
        <v>333439</v>
      </c>
      <c r="G299" s="922">
        <f t="shared" si="38"/>
        <v>45</v>
      </c>
      <c r="H299" s="366">
        <f>+F299*G299</f>
        <v>15004755</v>
      </c>
    </row>
    <row r="300" spans="1:9">
      <c r="A300" s="494"/>
      <c r="B300" s="951" t="s">
        <v>441</v>
      </c>
      <c r="C300" s="368"/>
      <c r="D300" s="369"/>
      <c r="E300" s="370" t="s">
        <v>241</v>
      </c>
      <c r="F300" s="371">
        <f>+F299+F298</f>
        <v>354621</v>
      </c>
      <c r="G300" s="922"/>
      <c r="H300" s="370">
        <f>+H298+H299</f>
        <v>15957945</v>
      </c>
      <c r="I300" s="859"/>
    </row>
    <row r="301" spans="1:9">
      <c r="A301" s="495" t="s">
        <v>442</v>
      </c>
      <c r="B301" s="1433" t="s">
        <v>443</v>
      </c>
      <c r="C301" s="1433"/>
      <c r="D301" s="1433"/>
      <c r="E301" s="1433"/>
      <c r="F301" s="1433"/>
      <c r="G301" s="1433"/>
      <c r="H301" s="1433"/>
    </row>
    <row r="302" spans="1:9" ht="49.5">
      <c r="A302" s="887" t="s">
        <v>241</v>
      </c>
      <c r="B302" s="952" t="s">
        <v>4</v>
      </c>
      <c r="C302" s="81" t="s">
        <v>210</v>
      </c>
      <c r="D302" s="341" t="s">
        <v>52</v>
      </c>
      <c r="E302" s="342" t="s">
        <v>211</v>
      </c>
      <c r="F302" s="343" t="s">
        <v>248</v>
      </c>
      <c r="G302" s="318" t="s">
        <v>186</v>
      </c>
      <c r="H302" s="344" t="s">
        <v>212</v>
      </c>
    </row>
    <row r="303" spans="1:9">
      <c r="A303" s="888" t="s">
        <v>444</v>
      </c>
      <c r="B303" s="1434" t="s">
        <v>189</v>
      </c>
      <c r="C303" s="1434"/>
      <c r="D303" s="1434"/>
      <c r="E303" s="1434"/>
      <c r="F303" s="1434"/>
      <c r="G303" s="925"/>
      <c r="H303" s="373"/>
    </row>
    <row r="304" spans="1:9">
      <c r="A304" s="888" t="s">
        <v>445</v>
      </c>
      <c r="B304" s="1116" t="s">
        <v>446</v>
      </c>
      <c r="C304" s="1067" t="s">
        <v>341</v>
      </c>
      <c r="D304" s="435">
        <v>1</v>
      </c>
      <c r="E304" s="377">
        <f>ROUND((73233),0)</f>
        <v>73233</v>
      </c>
      <c r="F304" s="326">
        <f t="shared" ref="F304:F305" si="39">ROUND((D304*E304),0)</f>
        <v>73233</v>
      </c>
      <c r="G304" s="922">
        <v>150</v>
      </c>
      <c r="H304" s="328">
        <f>+F304*G304</f>
        <v>10984950</v>
      </c>
    </row>
    <row r="305" spans="1:8">
      <c r="A305" s="888"/>
      <c r="B305" s="382"/>
      <c r="C305" s="382"/>
      <c r="D305" s="390"/>
      <c r="E305" s="481"/>
      <c r="F305" s="326">
        <f t="shared" si="39"/>
        <v>0</v>
      </c>
      <c r="G305" s="922"/>
      <c r="H305" s="328">
        <f>+F305*G305</f>
        <v>0</v>
      </c>
    </row>
    <row r="306" spans="1:8" ht="33">
      <c r="A306" s="891"/>
      <c r="B306" s="947" t="s">
        <v>447</v>
      </c>
      <c r="C306" s="83"/>
      <c r="D306" s="356"/>
      <c r="E306" s="357">
        <f>SUM(E304:E305)</f>
        <v>73233</v>
      </c>
      <c r="F306" s="357">
        <f>SUM(F304:F305)</f>
        <v>73233</v>
      </c>
      <c r="G306" s="412"/>
      <c r="H306" s="339">
        <f>SUM(H304:H305)</f>
        <v>10984950</v>
      </c>
    </row>
    <row r="307" spans="1:8" ht="49.5">
      <c r="A307" s="887" t="s">
        <v>448</v>
      </c>
      <c r="B307" s="952" t="s">
        <v>209</v>
      </c>
      <c r="C307" s="81" t="s">
        <v>210</v>
      </c>
      <c r="D307" s="341" t="s">
        <v>52</v>
      </c>
      <c r="E307" s="342" t="s">
        <v>211</v>
      </c>
      <c r="F307" s="343" t="s">
        <v>248</v>
      </c>
      <c r="G307" s="318" t="s">
        <v>186</v>
      </c>
      <c r="H307" s="344" t="s">
        <v>212</v>
      </c>
    </row>
    <row r="308" spans="1:8">
      <c r="A308" s="891" t="s">
        <v>449</v>
      </c>
      <c r="B308" s="1078" t="s">
        <v>450</v>
      </c>
      <c r="C308" s="1117" t="s">
        <v>451</v>
      </c>
      <c r="D308" s="1111">
        <v>8</v>
      </c>
      <c r="E308" s="377">
        <f>ROUND((4526),0)</f>
        <v>4526</v>
      </c>
      <c r="F308" s="326">
        <f>ROUND((D308*E308),0)</f>
        <v>36208</v>
      </c>
      <c r="G308" s="922">
        <f>+G304</f>
        <v>150</v>
      </c>
      <c r="H308" s="328">
        <f>+F308*G308</f>
        <v>5431200</v>
      </c>
    </row>
    <row r="309" spans="1:8">
      <c r="A309" s="891" t="s">
        <v>452</v>
      </c>
      <c r="B309" s="1078" t="s">
        <v>453</v>
      </c>
      <c r="C309" s="1117" t="s">
        <v>71</v>
      </c>
      <c r="D309" s="1118">
        <v>3</v>
      </c>
      <c r="E309" s="377">
        <f>ROUND((1468),0)</f>
        <v>1468</v>
      </c>
      <c r="F309" s="326">
        <f t="shared" ref="F309:F310" si="40">ROUND((D309*E309),0)</f>
        <v>4404</v>
      </c>
      <c r="G309" s="922">
        <f>+G308</f>
        <v>150</v>
      </c>
      <c r="H309" s="328">
        <f t="shared" ref="H309:H310" si="41">+F309*G309</f>
        <v>660600</v>
      </c>
    </row>
    <row r="310" spans="1:8">
      <c r="A310" s="891" t="s">
        <v>454</v>
      </c>
      <c r="B310" s="1078" t="s">
        <v>455</v>
      </c>
      <c r="C310" s="1117" t="s">
        <v>451</v>
      </c>
      <c r="D310" s="1111">
        <v>4</v>
      </c>
      <c r="E310" s="377">
        <f>ROUND((551),0)</f>
        <v>551</v>
      </c>
      <c r="F310" s="326">
        <f t="shared" si="40"/>
        <v>2204</v>
      </c>
      <c r="G310" s="922">
        <f>+G309</f>
        <v>150</v>
      </c>
      <c r="H310" s="328">
        <f t="shared" si="41"/>
        <v>330600</v>
      </c>
    </row>
    <row r="311" spans="1:8">
      <c r="A311" s="891"/>
      <c r="B311" s="955" t="s">
        <v>456</v>
      </c>
      <c r="C311" s="411"/>
      <c r="D311" s="412"/>
      <c r="E311" s="357"/>
      <c r="F311" s="426">
        <f>SUM(F308:F310)</f>
        <v>42816</v>
      </c>
      <c r="G311" s="412"/>
      <c r="H311" s="432">
        <f>SUM(H308:H310)</f>
        <v>6422400</v>
      </c>
    </row>
    <row r="312" spans="1:8" ht="49.5">
      <c r="A312" s="493" t="s">
        <v>457</v>
      </c>
      <c r="B312" s="167" t="s">
        <v>458</v>
      </c>
      <c r="C312" s="95" t="s">
        <v>51</v>
      </c>
      <c r="D312" s="96" t="s">
        <v>52</v>
      </c>
      <c r="E312" s="317" t="s">
        <v>53</v>
      </c>
      <c r="F312" s="317" t="s">
        <v>54</v>
      </c>
      <c r="G312" s="318" t="s">
        <v>186</v>
      </c>
      <c r="H312" s="344" t="s">
        <v>212</v>
      </c>
    </row>
    <row r="313" spans="1:8">
      <c r="A313" s="494" t="s">
        <v>459</v>
      </c>
      <c r="B313" s="1432" t="s">
        <v>460</v>
      </c>
      <c r="C313" s="1432"/>
      <c r="D313" s="1432"/>
      <c r="E313" s="1432"/>
      <c r="F313" s="362">
        <f>ROUND((5%*(F306)),0)</f>
        <v>3662</v>
      </c>
      <c r="G313" s="922">
        <f>+G310</f>
        <v>150</v>
      </c>
      <c r="H313" s="363">
        <f>+F313*G313</f>
        <v>549300</v>
      </c>
    </row>
    <row r="314" spans="1:8">
      <c r="A314" s="494" t="s">
        <v>461</v>
      </c>
      <c r="B314" s="1432" t="s">
        <v>462</v>
      </c>
      <c r="C314" s="1432"/>
      <c r="D314" s="1432"/>
      <c r="E314" s="1432"/>
      <c r="F314" s="362">
        <f>ROUND((8%*(F311)),0)</f>
        <v>3425</v>
      </c>
      <c r="G314" s="922">
        <f>+G313</f>
        <v>150</v>
      </c>
      <c r="H314" s="363">
        <f>+F314*G314</f>
        <v>513750</v>
      </c>
    </row>
    <row r="315" spans="1:8">
      <c r="A315" s="494" t="s">
        <v>463</v>
      </c>
      <c r="B315" s="1430" t="s">
        <v>464</v>
      </c>
      <c r="C315" s="1430"/>
      <c r="D315" s="1430"/>
      <c r="E315" s="170" t="s">
        <v>243</v>
      </c>
      <c r="F315" s="171">
        <f>SUM(F313:F314)</f>
        <v>7087</v>
      </c>
      <c r="G315" s="922">
        <f t="shared" ref="G315:G316" si="42">+G314</f>
        <v>150</v>
      </c>
      <c r="H315" s="364">
        <f>+H313+H314</f>
        <v>1063050</v>
      </c>
    </row>
    <row r="316" spans="1:8">
      <c r="A316" s="494" t="s">
        <v>465</v>
      </c>
      <c r="B316" s="1430" t="s">
        <v>466</v>
      </c>
      <c r="C316" s="1430"/>
      <c r="D316" s="1430"/>
      <c r="E316" s="170"/>
      <c r="F316" s="391">
        <f>+F306+F311</f>
        <v>116049</v>
      </c>
      <c r="G316" s="922">
        <f t="shared" si="42"/>
        <v>150</v>
      </c>
      <c r="H316" s="366">
        <f>+F316*G316</f>
        <v>17407350</v>
      </c>
    </row>
    <row r="317" spans="1:8">
      <c r="A317" s="494"/>
      <c r="B317" s="951" t="s">
        <v>467</v>
      </c>
      <c r="C317" s="368"/>
      <c r="D317" s="369"/>
      <c r="E317" s="370" t="s">
        <v>241</v>
      </c>
      <c r="F317" s="371">
        <f>+F316+F315</f>
        <v>123136</v>
      </c>
      <c r="G317" s="922"/>
      <c r="H317" s="370">
        <f>+H315+H316</f>
        <v>18470400</v>
      </c>
    </row>
    <row r="318" spans="1:8">
      <c r="A318" s="1119" t="s">
        <v>468</v>
      </c>
      <c r="B318" s="1530" t="s">
        <v>469</v>
      </c>
      <c r="C318" s="1530"/>
      <c r="D318" s="1530"/>
      <c r="E318" s="1530"/>
      <c r="F318" s="1530"/>
      <c r="G318" s="1530"/>
      <c r="H318" s="1530"/>
    </row>
    <row r="319" spans="1:8">
      <c r="A319" s="1427" t="s">
        <v>470</v>
      </c>
      <c r="B319" s="1531" t="s">
        <v>4</v>
      </c>
      <c r="C319" s="1427" t="s">
        <v>282</v>
      </c>
      <c r="D319" s="1427"/>
      <c r="E319" s="1427"/>
      <c r="F319" s="1427" t="s">
        <v>248</v>
      </c>
      <c r="G319" s="1431" t="s">
        <v>186</v>
      </c>
      <c r="H319" s="1431" t="s">
        <v>212</v>
      </c>
    </row>
    <row r="320" spans="1:8">
      <c r="A320" s="1427"/>
      <c r="B320" s="1531"/>
      <c r="C320" s="502" t="s">
        <v>59</v>
      </c>
      <c r="D320" s="502" t="s">
        <v>285</v>
      </c>
      <c r="E320" s="502" t="s">
        <v>286</v>
      </c>
      <c r="F320" s="1427"/>
      <c r="G320" s="1431"/>
      <c r="H320" s="1431"/>
    </row>
    <row r="321" spans="1:8">
      <c r="A321" s="82" t="s">
        <v>471</v>
      </c>
      <c r="B321" s="381" t="s">
        <v>472</v>
      </c>
      <c r="C321" s="382"/>
      <c r="D321" s="503"/>
      <c r="E321" s="377"/>
      <c r="F321" s="326"/>
      <c r="G321" s="929"/>
      <c r="H321" s="328">
        <f t="shared" ref="H321:H323" si="43">+F321*G321</f>
        <v>0</v>
      </c>
    </row>
    <row r="322" spans="1:8">
      <c r="A322" s="82"/>
      <c r="B322" s="382" t="s">
        <v>473</v>
      </c>
      <c r="C322" s="503" t="s">
        <v>341</v>
      </c>
      <c r="D322" s="435">
        <v>2</v>
      </c>
      <c r="E322" s="504">
        <f>ROUND((73233),0)</f>
        <v>73233</v>
      </c>
      <c r="F322" s="505">
        <f>ROUND((E322*D322),0)</f>
        <v>146466</v>
      </c>
      <c r="G322" s="929">
        <v>45</v>
      </c>
      <c r="H322" s="328">
        <f>+E322*G322</f>
        <v>3295485</v>
      </c>
    </row>
    <row r="323" spans="1:8">
      <c r="A323" s="82"/>
      <c r="B323" s="382"/>
      <c r="C323" s="382"/>
      <c r="D323" s="503"/>
      <c r="E323" s="377"/>
      <c r="F323" s="326">
        <f t="shared" ref="F323" si="44">ROUND((D323*E323),0)/1000</f>
        <v>0</v>
      </c>
      <c r="G323" s="929"/>
      <c r="H323" s="328">
        <f t="shared" si="43"/>
        <v>0</v>
      </c>
    </row>
    <row r="324" spans="1:8">
      <c r="A324" s="83"/>
      <c r="B324" s="956" t="s">
        <v>474</v>
      </c>
      <c r="C324" s="83"/>
      <c r="D324" s="356"/>
      <c r="E324" s="336"/>
      <c r="F324" s="444">
        <f>SUM(F321:F323)</f>
        <v>146466</v>
      </c>
      <c r="G324" s="930"/>
      <c r="H324" s="446">
        <f>SUM(H320:H323)</f>
        <v>3295485</v>
      </c>
    </row>
    <row r="325" spans="1:8" ht="49.5">
      <c r="A325" s="321"/>
      <c r="B325" s="81" t="s">
        <v>304</v>
      </c>
      <c r="C325" s="81" t="s">
        <v>210</v>
      </c>
      <c r="D325" s="341" t="s">
        <v>52</v>
      </c>
      <c r="E325" s="342" t="s">
        <v>211</v>
      </c>
      <c r="F325" s="343" t="s">
        <v>248</v>
      </c>
      <c r="G325" s="318" t="s">
        <v>186</v>
      </c>
      <c r="H325" s="344" t="s">
        <v>212</v>
      </c>
    </row>
    <row r="326" spans="1:8">
      <c r="A326" s="82" t="s">
        <v>475</v>
      </c>
      <c r="B326" s="382"/>
      <c r="C326" s="1120"/>
      <c r="D326" s="507"/>
      <c r="E326" s="508"/>
      <c r="F326" s="326">
        <f>+(D326*E326)/1000</f>
        <v>0</v>
      </c>
      <c r="G326" s="929"/>
      <c r="H326" s="328">
        <f>+F326*G326</f>
        <v>0</v>
      </c>
    </row>
    <row r="327" spans="1:8">
      <c r="A327" s="82"/>
      <c r="B327" s="382"/>
      <c r="C327" s="1120"/>
      <c r="D327" s="507"/>
      <c r="E327" s="508"/>
      <c r="F327" s="326">
        <f t="shared" ref="F327" si="45">+(D327*E327)/1000</f>
        <v>0</v>
      </c>
      <c r="G327" s="929"/>
      <c r="H327" s="328">
        <f>+F327*G327</f>
        <v>0</v>
      </c>
    </row>
    <row r="328" spans="1:8">
      <c r="A328" s="896"/>
      <c r="B328" s="956" t="s">
        <v>476</v>
      </c>
      <c r="C328" s="509"/>
      <c r="D328" s="509"/>
      <c r="E328" s="510" t="s">
        <v>241</v>
      </c>
      <c r="F328" s="511">
        <f>SUM(F326:F327)</f>
        <v>0</v>
      </c>
      <c r="G328" s="934"/>
      <c r="H328" s="512">
        <f>SUM(H326:H327)</f>
        <v>0</v>
      </c>
    </row>
    <row r="329" spans="1:8" ht="49.5">
      <c r="A329" s="897" t="s">
        <v>477</v>
      </c>
      <c r="B329" s="167" t="s">
        <v>478</v>
      </c>
      <c r="C329" s="81" t="s">
        <v>210</v>
      </c>
      <c r="D329" s="341" t="s">
        <v>52</v>
      </c>
      <c r="E329" s="342" t="s">
        <v>211</v>
      </c>
      <c r="F329" s="343" t="s">
        <v>248</v>
      </c>
      <c r="G329" s="318" t="s">
        <v>186</v>
      </c>
      <c r="H329" s="344" t="s">
        <v>212</v>
      </c>
    </row>
    <row r="330" spans="1:8">
      <c r="A330" s="903" t="s">
        <v>479</v>
      </c>
      <c r="B330" s="1425" t="s">
        <v>480</v>
      </c>
      <c r="C330" s="1425"/>
      <c r="D330" s="1425"/>
      <c r="E330" s="1425"/>
      <c r="F330" s="1121">
        <f>ROUND((5%*(F324)),0)</f>
        <v>7323</v>
      </c>
      <c r="G330" s="1122">
        <v>45</v>
      </c>
      <c r="H330" s="363">
        <f>+F330*G330</f>
        <v>329535</v>
      </c>
    </row>
    <row r="331" spans="1:8">
      <c r="A331" s="903" t="s">
        <v>481</v>
      </c>
      <c r="B331" s="1425" t="s">
        <v>482</v>
      </c>
      <c r="C331" s="1425"/>
      <c r="D331" s="1425"/>
      <c r="E331" s="1425"/>
      <c r="F331" s="474">
        <f>+F328*8%</f>
        <v>0</v>
      </c>
      <c r="G331" s="929"/>
      <c r="H331" s="363">
        <f>+F331*G331</f>
        <v>0</v>
      </c>
    </row>
    <row r="332" spans="1:8">
      <c r="A332" s="899" t="s">
        <v>241</v>
      </c>
      <c r="B332" s="169" t="s">
        <v>483</v>
      </c>
      <c r="C332" s="169" t="s">
        <v>243</v>
      </c>
      <c r="D332" s="94" t="s">
        <v>243</v>
      </c>
      <c r="E332" s="170" t="s">
        <v>243</v>
      </c>
      <c r="F332" s="171">
        <f>+F330+F331</f>
        <v>7323</v>
      </c>
      <c r="G332" s="929">
        <v>45</v>
      </c>
      <c r="H332" s="363">
        <f>+F332*G332</f>
        <v>329535</v>
      </c>
    </row>
    <row r="333" spans="1:8">
      <c r="A333" s="898"/>
      <c r="B333" s="169" t="s">
        <v>484</v>
      </c>
      <c r="C333" s="172"/>
      <c r="D333" s="94"/>
      <c r="E333" s="170"/>
      <c r="F333" s="391">
        <f>+F328+F324</f>
        <v>146466</v>
      </c>
      <c r="G333" s="929">
        <v>45</v>
      </c>
      <c r="H333" s="366">
        <f>+F333*G333</f>
        <v>6590970</v>
      </c>
    </row>
    <row r="334" spans="1:8">
      <c r="A334" s="898"/>
      <c r="B334" s="957" t="s">
        <v>485</v>
      </c>
      <c r="C334" s="368"/>
      <c r="D334" s="369"/>
      <c r="E334" s="370" t="s">
        <v>241</v>
      </c>
      <c r="F334" s="371">
        <f>+F333+F332</f>
        <v>153789</v>
      </c>
      <c r="G334" s="929"/>
      <c r="H334" s="370">
        <f>+H332+H333</f>
        <v>6920505</v>
      </c>
    </row>
    <row r="335" spans="1:8">
      <c r="A335" s="1119" t="s">
        <v>486</v>
      </c>
      <c r="B335" s="1530" t="s">
        <v>487</v>
      </c>
      <c r="C335" s="1530"/>
      <c r="D335" s="1530"/>
      <c r="E335" s="1530"/>
      <c r="F335" s="1530"/>
      <c r="G335" s="1530"/>
      <c r="H335" s="1530"/>
    </row>
    <row r="336" spans="1:8">
      <c r="A336" s="1427" t="s">
        <v>470</v>
      </c>
      <c r="B336" s="1531" t="s">
        <v>4</v>
      </c>
      <c r="C336" s="1427" t="s">
        <v>282</v>
      </c>
      <c r="D336" s="1427"/>
      <c r="E336" s="1427"/>
      <c r="F336" s="1427" t="s">
        <v>248</v>
      </c>
      <c r="G336" s="1431" t="s">
        <v>186</v>
      </c>
      <c r="H336" s="1431" t="s">
        <v>212</v>
      </c>
    </row>
    <row r="337" spans="1:8">
      <c r="A337" s="1427"/>
      <c r="B337" s="1531"/>
      <c r="C337" s="502" t="s">
        <v>59</v>
      </c>
      <c r="D337" s="502" t="s">
        <v>285</v>
      </c>
      <c r="E337" s="502" t="s">
        <v>286</v>
      </c>
      <c r="F337" s="1427"/>
      <c r="G337" s="1431"/>
      <c r="H337" s="1431"/>
    </row>
    <row r="338" spans="1:8">
      <c r="A338" s="904" t="s">
        <v>488</v>
      </c>
      <c r="B338" s="957" t="s">
        <v>489</v>
      </c>
      <c r="C338" s="368"/>
      <c r="D338" s="369"/>
      <c r="E338" s="370"/>
      <c r="F338" s="371"/>
      <c r="G338" s="929"/>
      <c r="H338" s="370"/>
    </row>
    <row r="339" spans="1:8">
      <c r="A339" s="82"/>
      <c r="B339" s="1123" t="s">
        <v>490</v>
      </c>
      <c r="C339" s="82" t="s">
        <v>341</v>
      </c>
      <c r="D339" s="316">
        <v>2</v>
      </c>
      <c r="E339" s="515">
        <f>ROUND((73233),0)</f>
        <v>73233</v>
      </c>
      <c r="F339" s="516">
        <f>ROUND((+D339*E339),0)</f>
        <v>146466</v>
      </c>
      <c r="G339" s="935">
        <v>45</v>
      </c>
      <c r="H339" s="518">
        <f>+F339*G339</f>
        <v>6590970</v>
      </c>
    </row>
    <row r="340" spans="1:8" ht="33">
      <c r="A340" s="905"/>
      <c r="B340" s="956" t="s">
        <v>491</v>
      </c>
      <c r="C340" s="1124"/>
      <c r="D340" s="520"/>
      <c r="E340" s="521"/>
      <c r="F340" s="522">
        <f>SUM(F339:F339)</f>
        <v>146466</v>
      </c>
      <c r="G340" s="936"/>
      <c r="H340" s="524">
        <f>SUM(H339:H339)</f>
        <v>6590970</v>
      </c>
    </row>
    <row r="341" spans="1:8" ht="49.5">
      <c r="A341" s="906" t="s">
        <v>492</v>
      </c>
      <c r="B341" s="81" t="s">
        <v>304</v>
      </c>
      <c r="C341" s="81" t="s">
        <v>210</v>
      </c>
      <c r="D341" s="477" t="s">
        <v>52</v>
      </c>
      <c r="E341" s="478" t="s">
        <v>211</v>
      </c>
      <c r="F341" s="479" t="s">
        <v>248</v>
      </c>
      <c r="G341" s="318" t="s">
        <v>186</v>
      </c>
      <c r="H341" s="344" t="s">
        <v>212</v>
      </c>
    </row>
    <row r="342" spans="1:8">
      <c r="A342" s="82"/>
      <c r="B342" s="1123"/>
      <c r="C342" s="1120"/>
      <c r="D342" s="1125"/>
      <c r="E342" s="515"/>
      <c r="F342" s="468">
        <f>+(D342*E342)/1000</f>
        <v>0</v>
      </c>
      <c r="G342" s="937"/>
      <c r="H342" s="518">
        <f>+F342*G342</f>
        <v>0</v>
      </c>
    </row>
    <row r="343" spans="1:8">
      <c r="A343" s="905"/>
      <c r="B343" s="956" t="s">
        <v>493</v>
      </c>
      <c r="C343" s="316"/>
      <c r="D343" s="316"/>
      <c r="E343" s="526"/>
      <c r="F343" s="527">
        <f>SUM(F342:F342)</f>
        <v>0</v>
      </c>
      <c r="G343" s="938"/>
      <c r="H343" s="518">
        <f>SUM(H342:H342)</f>
        <v>0</v>
      </c>
    </row>
    <row r="344" spans="1:8" ht="49.5">
      <c r="A344" s="897" t="s">
        <v>494</v>
      </c>
      <c r="B344" s="167" t="s">
        <v>495</v>
      </c>
      <c r="C344" s="81" t="s">
        <v>210</v>
      </c>
      <c r="D344" s="341" t="s">
        <v>52</v>
      </c>
      <c r="E344" s="342" t="s">
        <v>211</v>
      </c>
      <c r="F344" s="479" t="s">
        <v>248</v>
      </c>
      <c r="G344" s="318" t="s">
        <v>186</v>
      </c>
      <c r="H344" s="344" t="s">
        <v>212</v>
      </c>
    </row>
    <row r="345" spans="1:8">
      <c r="A345" s="898" t="s">
        <v>496</v>
      </c>
      <c r="B345" s="959" t="s">
        <v>497</v>
      </c>
      <c r="C345" s="455"/>
      <c r="D345" s="455"/>
      <c r="E345" s="455"/>
      <c r="F345" s="528">
        <f>ROUND((5%*(F340)),0)</f>
        <v>7323</v>
      </c>
      <c r="G345" s="929">
        <v>45</v>
      </c>
      <c r="H345" s="363">
        <f>+F345*G345</f>
        <v>329535</v>
      </c>
    </row>
    <row r="346" spans="1:8">
      <c r="A346" s="898" t="s">
        <v>498</v>
      </c>
      <c r="B346" s="959" t="s">
        <v>499</v>
      </c>
      <c r="C346" s="455"/>
      <c r="D346" s="455"/>
      <c r="E346" s="455"/>
      <c r="F346" s="528">
        <f>ROUND((8%*(F343)),2)</f>
        <v>0</v>
      </c>
      <c r="G346" s="929"/>
      <c r="H346" s="363">
        <f>+F346*G346</f>
        <v>0</v>
      </c>
    </row>
    <row r="347" spans="1:8">
      <c r="A347" s="899" t="s">
        <v>241</v>
      </c>
      <c r="B347" s="169" t="s">
        <v>500</v>
      </c>
      <c r="C347" s="169" t="s">
        <v>243</v>
      </c>
      <c r="D347" s="94" t="s">
        <v>243</v>
      </c>
      <c r="E347" s="170" t="s">
        <v>243</v>
      </c>
      <c r="F347" s="529">
        <f>+F345+F346</f>
        <v>7323</v>
      </c>
      <c r="G347" s="929">
        <v>45</v>
      </c>
      <c r="H347" s="363">
        <f>+F347*G347</f>
        <v>329535</v>
      </c>
    </row>
    <row r="348" spans="1:8">
      <c r="A348" s="898"/>
      <c r="B348" s="169" t="s">
        <v>501</v>
      </c>
      <c r="C348" s="172"/>
      <c r="D348" s="94"/>
      <c r="E348" s="170"/>
      <c r="F348" s="391">
        <f>+F343+F340</f>
        <v>146466</v>
      </c>
      <c r="G348" s="929">
        <v>45</v>
      </c>
      <c r="H348" s="366">
        <f>+F348*G348</f>
        <v>6590970</v>
      </c>
    </row>
    <row r="349" spans="1:8">
      <c r="A349" s="898"/>
      <c r="B349" s="957" t="s">
        <v>502</v>
      </c>
      <c r="C349" s="368"/>
      <c r="D349" s="369"/>
      <c r="E349" s="370" t="s">
        <v>241</v>
      </c>
      <c r="F349" s="371">
        <f>+F348+F347</f>
        <v>153789</v>
      </c>
      <c r="G349" s="929">
        <f>+G348</f>
        <v>45</v>
      </c>
      <c r="H349" s="370">
        <f>+F349*G349</f>
        <v>6920505</v>
      </c>
    </row>
    <row r="350" spans="1:8">
      <c r="A350" s="900" t="s">
        <v>503</v>
      </c>
      <c r="B350" s="1420" t="s">
        <v>504</v>
      </c>
      <c r="C350" s="1420"/>
      <c r="D350" s="1420"/>
      <c r="E350" s="1420"/>
      <c r="F350" s="1420"/>
      <c r="G350" s="1420"/>
      <c r="H350" s="1420"/>
    </row>
    <row r="351" spans="1:8" ht="49.5">
      <c r="A351" s="907"/>
      <c r="B351" s="153" t="s">
        <v>50</v>
      </c>
      <c r="C351" s="153" t="s">
        <v>210</v>
      </c>
      <c r="D351" s="477" t="s">
        <v>52</v>
      </c>
      <c r="E351" s="478" t="s">
        <v>211</v>
      </c>
      <c r="F351" s="479" t="s">
        <v>248</v>
      </c>
      <c r="G351" s="318" t="s">
        <v>186</v>
      </c>
      <c r="H351" s="344" t="s">
        <v>212</v>
      </c>
    </row>
    <row r="352" spans="1:8">
      <c r="A352" s="520" t="s">
        <v>505</v>
      </c>
      <c r="B352" s="1421" t="s">
        <v>189</v>
      </c>
      <c r="C352" s="1421"/>
      <c r="D352" s="1421"/>
      <c r="E352" s="1421"/>
      <c r="F352" s="1421"/>
      <c r="G352" s="939"/>
      <c r="H352" s="353">
        <f>+F352*G352</f>
        <v>0</v>
      </c>
    </row>
    <row r="353" spans="1:8">
      <c r="A353" s="520" t="s">
        <v>506</v>
      </c>
      <c r="B353" s="960" t="s">
        <v>507</v>
      </c>
      <c r="C353" s="520" t="s">
        <v>71</v>
      </c>
      <c r="D353" s="520">
        <v>1</v>
      </c>
      <c r="E353" s="532">
        <v>4321327</v>
      </c>
      <c r="F353" s="521">
        <f>E353</f>
        <v>4321327</v>
      </c>
      <c r="G353" s="962">
        <v>1</v>
      </c>
      <c r="H353" s="521">
        <f>F353</f>
        <v>4321327</v>
      </c>
    </row>
    <row r="354" spans="1:8">
      <c r="A354" s="82"/>
      <c r="B354" s="840" t="s">
        <v>508</v>
      </c>
      <c r="C354" s="533"/>
      <c r="D354" s="533"/>
      <c r="E354" s="533"/>
      <c r="F354" s="534">
        <f>F353</f>
        <v>4321327</v>
      </c>
      <c r="G354" s="963">
        <v>1</v>
      </c>
      <c r="H354" s="534">
        <f>F354</f>
        <v>4321327</v>
      </c>
    </row>
    <row r="355" spans="1:8">
      <c r="A355" s="82"/>
      <c r="B355" s="840" t="s">
        <v>509</v>
      </c>
      <c r="C355" s="533"/>
      <c r="D355" s="533"/>
      <c r="E355" s="533"/>
      <c r="F355" s="534">
        <f>F354</f>
        <v>4321327</v>
      </c>
      <c r="G355" s="940"/>
      <c r="H355" s="534">
        <f>H354</f>
        <v>4321327</v>
      </c>
    </row>
    <row r="356" spans="1:8">
      <c r="A356" s="83" t="s">
        <v>510</v>
      </c>
      <c r="B356" s="1528" t="s">
        <v>511</v>
      </c>
      <c r="C356" s="1528"/>
      <c r="D356" s="1528"/>
      <c r="E356" s="1528"/>
      <c r="F356" s="1528"/>
      <c r="G356" s="1528"/>
      <c r="H356" s="1528"/>
    </row>
    <row r="357" spans="1:8" ht="49.5">
      <c r="A357" s="908"/>
      <c r="B357" s="1126" t="s">
        <v>50</v>
      </c>
      <c r="C357" s="153" t="s">
        <v>210</v>
      </c>
      <c r="D357" s="477" t="s">
        <v>52</v>
      </c>
      <c r="E357" s="478" t="s">
        <v>211</v>
      </c>
      <c r="F357" s="479" t="s">
        <v>248</v>
      </c>
      <c r="G357" s="318" t="s">
        <v>186</v>
      </c>
      <c r="H357" s="344" t="s">
        <v>212</v>
      </c>
    </row>
    <row r="358" spans="1:8">
      <c r="A358" s="82" t="s">
        <v>512</v>
      </c>
      <c r="B358" s="1127" t="s">
        <v>304</v>
      </c>
      <c r="C358" s="1128"/>
      <c r="D358" s="1128"/>
      <c r="E358" s="1128"/>
      <c r="F358" s="1129"/>
      <c r="G358" s="939"/>
      <c r="H358" s="353">
        <f>+F358*G358</f>
        <v>0</v>
      </c>
    </row>
    <row r="359" spans="1:8">
      <c r="A359" s="82" t="s">
        <v>513</v>
      </c>
      <c r="B359" s="1130" t="s">
        <v>514</v>
      </c>
      <c r="C359" s="520" t="s">
        <v>515</v>
      </c>
      <c r="D359" s="520"/>
      <c r="E359" s="532">
        <v>1403333.3333000001</v>
      </c>
      <c r="F359" s="521">
        <f>E359</f>
        <v>1403333.3333000001</v>
      </c>
      <c r="G359" s="962">
        <v>3</v>
      </c>
      <c r="H359" s="521">
        <f>G359*E359</f>
        <v>4209999.9999000002</v>
      </c>
    </row>
    <row r="360" spans="1:8">
      <c r="A360" s="82"/>
      <c r="B360" s="840" t="s">
        <v>516</v>
      </c>
      <c r="C360" s="533"/>
      <c r="D360" s="533"/>
      <c r="E360" s="533"/>
      <c r="F360" s="534">
        <f>F359</f>
        <v>1403333.3333000001</v>
      </c>
      <c r="G360" s="940"/>
      <c r="H360" s="534">
        <f>+H359</f>
        <v>4209999.9999000002</v>
      </c>
    </row>
    <row r="361" spans="1:8">
      <c r="A361" s="520"/>
      <c r="B361" s="1131" t="s">
        <v>517</v>
      </c>
      <c r="C361" s="1132"/>
      <c r="D361" s="1132"/>
      <c r="E361" s="1132"/>
      <c r="F361" s="1133">
        <f>F360</f>
        <v>1403333.3333000001</v>
      </c>
      <c r="G361" s="1134"/>
      <c r="H361" s="1133">
        <f>H360</f>
        <v>4209999.9999000002</v>
      </c>
    </row>
    <row r="362" spans="1:8">
      <c r="A362" s="82"/>
      <c r="B362" s="468"/>
      <c r="C362" s="468"/>
      <c r="D362" s="468"/>
      <c r="E362" s="468"/>
      <c r="F362" s="468"/>
      <c r="G362" s="844"/>
      <c r="H362" s="844"/>
    </row>
    <row r="363" spans="1:8">
      <c r="A363" s="1393" t="s">
        <v>518</v>
      </c>
      <c r="B363" s="1394"/>
      <c r="C363" s="1394"/>
      <c r="D363" s="1394"/>
      <c r="E363" s="1394"/>
      <c r="F363" s="1394"/>
      <c r="G363" s="1395"/>
      <c r="H363" s="1135">
        <f>+H361+H355+H156+H210+H235+H258+H280+H300+H317+H334+H349+H181</f>
        <v>1809276670.9998999</v>
      </c>
    </row>
    <row r="364" spans="1:8">
      <c r="A364" s="909"/>
      <c r="C364" s="548"/>
      <c r="D364" s="548"/>
      <c r="E364" s="548"/>
      <c r="F364" s="548"/>
      <c r="G364" s="223"/>
      <c r="H364" s="223"/>
    </row>
    <row r="365" spans="1:8" ht="27">
      <c r="A365" s="1396" t="s">
        <v>987</v>
      </c>
      <c r="B365" s="1396"/>
      <c r="C365" s="1396"/>
      <c r="D365" s="1396"/>
      <c r="E365" s="1396"/>
      <c r="F365" s="1396"/>
      <c r="G365" s="1396"/>
      <c r="H365" s="1396"/>
    </row>
    <row r="366" spans="1:8" s="1136" customFormat="1" ht="20.25">
      <c r="A366" s="1529" t="s">
        <v>520</v>
      </c>
      <c r="B366" s="1529"/>
      <c r="C366" s="1529"/>
      <c r="D366" s="1529"/>
      <c r="E366" s="1529"/>
      <c r="F366" s="1529"/>
      <c r="G366" s="1529"/>
      <c r="H366" s="1529"/>
    </row>
    <row r="367" spans="1:8" ht="18">
      <c r="A367" s="1137" t="s">
        <v>521</v>
      </c>
      <c r="B367" s="1526" t="s">
        <v>522</v>
      </c>
      <c r="C367" s="1526"/>
      <c r="D367" s="1526"/>
      <c r="E367" s="1526"/>
      <c r="F367" s="1526"/>
      <c r="G367" s="1526"/>
      <c r="H367" s="1526"/>
    </row>
    <row r="368" spans="1:8" ht="49.5">
      <c r="A368" s="1138" t="s">
        <v>523</v>
      </c>
      <c r="B368" s="1139" t="s">
        <v>209</v>
      </c>
      <c r="C368" s="95" t="s">
        <v>51</v>
      </c>
      <c r="D368" s="96" t="s">
        <v>52</v>
      </c>
      <c r="E368" s="164" t="s">
        <v>53</v>
      </c>
      <c r="F368" s="164" t="s">
        <v>54</v>
      </c>
      <c r="G368" s="318" t="s">
        <v>186</v>
      </c>
      <c r="H368" s="165" t="s">
        <v>248</v>
      </c>
    </row>
    <row r="369" spans="1:8">
      <c r="A369" s="1140" t="s">
        <v>524</v>
      </c>
      <c r="B369" s="166" t="s">
        <v>525</v>
      </c>
      <c r="C369" s="166" t="s">
        <v>62</v>
      </c>
      <c r="D369" s="166">
        <v>2</v>
      </c>
      <c r="E369" s="1141">
        <v>51856</v>
      </c>
      <c r="F369" s="1142">
        <f>+D369*E369</f>
        <v>103712</v>
      </c>
      <c r="G369" s="1143">
        <v>25</v>
      </c>
      <c r="H369" s="1144">
        <f>+F369*G369</f>
        <v>2592800</v>
      </c>
    </row>
    <row r="370" spans="1:8">
      <c r="A370" s="1140" t="s">
        <v>526</v>
      </c>
      <c r="B370" s="959" t="s">
        <v>70</v>
      </c>
      <c r="C370" s="959" t="s">
        <v>58</v>
      </c>
      <c r="D370" s="959">
        <v>10</v>
      </c>
      <c r="E370" s="1141">
        <v>22927.5</v>
      </c>
      <c r="F370" s="1145">
        <f>+D370*E370</f>
        <v>229275</v>
      </c>
      <c r="G370" s="1146">
        <f>+G369</f>
        <v>25</v>
      </c>
      <c r="H370" s="1144">
        <f>+F370*G370</f>
        <v>5731875</v>
      </c>
    </row>
    <row r="371" spans="1:8">
      <c r="A371" s="1147"/>
      <c r="B371" s="1148" t="s">
        <v>527</v>
      </c>
      <c r="C371" s="1149"/>
      <c r="D371" s="1150" t="s">
        <v>241</v>
      </c>
      <c r="E371" s="1151">
        <f>+E369+E370</f>
        <v>74783.5</v>
      </c>
      <c r="F371" s="1142">
        <f>+F369+F370</f>
        <v>332987</v>
      </c>
      <c r="G371" s="1152" t="s">
        <v>241</v>
      </c>
      <c r="H371" s="1144">
        <f>+H369+H370</f>
        <v>8324675</v>
      </c>
    </row>
    <row r="372" spans="1:8" ht="49.5">
      <c r="A372" s="1138" t="s">
        <v>528</v>
      </c>
      <c r="B372" s="167" t="s">
        <v>529</v>
      </c>
      <c r="C372" s="95" t="s">
        <v>51</v>
      </c>
      <c r="D372" s="96" t="s">
        <v>52</v>
      </c>
      <c r="E372" s="164" t="s">
        <v>53</v>
      </c>
      <c r="F372" s="164" t="s">
        <v>54</v>
      </c>
      <c r="G372" s="318" t="s">
        <v>186</v>
      </c>
      <c r="H372" s="165" t="s">
        <v>248</v>
      </c>
    </row>
    <row r="373" spans="1:8">
      <c r="A373" s="168" t="s">
        <v>530</v>
      </c>
      <c r="B373" s="1573" t="s">
        <v>531</v>
      </c>
      <c r="C373" s="1573"/>
      <c r="D373" s="1573"/>
      <c r="E373" s="1573"/>
      <c r="F373" s="1153">
        <f>+F371*8%</f>
        <v>26638.959999999999</v>
      </c>
      <c r="G373" s="1143">
        <f>+G369</f>
        <v>25</v>
      </c>
      <c r="H373" s="1154">
        <f>+F373*G373</f>
        <v>665974</v>
      </c>
    </row>
    <row r="374" spans="1:8">
      <c r="A374" s="168" t="s">
        <v>241</v>
      </c>
      <c r="B374" s="169" t="s">
        <v>532</v>
      </c>
      <c r="C374" s="169" t="s">
        <v>243</v>
      </c>
      <c r="D374" s="94" t="s">
        <v>243</v>
      </c>
      <c r="E374" s="170" t="s">
        <v>243</v>
      </c>
      <c r="F374" s="171">
        <f>+F373</f>
        <v>26638.959999999999</v>
      </c>
      <c r="G374" s="1143">
        <f>+G369</f>
        <v>25</v>
      </c>
      <c r="H374" s="1155">
        <f>+H373</f>
        <v>665974</v>
      </c>
    </row>
    <row r="375" spans="1:8">
      <c r="A375" s="168"/>
      <c r="B375" s="169" t="s">
        <v>533</v>
      </c>
      <c r="C375" s="172"/>
      <c r="D375" s="94"/>
      <c r="E375" s="170"/>
      <c r="F375" s="173">
        <f>+F371</f>
        <v>332987</v>
      </c>
      <c r="G375" s="1156">
        <f>+G369</f>
        <v>25</v>
      </c>
      <c r="H375" s="1157">
        <f>+F375*G375</f>
        <v>8324675</v>
      </c>
    </row>
    <row r="376" spans="1:8">
      <c r="A376" s="168"/>
      <c r="B376" s="951" t="s">
        <v>534</v>
      </c>
      <c r="C376" s="957"/>
      <c r="D376" s="1158"/>
      <c r="E376" s="1159"/>
      <c r="F376" s="1160">
        <f>+F375+F374</f>
        <v>359625.96</v>
      </c>
      <c r="G376" s="1146">
        <f>+G370</f>
        <v>25</v>
      </c>
      <c r="H376" s="1161">
        <f>+F376*G376</f>
        <v>8990649</v>
      </c>
    </row>
    <row r="377" spans="1:8" ht="18">
      <c r="A377" s="1137" t="s">
        <v>535</v>
      </c>
      <c r="B377" s="1526" t="s">
        <v>536</v>
      </c>
      <c r="C377" s="1526"/>
      <c r="D377" s="1526"/>
      <c r="E377" s="1526"/>
      <c r="F377" s="1526"/>
      <c r="G377" s="1526"/>
      <c r="H377" s="1526"/>
    </row>
    <row r="378" spans="1:8" ht="49.5">
      <c r="A378" s="1138" t="s">
        <v>537</v>
      </c>
      <c r="B378" s="1139" t="s">
        <v>209</v>
      </c>
      <c r="C378" s="95" t="s">
        <v>51</v>
      </c>
      <c r="D378" s="96" t="s">
        <v>52</v>
      </c>
      <c r="E378" s="164" t="s">
        <v>53</v>
      </c>
      <c r="F378" s="164" t="s">
        <v>54</v>
      </c>
      <c r="G378" s="318" t="s">
        <v>186</v>
      </c>
      <c r="H378" s="165" t="s">
        <v>248</v>
      </c>
    </row>
    <row r="379" spans="1:8">
      <c r="A379" s="1140" t="s">
        <v>538</v>
      </c>
      <c r="B379" s="166" t="s">
        <v>525</v>
      </c>
      <c r="C379" s="166" t="s">
        <v>62</v>
      </c>
      <c r="D379" s="166">
        <v>2</v>
      </c>
      <c r="E379" s="1141">
        <v>51856</v>
      </c>
      <c r="F379" s="1142">
        <f>+D379*E379</f>
        <v>103712</v>
      </c>
      <c r="G379" s="1162">
        <f>+G375</f>
        <v>25</v>
      </c>
      <c r="H379" s="1144">
        <f>+F379*G379</f>
        <v>2592800</v>
      </c>
    </row>
    <row r="380" spans="1:8">
      <c r="A380" s="1140" t="s">
        <v>539</v>
      </c>
      <c r="B380" s="959" t="s">
        <v>70</v>
      </c>
      <c r="C380" s="959" t="s">
        <v>58</v>
      </c>
      <c r="D380" s="959">
        <v>10</v>
      </c>
      <c r="E380" s="1141">
        <v>22927.5</v>
      </c>
      <c r="F380" s="1145">
        <f>+D380*E380</f>
        <v>229275</v>
      </c>
      <c r="G380" s="1146">
        <f>+G379</f>
        <v>25</v>
      </c>
      <c r="H380" s="1144">
        <f>+F380*G380</f>
        <v>5731875</v>
      </c>
    </row>
    <row r="381" spans="1:8">
      <c r="A381" s="1147"/>
      <c r="B381" s="1148" t="s">
        <v>527</v>
      </c>
      <c r="C381" s="1149"/>
      <c r="D381" s="1150" t="s">
        <v>241</v>
      </c>
      <c r="E381" s="1151">
        <f>+E379+E380</f>
        <v>74783.5</v>
      </c>
      <c r="F381" s="1142">
        <f>+F379+F380</f>
        <v>332987</v>
      </c>
      <c r="G381" s="1152" t="s">
        <v>241</v>
      </c>
      <c r="H381" s="1144">
        <f>+H379+H380</f>
        <v>8324675</v>
      </c>
    </row>
    <row r="382" spans="1:8" ht="49.5">
      <c r="A382" s="1138" t="s">
        <v>540</v>
      </c>
      <c r="B382" s="167" t="s">
        <v>529</v>
      </c>
      <c r="C382" s="95" t="s">
        <v>51</v>
      </c>
      <c r="D382" s="96" t="s">
        <v>52</v>
      </c>
      <c r="E382" s="164" t="s">
        <v>53</v>
      </c>
      <c r="F382" s="164" t="s">
        <v>54</v>
      </c>
      <c r="G382" s="318" t="s">
        <v>186</v>
      </c>
      <c r="H382" s="165" t="s">
        <v>248</v>
      </c>
    </row>
    <row r="383" spans="1:8">
      <c r="A383" s="168" t="s">
        <v>541</v>
      </c>
      <c r="B383" s="1573" t="s">
        <v>531</v>
      </c>
      <c r="C383" s="1573"/>
      <c r="D383" s="1573"/>
      <c r="E383" s="1573"/>
      <c r="F383" s="1153">
        <f>+F381*8%</f>
        <v>26638.959999999999</v>
      </c>
      <c r="G383" s="1143">
        <f>+G379</f>
        <v>25</v>
      </c>
      <c r="H383" s="1154">
        <f>+F383*G383</f>
        <v>665974</v>
      </c>
    </row>
    <row r="384" spans="1:8">
      <c r="A384" s="168" t="s">
        <v>241</v>
      </c>
      <c r="B384" s="169" t="s">
        <v>532</v>
      </c>
      <c r="C384" s="169" t="s">
        <v>243</v>
      </c>
      <c r="D384" s="94" t="s">
        <v>243</v>
      </c>
      <c r="E384" s="170" t="s">
        <v>243</v>
      </c>
      <c r="F384" s="171">
        <f>+F383</f>
        <v>26638.959999999999</v>
      </c>
      <c r="G384" s="1143">
        <f>+G379</f>
        <v>25</v>
      </c>
      <c r="H384" s="1163">
        <f>+H383</f>
        <v>665974</v>
      </c>
    </row>
    <row r="385" spans="1:8">
      <c r="A385" s="168"/>
      <c r="B385" s="169" t="s">
        <v>533</v>
      </c>
      <c r="C385" s="172"/>
      <c r="D385" s="94"/>
      <c r="E385" s="170"/>
      <c r="F385" s="173">
        <f>+F381</f>
        <v>332987</v>
      </c>
      <c r="G385" s="1143">
        <f>+G379</f>
        <v>25</v>
      </c>
      <c r="H385" s="1164">
        <f>+F385*G385</f>
        <v>8324675</v>
      </c>
    </row>
    <row r="386" spans="1:8">
      <c r="A386" s="168"/>
      <c r="B386" s="951" t="s">
        <v>534</v>
      </c>
      <c r="C386" s="957"/>
      <c r="D386" s="1158"/>
      <c r="E386" s="1159"/>
      <c r="F386" s="1160">
        <f>+F385+F384</f>
        <v>359625.96</v>
      </c>
      <c r="G386" s="1165">
        <f>+G379</f>
        <v>25</v>
      </c>
      <c r="H386" s="1161">
        <f>+F386*G386</f>
        <v>8990649</v>
      </c>
    </row>
    <row r="387" spans="1:8" ht="18">
      <c r="A387" s="1137" t="s">
        <v>542</v>
      </c>
      <c r="B387" s="1527" t="s">
        <v>543</v>
      </c>
      <c r="C387" s="1527"/>
      <c r="D387" s="1527"/>
      <c r="E387" s="1527"/>
      <c r="F387" s="1527"/>
      <c r="G387" s="1527"/>
      <c r="H387" s="1527"/>
    </row>
    <row r="388" spans="1:8" ht="49.5">
      <c r="A388" s="1138" t="s">
        <v>544</v>
      </c>
      <c r="B388" s="1139" t="s">
        <v>189</v>
      </c>
      <c r="C388" s="95" t="s">
        <v>51</v>
      </c>
      <c r="D388" s="96" t="s">
        <v>52</v>
      </c>
      <c r="E388" s="164" t="s">
        <v>53</v>
      </c>
      <c r="F388" s="164" t="s">
        <v>54</v>
      </c>
      <c r="G388" s="318" t="s">
        <v>186</v>
      </c>
      <c r="H388" s="165" t="s">
        <v>248</v>
      </c>
    </row>
    <row r="389" spans="1:8">
      <c r="A389" s="1140" t="s">
        <v>545</v>
      </c>
      <c r="B389" s="1166" t="s">
        <v>546</v>
      </c>
      <c r="C389" s="1167" t="s">
        <v>290</v>
      </c>
      <c r="D389" s="1168">
        <v>0.5</v>
      </c>
      <c r="E389" s="1169">
        <v>73233</v>
      </c>
      <c r="F389" s="1170">
        <f>ROUND((D389*E389),0)</f>
        <v>36617</v>
      </c>
      <c r="G389" s="1171">
        <f>+G369</f>
        <v>25</v>
      </c>
      <c r="H389" s="174">
        <f>+F389*G389</f>
        <v>915425</v>
      </c>
    </row>
    <row r="390" spans="1:8">
      <c r="A390" s="1140" t="s">
        <v>241</v>
      </c>
      <c r="B390" s="1148" t="s">
        <v>547</v>
      </c>
      <c r="C390" s="959" t="s">
        <v>241</v>
      </c>
      <c r="D390" s="1168" t="s">
        <v>241</v>
      </c>
      <c r="E390" s="1169">
        <v>73233</v>
      </c>
      <c r="F390" s="1170">
        <f>+F389</f>
        <v>36617</v>
      </c>
      <c r="G390" s="1171" t="s">
        <v>241</v>
      </c>
      <c r="H390" s="174">
        <f>+H389</f>
        <v>915425</v>
      </c>
    </row>
    <row r="391" spans="1:8" ht="49.5">
      <c r="A391" s="1138" t="s">
        <v>548</v>
      </c>
      <c r="B391" s="1172" t="s">
        <v>209</v>
      </c>
      <c r="C391" s="95" t="s">
        <v>51</v>
      </c>
      <c r="D391" s="96" t="s">
        <v>52</v>
      </c>
      <c r="E391" s="164" t="s">
        <v>53</v>
      </c>
      <c r="F391" s="164" t="s">
        <v>54</v>
      </c>
      <c r="G391" s="318" t="s">
        <v>186</v>
      </c>
      <c r="H391" s="165" t="s">
        <v>248</v>
      </c>
    </row>
    <row r="392" spans="1:8">
      <c r="A392" s="1140" t="s">
        <v>549</v>
      </c>
      <c r="B392" s="1084" t="s">
        <v>550</v>
      </c>
      <c r="C392" s="1084" t="s">
        <v>551</v>
      </c>
      <c r="D392" s="1173">
        <v>1</v>
      </c>
      <c r="E392" s="1174">
        <v>447734</v>
      </c>
      <c r="F392" s="1170">
        <f>ROUND((D392*E392),0)</f>
        <v>447734</v>
      </c>
      <c r="G392" s="1171">
        <f>+G389</f>
        <v>25</v>
      </c>
      <c r="H392" s="1175">
        <f>+F392*G392</f>
        <v>11193350</v>
      </c>
    </row>
    <row r="393" spans="1:8">
      <c r="A393" s="1140" t="s">
        <v>552</v>
      </c>
      <c r="B393" s="1084" t="s">
        <v>553</v>
      </c>
      <c r="C393" s="1084" t="s">
        <v>554</v>
      </c>
      <c r="D393" s="1176">
        <v>1</v>
      </c>
      <c r="E393" s="1174">
        <v>41630</v>
      </c>
      <c r="F393" s="1170">
        <f>ROUND((D393*E393),0)</f>
        <v>41630</v>
      </c>
      <c r="G393" s="1177">
        <f>+G392</f>
        <v>25</v>
      </c>
      <c r="H393" s="1175">
        <f>+F393*G393</f>
        <v>1040750</v>
      </c>
    </row>
    <row r="394" spans="1:8">
      <c r="A394" s="1147"/>
      <c r="B394" s="1148" t="s">
        <v>555</v>
      </c>
      <c r="C394" s="1149"/>
      <c r="D394" s="1150"/>
      <c r="E394" s="1178">
        <f>SUM(E392:E393)</f>
        <v>489364</v>
      </c>
      <c r="F394" s="1179">
        <f>SUM(F392:F393)</f>
        <v>489364</v>
      </c>
      <c r="G394" s="1180">
        <f>+G392</f>
        <v>25</v>
      </c>
      <c r="H394" s="1181">
        <f>SUM(H392:H393)</f>
        <v>12234100</v>
      </c>
    </row>
    <row r="395" spans="1:8" ht="49.5">
      <c r="A395" s="175" t="s">
        <v>168</v>
      </c>
      <c r="B395" s="167" t="s">
        <v>556</v>
      </c>
      <c r="C395" s="95" t="s">
        <v>51</v>
      </c>
      <c r="D395" s="96" t="s">
        <v>52</v>
      </c>
      <c r="E395" s="164" t="s">
        <v>53</v>
      </c>
      <c r="F395" s="164" t="s">
        <v>54</v>
      </c>
      <c r="G395" s="318" t="s">
        <v>186</v>
      </c>
      <c r="H395" s="165" t="s">
        <v>248</v>
      </c>
    </row>
    <row r="396" spans="1:8">
      <c r="A396" s="1182" t="s">
        <v>170</v>
      </c>
      <c r="B396" s="1573" t="s">
        <v>557</v>
      </c>
      <c r="C396" s="1573"/>
      <c r="D396" s="1573"/>
      <c r="E396" s="1573"/>
      <c r="F396" s="1183">
        <f>ROUND((5%*(F390)),0)</f>
        <v>1831</v>
      </c>
      <c r="G396" s="1184">
        <f>+G392</f>
        <v>25</v>
      </c>
      <c r="H396" s="1185">
        <f>+F396*G396</f>
        <v>45775</v>
      </c>
    </row>
    <row r="397" spans="1:8">
      <c r="A397" s="1182" t="s">
        <v>171</v>
      </c>
      <c r="B397" s="1573" t="s">
        <v>558</v>
      </c>
      <c r="C397" s="1573"/>
      <c r="D397" s="1573"/>
      <c r="E397" s="1573"/>
      <c r="F397" s="1183">
        <f>ROUND((8%*(F394)),0)</f>
        <v>39149</v>
      </c>
      <c r="G397" s="1184">
        <f>+G396</f>
        <v>25</v>
      </c>
      <c r="H397" s="1185">
        <f>+F397*G397</f>
        <v>978725</v>
      </c>
    </row>
    <row r="398" spans="1:8">
      <c r="A398" s="1182"/>
      <c r="B398" s="169" t="s">
        <v>559</v>
      </c>
      <c r="C398" s="169" t="s">
        <v>243</v>
      </c>
      <c r="D398" s="94" t="s">
        <v>243</v>
      </c>
      <c r="E398" s="170" t="s">
        <v>243</v>
      </c>
      <c r="F398" s="1183">
        <f>SUM(F396:F397)</f>
        <v>40980</v>
      </c>
      <c r="G398" s="1184">
        <f>+G396</f>
        <v>25</v>
      </c>
      <c r="H398" s="1185">
        <f>+F398*G398</f>
        <v>1024500</v>
      </c>
    </row>
    <row r="399" spans="1:8">
      <c r="A399" s="1186"/>
      <c r="B399" s="1515" t="s">
        <v>560</v>
      </c>
      <c r="C399" s="1515"/>
      <c r="D399" s="1515"/>
      <c r="E399" s="1188">
        <f>E380+E394</f>
        <v>512291.5</v>
      </c>
      <c r="F399" s="1189">
        <f>+F390+F394</f>
        <v>525981</v>
      </c>
      <c r="G399" s="1190">
        <f>+G392</f>
        <v>25</v>
      </c>
      <c r="H399" s="1185">
        <f>+F399*G399</f>
        <v>13149525</v>
      </c>
    </row>
    <row r="400" spans="1:8">
      <c r="A400" s="168"/>
      <c r="B400" s="1515" t="s">
        <v>561</v>
      </c>
      <c r="C400" s="1515"/>
      <c r="D400" s="1515"/>
      <c r="E400" s="1191"/>
      <c r="F400" s="1192">
        <f>+F398+F399</f>
        <v>566961</v>
      </c>
      <c r="G400" s="1193">
        <f>+G396</f>
        <v>25</v>
      </c>
      <c r="H400" s="1185">
        <f>+F400*G400</f>
        <v>14174025</v>
      </c>
    </row>
    <row r="401" spans="1:8" ht="18">
      <c r="A401" s="1140" t="s">
        <v>562</v>
      </c>
      <c r="B401" s="1522" t="s">
        <v>563</v>
      </c>
      <c r="C401" s="1522"/>
      <c r="D401" s="1522"/>
      <c r="E401" s="1522"/>
      <c r="F401" s="1522"/>
      <c r="G401" s="1522"/>
      <c r="H401" s="1522"/>
    </row>
    <row r="402" spans="1:8" ht="49.5">
      <c r="A402" s="1138" t="s">
        <v>564</v>
      </c>
      <c r="B402" s="1139" t="s">
        <v>189</v>
      </c>
      <c r="C402" s="95" t="s">
        <v>51</v>
      </c>
      <c r="D402" s="96" t="s">
        <v>52</v>
      </c>
      <c r="E402" s="164" t="s">
        <v>53</v>
      </c>
      <c r="F402" s="164" t="s">
        <v>54</v>
      </c>
      <c r="G402" s="318" t="s">
        <v>186</v>
      </c>
      <c r="H402" s="165" t="s">
        <v>248</v>
      </c>
    </row>
    <row r="403" spans="1:8">
      <c r="A403" s="177" t="s">
        <v>565</v>
      </c>
      <c r="B403" s="1166" t="s">
        <v>566</v>
      </c>
      <c r="C403" s="959" t="s">
        <v>290</v>
      </c>
      <c r="D403" s="1168">
        <v>1.2</v>
      </c>
      <c r="E403" s="1169">
        <v>73233</v>
      </c>
      <c r="F403" s="1170">
        <f t="shared" ref="F403:F409" si="46">E403*D403</f>
        <v>87879.599999999991</v>
      </c>
      <c r="G403" s="1194">
        <f>+G396</f>
        <v>25</v>
      </c>
      <c r="H403" s="174">
        <f t="shared" ref="H403:H409" si="47">+F403*G403</f>
        <v>2196990</v>
      </c>
    </row>
    <row r="404" spans="1:8">
      <c r="A404" s="177" t="s">
        <v>567</v>
      </c>
      <c r="B404" s="1195" t="s">
        <v>568</v>
      </c>
      <c r="C404" s="959" t="s">
        <v>290</v>
      </c>
      <c r="D404" s="1168">
        <v>2.2999999999999998</v>
      </c>
      <c r="E404" s="1169">
        <v>73233</v>
      </c>
      <c r="F404" s="1170">
        <f t="shared" si="46"/>
        <v>168435.9</v>
      </c>
      <c r="G404" s="1171">
        <f t="shared" ref="G404:G409" si="48">+G403</f>
        <v>25</v>
      </c>
      <c r="H404" s="174">
        <f t="shared" si="47"/>
        <v>4210897.5</v>
      </c>
    </row>
    <row r="405" spans="1:8">
      <c r="A405" s="177" t="s">
        <v>569</v>
      </c>
      <c r="B405" s="1195" t="s">
        <v>570</v>
      </c>
      <c r="C405" s="959" t="s">
        <v>290</v>
      </c>
      <c r="D405" s="1168">
        <v>2.2999999999999998</v>
      </c>
      <c r="E405" s="1169">
        <v>73233</v>
      </c>
      <c r="F405" s="1170">
        <f t="shared" si="46"/>
        <v>168435.9</v>
      </c>
      <c r="G405" s="1171">
        <f t="shared" si="48"/>
        <v>25</v>
      </c>
      <c r="H405" s="174">
        <f t="shared" si="47"/>
        <v>4210897.5</v>
      </c>
    </row>
    <row r="406" spans="1:8">
      <c r="A406" s="177" t="s">
        <v>571</v>
      </c>
      <c r="B406" s="1195" t="s">
        <v>572</v>
      </c>
      <c r="C406" s="959" t="s">
        <v>290</v>
      </c>
      <c r="D406" s="1196">
        <v>4.9000000000000004</v>
      </c>
      <c r="E406" s="1169">
        <v>73233</v>
      </c>
      <c r="F406" s="1170">
        <f t="shared" si="46"/>
        <v>358841.7</v>
      </c>
      <c r="G406" s="1171">
        <f t="shared" si="48"/>
        <v>25</v>
      </c>
      <c r="H406" s="174">
        <f t="shared" si="47"/>
        <v>8971042.5</v>
      </c>
    </row>
    <row r="407" spans="1:8">
      <c r="A407" s="177" t="s">
        <v>573</v>
      </c>
      <c r="B407" s="1051" t="s">
        <v>574</v>
      </c>
      <c r="C407" s="959" t="s">
        <v>290</v>
      </c>
      <c r="D407" s="1168">
        <v>2</v>
      </c>
      <c r="E407" s="1169">
        <v>73233</v>
      </c>
      <c r="F407" s="1170">
        <f t="shared" si="46"/>
        <v>146466</v>
      </c>
      <c r="G407" s="1143">
        <f t="shared" si="48"/>
        <v>25</v>
      </c>
      <c r="H407" s="174">
        <f t="shared" si="47"/>
        <v>3661650</v>
      </c>
    </row>
    <row r="408" spans="1:8">
      <c r="A408" s="177" t="s">
        <v>575</v>
      </c>
      <c r="B408" s="1197" t="s">
        <v>576</v>
      </c>
      <c r="C408" s="959" t="s">
        <v>290</v>
      </c>
      <c r="D408" s="1198">
        <v>3.6</v>
      </c>
      <c r="E408" s="1169">
        <v>73233</v>
      </c>
      <c r="F408" s="1170">
        <f t="shared" si="46"/>
        <v>263638.8</v>
      </c>
      <c r="G408" s="1171">
        <f t="shared" si="48"/>
        <v>25</v>
      </c>
      <c r="H408" s="174">
        <f t="shared" si="47"/>
        <v>6590970</v>
      </c>
    </row>
    <row r="409" spans="1:8">
      <c r="A409" s="177" t="s">
        <v>577</v>
      </c>
      <c r="B409" s="1199" t="s">
        <v>578</v>
      </c>
      <c r="C409" s="959" t="s">
        <v>290</v>
      </c>
      <c r="D409" s="1198">
        <v>0.9</v>
      </c>
      <c r="E409" s="1169">
        <v>73233</v>
      </c>
      <c r="F409" s="1170">
        <f t="shared" si="46"/>
        <v>65909.7</v>
      </c>
      <c r="G409" s="1171">
        <f t="shared" si="48"/>
        <v>25</v>
      </c>
      <c r="H409" s="174">
        <f t="shared" si="47"/>
        <v>1647742.5</v>
      </c>
    </row>
    <row r="410" spans="1:8">
      <c r="A410" s="177"/>
      <c r="B410" s="1148" t="s">
        <v>579</v>
      </c>
      <c r="C410" s="1149"/>
      <c r="D410" s="1150" t="s">
        <v>241</v>
      </c>
      <c r="E410" s="1178">
        <f>SUM(E403:E409)</f>
        <v>512631</v>
      </c>
      <c r="F410" s="1179">
        <f>SUM(F403:F409)</f>
        <v>1259607.6000000001</v>
      </c>
      <c r="G410" s="1200"/>
      <c r="H410" s="1181">
        <f>SUM(H403:H409)</f>
        <v>31490190</v>
      </c>
    </row>
    <row r="411" spans="1:8" ht="49.5">
      <c r="A411" s="175" t="s">
        <v>580</v>
      </c>
      <c r="B411" s="167" t="s">
        <v>304</v>
      </c>
      <c r="C411" s="95" t="s">
        <v>51</v>
      </c>
      <c r="D411" s="96" t="s">
        <v>52</v>
      </c>
      <c r="E411" s="164" t="s">
        <v>53</v>
      </c>
      <c r="F411" s="164" t="s">
        <v>54</v>
      </c>
      <c r="G411" s="318" t="s">
        <v>186</v>
      </c>
      <c r="H411" s="165" t="s">
        <v>248</v>
      </c>
    </row>
    <row r="412" spans="1:8">
      <c r="A412" s="1201" t="s">
        <v>581</v>
      </c>
      <c r="B412" s="959" t="s">
        <v>582</v>
      </c>
      <c r="C412" s="178" t="s">
        <v>583</v>
      </c>
      <c r="D412" s="1202">
        <v>400</v>
      </c>
      <c r="E412" s="1203">
        <v>5396</v>
      </c>
      <c r="F412" s="1204">
        <f t="shared" ref="F412:F419" si="49">E412*D412</f>
        <v>2158400</v>
      </c>
      <c r="G412" s="1205">
        <f>+G403</f>
        <v>25</v>
      </c>
      <c r="H412" s="174">
        <f t="shared" ref="H412:H419" si="50">+F412*G412</f>
        <v>53960000</v>
      </c>
    </row>
    <row r="413" spans="1:8">
      <c r="A413" s="1201" t="s">
        <v>584</v>
      </c>
      <c r="B413" s="1206" t="s">
        <v>585</v>
      </c>
      <c r="C413" s="1207" t="s">
        <v>583</v>
      </c>
      <c r="D413" s="1208">
        <v>50</v>
      </c>
      <c r="E413" s="1209">
        <v>7672</v>
      </c>
      <c r="F413" s="1204">
        <f t="shared" si="49"/>
        <v>383600</v>
      </c>
      <c r="G413" s="1171">
        <f>+G412</f>
        <v>25</v>
      </c>
      <c r="H413" s="174">
        <f t="shared" si="50"/>
        <v>9590000</v>
      </c>
    </row>
    <row r="414" spans="1:8">
      <c r="A414" s="1186" t="s">
        <v>586</v>
      </c>
      <c r="B414" s="1206" t="s">
        <v>587</v>
      </c>
      <c r="C414" s="1207" t="s">
        <v>583</v>
      </c>
      <c r="D414" s="1208">
        <v>17</v>
      </c>
      <c r="E414" s="1209">
        <v>22000</v>
      </c>
      <c r="F414" s="1204">
        <f t="shared" si="49"/>
        <v>374000</v>
      </c>
      <c r="G414" s="1171">
        <f>+G413</f>
        <v>25</v>
      </c>
      <c r="H414" s="174">
        <f t="shared" si="50"/>
        <v>9350000</v>
      </c>
    </row>
    <row r="415" spans="1:8">
      <c r="A415" s="1210" t="s">
        <v>588</v>
      </c>
      <c r="B415" s="959" t="s">
        <v>589</v>
      </c>
      <c r="C415" s="82" t="s">
        <v>224</v>
      </c>
      <c r="D415" s="1211">
        <v>14.01</v>
      </c>
      <c r="E415" s="1209">
        <v>44550</v>
      </c>
      <c r="F415" s="1204">
        <f t="shared" si="49"/>
        <v>624145.5</v>
      </c>
      <c r="G415" s="1171">
        <f>+G413</f>
        <v>25</v>
      </c>
      <c r="H415" s="174">
        <f t="shared" si="50"/>
        <v>15603637.5</v>
      </c>
    </row>
    <row r="416" spans="1:8">
      <c r="A416" s="1201" t="s">
        <v>590</v>
      </c>
      <c r="B416" s="1212" t="s">
        <v>591</v>
      </c>
      <c r="C416" s="82" t="s">
        <v>224</v>
      </c>
      <c r="D416" s="1213">
        <v>0.93400000000000005</v>
      </c>
      <c r="E416" s="1209">
        <v>63500</v>
      </c>
      <c r="F416" s="1204">
        <f t="shared" si="49"/>
        <v>59309</v>
      </c>
      <c r="G416" s="1171">
        <f>+G415</f>
        <v>25</v>
      </c>
      <c r="H416" s="174">
        <f t="shared" si="50"/>
        <v>1482725</v>
      </c>
    </row>
    <row r="417" spans="1:8">
      <c r="A417" s="1201" t="s">
        <v>592</v>
      </c>
      <c r="B417" s="959" t="s">
        <v>593</v>
      </c>
      <c r="C417" s="82" t="s">
        <v>224</v>
      </c>
      <c r="D417" s="1213">
        <v>0.93400000000000005</v>
      </c>
      <c r="E417" s="1214">
        <v>28967</v>
      </c>
      <c r="F417" s="1204">
        <f t="shared" si="49"/>
        <v>27055.178</v>
      </c>
      <c r="G417" s="1171">
        <f>+G416</f>
        <v>25</v>
      </c>
      <c r="H417" s="174">
        <f t="shared" si="50"/>
        <v>676379.45</v>
      </c>
    </row>
    <row r="418" spans="1:8">
      <c r="A418" s="1201" t="s">
        <v>594</v>
      </c>
      <c r="B418" s="1215" t="s">
        <v>595</v>
      </c>
      <c r="C418" s="82" t="s">
        <v>227</v>
      </c>
      <c r="D418" s="1211">
        <v>4.67</v>
      </c>
      <c r="E418" s="1214">
        <v>60316.200000000004</v>
      </c>
      <c r="F418" s="1204">
        <f t="shared" si="49"/>
        <v>281676.65400000004</v>
      </c>
      <c r="G418" s="1171">
        <f>+G417</f>
        <v>25</v>
      </c>
      <c r="H418" s="174">
        <f t="shared" si="50"/>
        <v>7041916.3500000006</v>
      </c>
    </row>
    <row r="419" spans="1:8">
      <c r="A419" s="1201" t="s">
        <v>596</v>
      </c>
      <c r="B419" s="1215" t="s">
        <v>597</v>
      </c>
      <c r="C419" s="82" t="s">
        <v>324</v>
      </c>
      <c r="D419" s="1211">
        <v>0.01</v>
      </c>
      <c r="E419" s="1214">
        <v>42866.666666666664</v>
      </c>
      <c r="F419" s="1204">
        <f t="shared" si="49"/>
        <v>428.66666666666663</v>
      </c>
      <c r="G419" s="1171">
        <f>+G418</f>
        <v>25</v>
      </c>
      <c r="H419" s="174">
        <f t="shared" si="50"/>
        <v>10716.666666666666</v>
      </c>
    </row>
    <row r="420" spans="1:8">
      <c r="A420" s="168"/>
      <c r="B420" s="1216" t="s">
        <v>598</v>
      </c>
      <c r="C420" s="1217"/>
      <c r="D420" s="1218"/>
      <c r="E420" s="1219">
        <f>SUM(E412:E419)</f>
        <v>275267.8666666667</v>
      </c>
      <c r="F420" s="1220">
        <f>SUM(F412:F419)</f>
        <v>3908614.9986666664</v>
      </c>
      <c r="G420" s="1180"/>
      <c r="H420" s="179">
        <f>SUM(H412:H419)</f>
        <v>97715374.966666669</v>
      </c>
    </row>
    <row r="421" spans="1:8" ht="49.5">
      <c r="A421" s="175" t="s">
        <v>599</v>
      </c>
      <c r="B421" s="167" t="s">
        <v>600</v>
      </c>
      <c r="C421" s="95" t="s">
        <v>51</v>
      </c>
      <c r="D421" s="96" t="s">
        <v>52</v>
      </c>
      <c r="E421" s="164" t="s">
        <v>53</v>
      </c>
      <c r="F421" s="164" t="s">
        <v>54</v>
      </c>
      <c r="G421" s="318" t="s">
        <v>186</v>
      </c>
      <c r="H421" s="165" t="s">
        <v>248</v>
      </c>
    </row>
    <row r="422" spans="1:8">
      <c r="A422" s="168" t="s">
        <v>601</v>
      </c>
      <c r="B422" s="1573" t="s">
        <v>602</v>
      </c>
      <c r="C422" s="1573"/>
      <c r="D422" s="1573"/>
      <c r="E422" s="1573"/>
      <c r="F422" s="1221">
        <f>ROUND((5%*(F410)),4)</f>
        <v>62980.38</v>
      </c>
      <c r="G422" s="1222">
        <f>+G419</f>
        <v>25</v>
      </c>
      <c r="H422" s="1154">
        <f>+F422*G422</f>
        <v>1574509.5</v>
      </c>
    </row>
    <row r="423" spans="1:8">
      <c r="A423" s="168" t="s">
        <v>603</v>
      </c>
      <c r="B423" s="1573" t="s">
        <v>604</v>
      </c>
      <c r="C423" s="1573"/>
      <c r="D423" s="1573"/>
      <c r="E423" s="1573"/>
      <c r="F423" s="1153">
        <f>ROUND((8%*((F420-F412-F413-F414))),2)</f>
        <v>79409.2</v>
      </c>
      <c r="G423" s="1222">
        <f>+G422</f>
        <v>25</v>
      </c>
      <c r="H423" s="1154">
        <f>+F423*G423</f>
        <v>1985230</v>
      </c>
    </row>
    <row r="424" spans="1:8">
      <c r="A424" s="168" t="s">
        <v>605</v>
      </c>
      <c r="B424" s="169" t="s">
        <v>606</v>
      </c>
      <c r="C424" s="169" t="s">
        <v>243</v>
      </c>
      <c r="D424" s="94" t="s">
        <v>243</v>
      </c>
      <c r="E424" s="170" t="s">
        <v>243</v>
      </c>
      <c r="F424" s="171">
        <f>SUM(F422:F423)</f>
        <v>142389.57999999999</v>
      </c>
      <c r="G424" s="1223"/>
      <c r="H424" s="1155">
        <f>+H422+H423</f>
        <v>3559739.5</v>
      </c>
    </row>
    <row r="425" spans="1:8">
      <c r="A425" s="168"/>
      <c r="B425" s="169" t="s">
        <v>607</v>
      </c>
      <c r="C425" s="172"/>
      <c r="D425" s="94"/>
      <c r="E425" s="170"/>
      <c r="F425" s="173">
        <f>+F410+F420</f>
        <v>5168222.5986666661</v>
      </c>
      <c r="G425" s="1224">
        <v>25</v>
      </c>
      <c r="H425" s="1157">
        <f>+F425*G425</f>
        <v>129205564.96666665</v>
      </c>
    </row>
    <row r="426" spans="1:8">
      <c r="A426" s="168"/>
      <c r="B426" s="951" t="s">
        <v>608</v>
      </c>
      <c r="C426" s="957"/>
      <c r="D426" s="1158"/>
      <c r="E426" s="1159">
        <f>E410+E420</f>
        <v>787898.8666666667</v>
      </c>
      <c r="F426" s="1160">
        <f>+F425+F424</f>
        <v>5310612.1786666662</v>
      </c>
      <c r="G426" s="1165">
        <f>+G419</f>
        <v>25</v>
      </c>
      <c r="H426" s="1161">
        <f>+F426*G426</f>
        <v>132765304.46666665</v>
      </c>
    </row>
    <row r="427" spans="1:8" ht="18">
      <c r="A427" s="168" t="s">
        <v>609</v>
      </c>
      <c r="B427" s="1523" t="s">
        <v>610</v>
      </c>
      <c r="C427" s="1523"/>
      <c r="D427" s="1523"/>
      <c r="E427" s="1523"/>
      <c r="F427" s="1523"/>
      <c r="G427" s="1523"/>
      <c r="H427" s="1524"/>
    </row>
    <row r="428" spans="1:8" ht="49.5">
      <c r="A428" s="80" t="s">
        <v>611</v>
      </c>
      <c r="B428" s="81" t="s">
        <v>50</v>
      </c>
      <c r="C428" s="95" t="s">
        <v>51</v>
      </c>
      <c r="D428" s="96" t="s">
        <v>52</v>
      </c>
      <c r="E428" s="164" t="s">
        <v>53</v>
      </c>
      <c r="F428" s="164" t="s">
        <v>54</v>
      </c>
      <c r="G428" s="318" t="s">
        <v>186</v>
      </c>
      <c r="H428" s="165" t="s">
        <v>248</v>
      </c>
    </row>
    <row r="429" spans="1:8">
      <c r="A429" s="168" t="s">
        <v>612</v>
      </c>
      <c r="B429" s="1525" t="s">
        <v>189</v>
      </c>
      <c r="C429" s="1525"/>
      <c r="D429" s="1525"/>
      <c r="E429" s="1525"/>
      <c r="F429" s="1525"/>
      <c r="G429" s="1225"/>
      <c r="H429" s="1226" t="s">
        <v>241</v>
      </c>
    </row>
    <row r="430" spans="1:8">
      <c r="A430" s="168" t="s">
        <v>613</v>
      </c>
      <c r="B430" s="1199" t="s">
        <v>614</v>
      </c>
      <c r="C430" s="82" t="s">
        <v>341</v>
      </c>
      <c r="D430" s="1227">
        <v>1</v>
      </c>
      <c r="E430" s="181">
        <v>73233</v>
      </c>
      <c r="F430" s="182">
        <f>E430*D430</f>
        <v>73233</v>
      </c>
      <c r="G430" s="1225">
        <f>+G403</f>
        <v>25</v>
      </c>
      <c r="H430" s="1226">
        <f>+F430*G430</f>
        <v>1830825</v>
      </c>
    </row>
    <row r="431" spans="1:8">
      <c r="A431" s="168" t="s">
        <v>615</v>
      </c>
      <c r="B431" s="1037" t="s">
        <v>616</v>
      </c>
      <c r="C431" s="82" t="s">
        <v>341</v>
      </c>
      <c r="D431" s="1227">
        <v>1</v>
      </c>
      <c r="E431" s="181">
        <v>73233</v>
      </c>
      <c r="F431" s="182">
        <f>E431*D431</f>
        <v>73233</v>
      </c>
      <c r="G431" s="1225">
        <f>+G430</f>
        <v>25</v>
      </c>
      <c r="H431" s="1226">
        <f>+F431*G431</f>
        <v>1830825</v>
      </c>
    </row>
    <row r="432" spans="1:8">
      <c r="A432" s="168" t="s">
        <v>617</v>
      </c>
      <c r="B432" s="1037" t="s">
        <v>618</v>
      </c>
      <c r="C432" s="82" t="s">
        <v>341</v>
      </c>
      <c r="D432" s="1227">
        <v>0.36</v>
      </c>
      <c r="E432" s="181">
        <v>73233</v>
      </c>
      <c r="F432" s="182">
        <f>E432*D432</f>
        <v>26363.879999999997</v>
      </c>
      <c r="G432" s="1225">
        <f>+G431</f>
        <v>25</v>
      </c>
      <c r="H432" s="1226">
        <f>+F432*G432</f>
        <v>659096.99999999988</v>
      </c>
    </row>
    <row r="433" spans="1:8">
      <c r="A433" s="168" t="s">
        <v>619</v>
      </c>
      <c r="B433" s="1051" t="s">
        <v>620</v>
      </c>
      <c r="C433" s="82" t="s">
        <v>341</v>
      </c>
      <c r="D433" s="1227">
        <v>0.9</v>
      </c>
      <c r="E433" s="181">
        <v>73233</v>
      </c>
      <c r="F433" s="182">
        <f>E433*D433</f>
        <v>65909.7</v>
      </c>
      <c r="G433" s="1225">
        <f>+G432</f>
        <v>25</v>
      </c>
      <c r="H433" s="1226">
        <f>+F433*G433</f>
        <v>1647742.5</v>
      </c>
    </row>
    <row r="434" spans="1:8">
      <c r="A434" s="168" t="s">
        <v>621</v>
      </c>
      <c r="B434" s="1051" t="s">
        <v>352</v>
      </c>
      <c r="C434" s="82" t="s">
        <v>341</v>
      </c>
      <c r="D434" s="1227">
        <v>0.7</v>
      </c>
      <c r="E434" s="181">
        <v>73233</v>
      </c>
      <c r="F434" s="182">
        <f>E434*D434</f>
        <v>51263.1</v>
      </c>
      <c r="G434" s="1225">
        <f>+G433</f>
        <v>25</v>
      </c>
      <c r="H434" s="1226">
        <f>+F434*G434</f>
        <v>1281577.5</v>
      </c>
    </row>
    <row r="435" spans="1:8">
      <c r="A435" s="168" t="s">
        <v>241</v>
      </c>
      <c r="B435" s="1187" t="s">
        <v>622</v>
      </c>
      <c r="C435" s="83"/>
      <c r="D435" s="1228">
        <f>SUM(D430:D434)</f>
        <v>3.96</v>
      </c>
      <c r="E435" s="1229">
        <f>SUM(E430:E434)</f>
        <v>366165</v>
      </c>
      <c r="F435" s="183">
        <f>SUM(F430:F434)</f>
        <v>290002.68</v>
      </c>
      <c r="G435" s="1230"/>
      <c r="H435" s="1231">
        <f>SUM(H430:H434)</f>
        <v>7250067</v>
      </c>
    </row>
    <row r="436" spans="1:8">
      <c r="A436" s="1201" t="s">
        <v>613</v>
      </c>
      <c r="B436" s="1521" t="s">
        <v>209</v>
      </c>
      <c r="C436" s="1521"/>
      <c r="D436" s="1521"/>
      <c r="E436" s="1521"/>
      <c r="F436" s="1521"/>
      <c r="G436" s="1225"/>
      <c r="H436" s="1233"/>
    </row>
    <row r="437" spans="1:8">
      <c r="A437" s="1186" t="s">
        <v>623</v>
      </c>
      <c r="B437" s="178" t="s">
        <v>582</v>
      </c>
      <c r="C437" s="88" t="s">
        <v>624</v>
      </c>
      <c r="D437" s="1234">
        <v>40</v>
      </c>
      <c r="E437" s="181">
        <v>5396</v>
      </c>
      <c r="F437" s="182">
        <f>E437*D437</f>
        <v>215840</v>
      </c>
      <c r="G437" s="1225">
        <f>+G430</f>
        <v>25</v>
      </c>
      <c r="H437" s="1226">
        <f>+F437*G437</f>
        <v>5396000</v>
      </c>
    </row>
    <row r="438" spans="1:8">
      <c r="A438" s="1186" t="s">
        <v>625</v>
      </c>
      <c r="B438" s="1206" t="s">
        <v>626</v>
      </c>
      <c r="C438" s="88" t="s">
        <v>624</v>
      </c>
      <c r="D438" s="1234">
        <v>5</v>
      </c>
      <c r="E438" s="181">
        <v>7672</v>
      </c>
      <c r="F438" s="182">
        <f>E438*D438</f>
        <v>38360</v>
      </c>
      <c r="G438" s="1225">
        <f>+G437</f>
        <v>25</v>
      </c>
      <c r="H438" s="1226">
        <f>+F438*G438</f>
        <v>959000</v>
      </c>
    </row>
    <row r="439" spans="1:8">
      <c r="A439" s="1186" t="s">
        <v>627</v>
      </c>
      <c r="B439" s="1206" t="s">
        <v>628</v>
      </c>
      <c r="C439" s="88" t="s">
        <v>624</v>
      </c>
      <c r="D439" s="1227">
        <v>2</v>
      </c>
      <c r="E439" s="181">
        <v>22000</v>
      </c>
      <c r="F439" s="182">
        <f>E439*D439</f>
        <v>44000</v>
      </c>
      <c r="G439" s="1225">
        <f>+G437</f>
        <v>25</v>
      </c>
      <c r="H439" s="1226">
        <f>+F439*G439</f>
        <v>1100000</v>
      </c>
    </row>
    <row r="440" spans="1:8">
      <c r="A440" s="1186" t="s">
        <v>629</v>
      </c>
      <c r="B440" s="178" t="str">
        <f>+B415</f>
        <v>Abono orgánico (compostado madurado y estabilizado) bulto de 50 Kilos, con registro ICA .</v>
      </c>
      <c r="C440" s="88" t="s">
        <v>224</v>
      </c>
      <c r="D440" s="1227">
        <v>14.01</v>
      </c>
      <c r="E440" s="181">
        <v>44550</v>
      </c>
      <c r="F440" s="182">
        <f>E440*D440</f>
        <v>624145.5</v>
      </c>
      <c r="G440" s="1225">
        <f>+G437</f>
        <v>25</v>
      </c>
      <c r="H440" s="1226">
        <f>+F440*G440</f>
        <v>15603637.5</v>
      </c>
    </row>
    <row r="441" spans="1:8">
      <c r="A441" s="1186" t="s">
        <v>630</v>
      </c>
      <c r="B441" s="959" t="s">
        <v>631</v>
      </c>
      <c r="C441" s="88" t="s">
        <v>233</v>
      </c>
      <c r="D441" s="1227">
        <v>0.02</v>
      </c>
      <c r="E441" s="181">
        <v>53466.6</v>
      </c>
      <c r="F441" s="182">
        <f>E441*D441</f>
        <v>1069.3319999999999</v>
      </c>
      <c r="G441" s="1225">
        <f>+G440</f>
        <v>25</v>
      </c>
      <c r="H441" s="1226">
        <f>+F441*G441</f>
        <v>26733.299999999996</v>
      </c>
    </row>
    <row r="442" spans="1:8">
      <c r="A442" s="168"/>
      <c r="B442" s="1187" t="s">
        <v>632</v>
      </c>
      <c r="C442" s="83"/>
      <c r="D442" s="91"/>
      <c r="E442" s="1229">
        <f>SUM(E437:E441)</f>
        <v>133084.6</v>
      </c>
      <c r="F442" s="185">
        <f>SUM(F437:F441)</f>
        <v>923414.83200000005</v>
      </c>
      <c r="G442" s="1235"/>
      <c r="H442" s="183">
        <f>SUM(H437:H441)</f>
        <v>23085370.800000001</v>
      </c>
    </row>
    <row r="443" spans="1:8" ht="49.5">
      <c r="A443" s="175" t="s">
        <v>633</v>
      </c>
      <c r="B443" s="167" t="s">
        <v>634</v>
      </c>
      <c r="C443" s="95" t="s">
        <v>51</v>
      </c>
      <c r="D443" s="96" t="s">
        <v>52</v>
      </c>
      <c r="E443" s="164" t="s">
        <v>53</v>
      </c>
      <c r="F443" s="164" t="s">
        <v>54</v>
      </c>
      <c r="G443" s="318" t="s">
        <v>186</v>
      </c>
      <c r="H443" s="165" t="s">
        <v>248</v>
      </c>
    </row>
    <row r="444" spans="1:8">
      <c r="A444" s="168" t="s">
        <v>635</v>
      </c>
      <c r="B444" s="1573" t="s">
        <v>636</v>
      </c>
      <c r="C444" s="1573"/>
      <c r="D444" s="1573"/>
      <c r="E444" s="1573"/>
      <c r="F444" s="185">
        <f>ROUND((5%*(F435)),4)</f>
        <v>14500.134</v>
      </c>
      <c r="G444" s="1235">
        <f>+G441</f>
        <v>25</v>
      </c>
      <c r="H444" s="1236">
        <f>+F444*G444</f>
        <v>362503.35</v>
      </c>
    </row>
    <row r="445" spans="1:8">
      <c r="A445" s="168" t="s">
        <v>637</v>
      </c>
      <c r="B445" s="1573" t="s">
        <v>638</v>
      </c>
      <c r="C445" s="1573"/>
      <c r="D445" s="1573"/>
      <c r="E445" s="1573"/>
      <c r="F445" s="185">
        <f>ROUND((8%*(F442)),4)</f>
        <v>73873.186600000001</v>
      </c>
      <c r="G445" s="1235">
        <f>+G444</f>
        <v>25</v>
      </c>
      <c r="H445" s="1236">
        <f>+F445*G445</f>
        <v>1846829.665</v>
      </c>
    </row>
    <row r="446" spans="1:8">
      <c r="A446" s="168"/>
      <c r="B446" s="169" t="s">
        <v>639</v>
      </c>
      <c r="C446" s="169" t="s">
        <v>243</v>
      </c>
      <c r="D446" s="94" t="s">
        <v>243</v>
      </c>
      <c r="E446" s="170" t="s">
        <v>243</v>
      </c>
      <c r="F446" s="185">
        <f>SUM(F444:F445)</f>
        <v>88373.320600000006</v>
      </c>
      <c r="G446" s="1235">
        <f>+G444</f>
        <v>25</v>
      </c>
      <c r="H446" s="1236">
        <f>SUM(H444:H445)</f>
        <v>2209333.0150000001</v>
      </c>
    </row>
    <row r="447" spans="1:8">
      <c r="A447" s="168"/>
      <c r="B447" s="1237" t="s">
        <v>640</v>
      </c>
      <c r="C447" s="1238"/>
      <c r="D447" s="1239"/>
      <c r="E447" s="1229"/>
      <c r="F447" s="185">
        <f>+F435+F442</f>
        <v>1213417.5120000001</v>
      </c>
      <c r="G447" s="1235">
        <f>+G445</f>
        <v>25</v>
      </c>
      <c r="H447" s="1236">
        <f>+H435+H442</f>
        <v>30335437.800000001</v>
      </c>
    </row>
    <row r="448" spans="1:8">
      <c r="A448" s="168"/>
      <c r="B448" s="951" t="s">
        <v>641</v>
      </c>
      <c r="C448" s="957"/>
      <c r="D448" s="1158"/>
      <c r="E448" s="1159">
        <f>E435+E442</f>
        <v>499249.6</v>
      </c>
      <c r="F448" s="1160">
        <f>+F446+F447</f>
        <v>1301790.8326000001</v>
      </c>
      <c r="G448" s="1235">
        <f>+G446</f>
        <v>25</v>
      </c>
      <c r="H448" s="1185">
        <f>+H446+H447</f>
        <v>32544770.815000001</v>
      </c>
    </row>
    <row r="449" spans="1:8" ht="18">
      <c r="A449" s="168" t="s">
        <v>642</v>
      </c>
      <c r="B449" s="1519" t="s">
        <v>643</v>
      </c>
      <c r="C449" s="1519"/>
      <c r="D449" s="1519"/>
      <c r="E449" s="1519"/>
      <c r="F449" s="1519"/>
      <c r="G449" s="1519"/>
      <c r="H449" s="1519"/>
    </row>
    <row r="450" spans="1:8" ht="49.5">
      <c r="A450" s="80" t="s">
        <v>644</v>
      </c>
      <c r="B450" s="81" t="s">
        <v>50</v>
      </c>
      <c r="C450" s="95" t="s">
        <v>51</v>
      </c>
      <c r="D450" s="96" t="s">
        <v>52</v>
      </c>
      <c r="E450" s="164" t="s">
        <v>53</v>
      </c>
      <c r="F450" s="164" t="s">
        <v>54</v>
      </c>
      <c r="G450" s="318" t="s">
        <v>186</v>
      </c>
      <c r="H450" s="165" t="s">
        <v>248</v>
      </c>
    </row>
    <row r="451" spans="1:8">
      <c r="A451" s="168" t="s">
        <v>645</v>
      </c>
      <c r="B451" s="1521" t="s">
        <v>189</v>
      </c>
      <c r="C451" s="1521"/>
      <c r="D451" s="1521"/>
      <c r="E451" s="1521"/>
      <c r="F451" s="1521"/>
      <c r="G451" s="928"/>
      <c r="H451" s="1226" t="s">
        <v>241</v>
      </c>
    </row>
    <row r="452" spans="1:8">
      <c r="A452" s="168" t="s">
        <v>646</v>
      </c>
      <c r="B452" s="1199" t="s">
        <v>614</v>
      </c>
      <c r="C452" s="82" t="s">
        <v>341</v>
      </c>
      <c r="D452" s="1227">
        <f>+D430</f>
        <v>1</v>
      </c>
      <c r="E452" s="181">
        <v>73233</v>
      </c>
      <c r="F452" s="182">
        <f>E452*D452</f>
        <v>73233</v>
      </c>
      <c r="G452" s="1225">
        <f>+G431</f>
        <v>25</v>
      </c>
      <c r="H452" s="1226">
        <f>+F452*G452</f>
        <v>1830825</v>
      </c>
    </row>
    <row r="453" spans="1:8">
      <c r="A453" s="168" t="s">
        <v>647</v>
      </c>
      <c r="B453" s="1037" t="s">
        <v>616</v>
      </c>
      <c r="C453" s="1240" t="s">
        <v>341</v>
      </c>
      <c r="D453" s="1241">
        <f>+D431</f>
        <v>1</v>
      </c>
      <c r="E453" s="181">
        <v>73233</v>
      </c>
      <c r="F453" s="182">
        <f>E453*D453</f>
        <v>73233</v>
      </c>
      <c r="G453" s="1225">
        <f>+G452</f>
        <v>25</v>
      </c>
      <c r="H453" s="1226">
        <f>+F453*G453</f>
        <v>1830825</v>
      </c>
    </row>
    <row r="454" spans="1:8">
      <c r="A454" s="168" t="s">
        <v>648</v>
      </c>
      <c r="B454" s="1051" t="s">
        <v>649</v>
      </c>
      <c r="C454" s="1240" t="s">
        <v>341</v>
      </c>
      <c r="D454" s="1241">
        <f>+D433</f>
        <v>0.9</v>
      </c>
      <c r="E454" s="181">
        <v>73233</v>
      </c>
      <c r="F454" s="182">
        <f>E454*D454</f>
        <v>65909.7</v>
      </c>
      <c r="G454" s="1225">
        <f>+G453</f>
        <v>25</v>
      </c>
      <c r="H454" s="1226">
        <f>+F454*G454</f>
        <v>1647742.5</v>
      </c>
    </row>
    <row r="455" spans="1:8">
      <c r="A455" s="168" t="s">
        <v>650</v>
      </c>
      <c r="B455" s="1051" t="s">
        <v>352</v>
      </c>
      <c r="C455" s="1240" t="s">
        <v>341</v>
      </c>
      <c r="D455" s="1241">
        <f>+D434</f>
        <v>0.7</v>
      </c>
      <c r="E455" s="181">
        <v>73233</v>
      </c>
      <c r="F455" s="182">
        <f>E455*D455</f>
        <v>51263.1</v>
      </c>
      <c r="G455" s="1242">
        <f>+G454</f>
        <v>25</v>
      </c>
      <c r="H455" s="1226">
        <f>+F455*G455</f>
        <v>1281577.5</v>
      </c>
    </row>
    <row r="456" spans="1:8">
      <c r="A456" s="168"/>
      <c r="B456" s="1243" t="s">
        <v>651</v>
      </c>
      <c r="C456" s="83"/>
      <c r="D456" s="1228"/>
      <c r="E456" s="1229">
        <f>SUM(E452:E455)</f>
        <v>292932</v>
      </c>
      <c r="F456" s="185">
        <f>SUM(F452:F455)</f>
        <v>263638.8</v>
      </c>
      <c r="G456" s="1235"/>
      <c r="H456" s="1236">
        <f>SUM(H452:H455)</f>
        <v>6590970</v>
      </c>
    </row>
    <row r="457" spans="1:8">
      <c r="A457" s="168" t="s">
        <v>652</v>
      </c>
      <c r="B457" s="1521" t="s">
        <v>209</v>
      </c>
      <c r="C457" s="1521"/>
      <c r="D457" s="1521"/>
      <c r="E457" s="1521"/>
      <c r="F457" s="1521"/>
      <c r="G457" s="1242"/>
      <c r="H457" s="1226" t="s">
        <v>241</v>
      </c>
    </row>
    <row r="458" spans="1:8">
      <c r="A458" s="168" t="s">
        <v>653</v>
      </c>
      <c r="B458" s="959" t="str">
        <f>+B440</f>
        <v>Abono orgánico (compostado madurado y estabilizado) bulto de 50 Kilos, con registro ICA .</v>
      </c>
      <c r="C458" s="88" t="s">
        <v>224</v>
      </c>
      <c r="D458" s="1244">
        <v>14.01</v>
      </c>
      <c r="E458" s="181">
        <v>44550</v>
      </c>
      <c r="F458" s="1245">
        <f>E458*D458</f>
        <v>624145.5</v>
      </c>
      <c r="G458" s="1246">
        <f>+G452</f>
        <v>25</v>
      </c>
      <c r="H458" s="1247">
        <f>+F458*G458</f>
        <v>15603637.5</v>
      </c>
    </row>
    <row r="459" spans="1:8">
      <c r="A459" s="168" t="s">
        <v>654</v>
      </c>
      <c r="B459" s="959" t="str">
        <f>+B441</f>
        <v>Insecticida botánico extracto de Neem (Azadirachta indica)</v>
      </c>
      <c r="C459" s="88" t="s">
        <v>655</v>
      </c>
      <c r="D459" s="1244">
        <f>+D441</f>
        <v>0.02</v>
      </c>
      <c r="E459" s="181">
        <v>53466.6</v>
      </c>
      <c r="F459" s="1245">
        <f>E459*D459</f>
        <v>1069.3319999999999</v>
      </c>
      <c r="G459" s="1246">
        <f>+G453</f>
        <v>25</v>
      </c>
      <c r="H459" s="1248">
        <f>+F459*G459</f>
        <v>26733.299999999996</v>
      </c>
    </row>
    <row r="460" spans="1:8">
      <c r="A460" s="168"/>
      <c r="B460" s="1243" t="s">
        <v>656</v>
      </c>
      <c r="C460" s="85"/>
      <c r="D460" s="1228"/>
      <c r="E460" s="1249">
        <f>SUM(E458:E459)</f>
        <v>98016.6</v>
      </c>
      <c r="F460" s="1250">
        <f>SUM(F458:F459)</f>
        <v>625214.83200000005</v>
      </c>
      <c r="G460" s="1251">
        <f>+G454</f>
        <v>25</v>
      </c>
      <c r="H460" s="1252">
        <f>+H458+H459</f>
        <v>15630370.800000001</v>
      </c>
    </row>
    <row r="461" spans="1:8" ht="49.5">
      <c r="A461" s="175" t="s">
        <v>657</v>
      </c>
      <c r="B461" s="167" t="s">
        <v>658</v>
      </c>
      <c r="C461" s="95" t="s">
        <v>51</v>
      </c>
      <c r="D461" s="96" t="s">
        <v>52</v>
      </c>
      <c r="E461" s="164" t="s">
        <v>53</v>
      </c>
      <c r="F461" s="164" t="s">
        <v>54</v>
      </c>
      <c r="G461" s="318" t="s">
        <v>186</v>
      </c>
      <c r="H461" s="165" t="s">
        <v>248</v>
      </c>
    </row>
    <row r="462" spans="1:8">
      <c r="A462" s="168" t="s">
        <v>659</v>
      </c>
      <c r="B462" s="1573" t="s">
        <v>660</v>
      </c>
      <c r="C462" s="1573"/>
      <c r="D462" s="1573"/>
      <c r="E462" s="1573"/>
      <c r="F462" s="1250">
        <f>ROUND((5%*(F456)),0)</f>
        <v>13182</v>
      </c>
      <c r="G462" s="1251">
        <f>+G459</f>
        <v>25</v>
      </c>
      <c r="H462" s="1253">
        <f>+F462*G462</f>
        <v>329550</v>
      </c>
    </row>
    <row r="463" spans="1:8">
      <c r="A463" s="168" t="s">
        <v>661</v>
      </c>
      <c r="B463" s="1573" t="s">
        <v>662</v>
      </c>
      <c r="C463" s="1573"/>
      <c r="D463" s="1573"/>
      <c r="E463" s="1573"/>
      <c r="F463" s="1250">
        <f>ROUND((8%*(F460)),0)</f>
        <v>50017</v>
      </c>
      <c r="G463" s="1251">
        <f>+G462</f>
        <v>25</v>
      </c>
      <c r="H463" s="1253">
        <f>+F463*G463</f>
        <v>1250425</v>
      </c>
    </row>
    <row r="464" spans="1:8">
      <c r="A464" s="168"/>
      <c r="B464" s="169" t="s">
        <v>663</v>
      </c>
      <c r="C464" s="169" t="s">
        <v>243</v>
      </c>
      <c r="D464" s="94" t="s">
        <v>243</v>
      </c>
      <c r="E464" s="170" t="s">
        <v>243</v>
      </c>
      <c r="F464" s="1250">
        <f>SUM(F462:F463)</f>
        <v>63199</v>
      </c>
      <c r="G464" s="1251">
        <f>+G463</f>
        <v>25</v>
      </c>
      <c r="H464" s="1253">
        <f>SUM(H462:H463)</f>
        <v>1579975</v>
      </c>
    </row>
    <row r="465" spans="1:8">
      <c r="A465" s="168"/>
      <c r="B465" s="1513" t="s">
        <v>664</v>
      </c>
      <c r="C465" s="1513"/>
      <c r="D465" s="1513"/>
      <c r="E465" s="1188">
        <f>SUM(E456,E460)</f>
        <v>390948.6</v>
      </c>
      <c r="F465" s="1250">
        <f>+F456+F460</f>
        <v>888853.63199999998</v>
      </c>
      <c r="G465" s="1251">
        <f>+G464</f>
        <v>25</v>
      </c>
      <c r="H465" s="1159">
        <f>SUM(H456,H460)</f>
        <v>22221340.800000001</v>
      </c>
    </row>
    <row r="466" spans="1:8">
      <c r="A466" s="177"/>
      <c r="B466" s="951" t="s">
        <v>665</v>
      </c>
      <c r="C466" s="957"/>
      <c r="D466" s="1158"/>
      <c r="E466" s="1159"/>
      <c r="F466" s="1254">
        <f>+F464+F465</f>
        <v>952052.63199999998</v>
      </c>
      <c r="G466" s="1255"/>
      <c r="H466" s="1159">
        <f>+H464+H465</f>
        <v>23801315.800000001</v>
      </c>
    </row>
    <row r="467" spans="1:8" ht="18">
      <c r="A467" s="168" t="s">
        <v>666</v>
      </c>
      <c r="B467" s="1519" t="s">
        <v>667</v>
      </c>
      <c r="C467" s="1519"/>
      <c r="D467" s="1519"/>
      <c r="E467" s="1519"/>
      <c r="F467" s="1519"/>
      <c r="G467" s="1519"/>
      <c r="H467" s="1519"/>
    </row>
    <row r="468" spans="1:8" ht="49.5">
      <c r="A468" s="80" t="s">
        <v>668</v>
      </c>
      <c r="B468" s="81" t="s">
        <v>50</v>
      </c>
      <c r="C468" s="95" t="s">
        <v>51</v>
      </c>
      <c r="D468" s="96" t="s">
        <v>52</v>
      </c>
      <c r="E468" s="164" t="s">
        <v>53</v>
      </c>
      <c r="F468" s="164" t="s">
        <v>54</v>
      </c>
      <c r="G468" s="318" t="s">
        <v>186</v>
      </c>
      <c r="H468" s="165" t="s">
        <v>248</v>
      </c>
    </row>
    <row r="469" spans="1:8">
      <c r="A469" s="177" t="s">
        <v>669</v>
      </c>
      <c r="B469" s="1520" t="s">
        <v>189</v>
      </c>
      <c r="C469" s="1520"/>
      <c r="D469" s="1520"/>
      <c r="E469" s="1520"/>
      <c r="F469" s="1520"/>
      <c r="G469" s="1256"/>
      <c r="H469" s="1226"/>
    </row>
    <row r="470" spans="1:8">
      <c r="A470" s="177" t="s">
        <v>670</v>
      </c>
      <c r="B470" s="1257" t="s">
        <v>289</v>
      </c>
      <c r="C470" s="1258" t="s">
        <v>341</v>
      </c>
      <c r="D470" s="1227">
        <v>1.2</v>
      </c>
      <c r="E470" s="181">
        <v>73233</v>
      </c>
      <c r="F470" s="182">
        <f t="shared" ref="F470:F475" si="51">E470*D470</f>
        <v>87879.599999999991</v>
      </c>
      <c r="G470" s="942">
        <f>+G414</f>
        <v>25</v>
      </c>
      <c r="H470" s="1226">
        <f t="shared" ref="H470:H475" si="52">+F470*G470</f>
        <v>2196990</v>
      </c>
    </row>
    <row r="471" spans="1:8">
      <c r="A471" s="177" t="s">
        <v>671</v>
      </c>
      <c r="B471" s="1257" t="s">
        <v>251</v>
      </c>
      <c r="C471" s="1258" t="s">
        <v>341</v>
      </c>
      <c r="D471" s="1227">
        <v>1.2</v>
      </c>
      <c r="E471" s="181">
        <v>73233</v>
      </c>
      <c r="F471" s="182">
        <f t="shared" si="51"/>
        <v>87879.599999999991</v>
      </c>
      <c r="G471" s="942">
        <f>+G470</f>
        <v>25</v>
      </c>
      <c r="H471" s="1226">
        <f t="shared" si="52"/>
        <v>2196990</v>
      </c>
    </row>
    <row r="472" spans="1:8">
      <c r="A472" s="177" t="s">
        <v>672</v>
      </c>
      <c r="B472" s="1257" t="s">
        <v>293</v>
      </c>
      <c r="C472" s="1258" t="s">
        <v>341</v>
      </c>
      <c r="D472" s="1227">
        <v>2.4</v>
      </c>
      <c r="E472" s="181">
        <v>73233</v>
      </c>
      <c r="F472" s="182">
        <f t="shared" si="51"/>
        <v>175759.19999999998</v>
      </c>
      <c r="G472" s="942">
        <f>+G471</f>
        <v>25</v>
      </c>
      <c r="H472" s="1226">
        <f t="shared" si="52"/>
        <v>4393980</v>
      </c>
    </row>
    <row r="473" spans="1:8">
      <c r="A473" s="177" t="s">
        <v>673</v>
      </c>
      <c r="B473" s="1257" t="s">
        <v>295</v>
      </c>
      <c r="C473" s="1258" t="s">
        <v>341</v>
      </c>
      <c r="D473" s="1227">
        <v>1.2</v>
      </c>
      <c r="E473" s="181">
        <v>73233</v>
      </c>
      <c r="F473" s="182">
        <f t="shared" si="51"/>
        <v>87879.599999999991</v>
      </c>
      <c r="G473" s="942">
        <f>+G472</f>
        <v>25</v>
      </c>
      <c r="H473" s="1226">
        <f t="shared" si="52"/>
        <v>2196990</v>
      </c>
    </row>
    <row r="474" spans="1:8">
      <c r="A474" s="177" t="s">
        <v>674</v>
      </c>
      <c r="B474" s="1257" t="s">
        <v>675</v>
      </c>
      <c r="C474" s="1258" t="s">
        <v>341</v>
      </c>
      <c r="D474" s="1227">
        <v>1.5999999999999999</v>
      </c>
      <c r="E474" s="181">
        <v>73233</v>
      </c>
      <c r="F474" s="182">
        <f t="shared" si="51"/>
        <v>117172.79999999999</v>
      </c>
      <c r="G474" s="942">
        <f>+G473</f>
        <v>25</v>
      </c>
      <c r="H474" s="1226">
        <f t="shared" si="52"/>
        <v>2929319.9999999995</v>
      </c>
    </row>
    <row r="475" spans="1:8">
      <c r="A475" s="177" t="s">
        <v>676</v>
      </c>
      <c r="B475" s="1257" t="s">
        <v>677</v>
      </c>
      <c r="C475" s="1258" t="s">
        <v>341</v>
      </c>
      <c r="D475" s="1227">
        <v>2.4</v>
      </c>
      <c r="E475" s="181">
        <v>73233</v>
      </c>
      <c r="F475" s="182">
        <f t="shared" si="51"/>
        <v>175759.19999999998</v>
      </c>
      <c r="G475" s="1259">
        <f>+G474</f>
        <v>25</v>
      </c>
      <c r="H475" s="1226">
        <f t="shared" si="52"/>
        <v>4393980</v>
      </c>
    </row>
    <row r="476" spans="1:8">
      <c r="A476" s="177"/>
      <c r="B476" s="1232" t="s">
        <v>678</v>
      </c>
      <c r="C476" s="85"/>
      <c r="D476" s="1228">
        <f>SUM(D470:D475)</f>
        <v>10</v>
      </c>
      <c r="E476" s="1229">
        <f>SUM(E470:E475)</f>
        <v>439398</v>
      </c>
      <c r="F476" s="185">
        <f>SUM(F470:F475)</f>
        <v>732329.99999999988</v>
      </c>
      <c r="G476" s="1260"/>
      <c r="H476" s="1261">
        <f>SUM(H470:H475)</f>
        <v>18308250</v>
      </c>
    </row>
    <row r="477" spans="1:8">
      <c r="A477" s="177" t="s">
        <v>679</v>
      </c>
      <c r="B477" s="1232" t="s">
        <v>209</v>
      </c>
      <c r="C477" s="1258"/>
      <c r="D477" s="1234"/>
      <c r="E477" s="192"/>
      <c r="F477" s="1262"/>
      <c r="G477" s="942"/>
      <c r="H477" s="1233"/>
    </row>
    <row r="478" spans="1:8">
      <c r="A478" s="177" t="s">
        <v>680</v>
      </c>
      <c r="B478" s="1257" t="s">
        <v>681</v>
      </c>
      <c r="C478" s="1263" t="s">
        <v>682</v>
      </c>
      <c r="D478" s="1257">
        <v>36</v>
      </c>
      <c r="E478" s="181">
        <v>28701</v>
      </c>
      <c r="F478" s="182">
        <f t="shared" ref="F478:F488" si="53">E478*D478</f>
        <v>1033236</v>
      </c>
      <c r="G478" s="942">
        <f>+G470</f>
        <v>25</v>
      </c>
      <c r="H478" s="1226">
        <f t="shared" ref="H478:H487" si="54">+F478*G478</f>
        <v>25830900</v>
      </c>
    </row>
    <row r="479" spans="1:8">
      <c r="A479" s="177" t="s">
        <v>683</v>
      </c>
      <c r="B479" s="1257" t="s">
        <v>684</v>
      </c>
      <c r="C479" s="1263" t="s">
        <v>682</v>
      </c>
      <c r="D479" s="1257">
        <v>72</v>
      </c>
      <c r="E479" s="181">
        <v>28701</v>
      </c>
      <c r="F479" s="182">
        <f t="shared" si="53"/>
        <v>2066472</v>
      </c>
      <c r="G479" s="942">
        <f>+G478</f>
        <v>25</v>
      </c>
      <c r="H479" s="1226">
        <f t="shared" si="54"/>
        <v>51661800</v>
      </c>
    </row>
    <row r="480" spans="1:8">
      <c r="A480" s="177" t="s">
        <v>685</v>
      </c>
      <c r="B480" s="1257" t="s">
        <v>686</v>
      </c>
      <c r="C480" s="1263" t="s">
        <v>687</v>
      </c>
      <c r="D480" s="1257">
        <v>144</v>
      </c>
      <c r="E480" s="181">
        <v>11832</v>
      </c>
      <c r="F480" s="182">
        <f t="shared" si="53"/>
        <v>1703808</v>
      </c>
      <c r="G480" s="942">
        <f>+G479</f>
        <v>25</v>
      </c>
      <c r="H480" s="1226">
        <f t="shared" si="54"/>
        <v>42595200</v>
      </c>
    </row>
    <row r="481" spans="1:8">
      <c r="A481" s="177" t="s">
        <v>688</v>
      </c>
      <c r="B481" s="1257" t="s">
        <v>689</v>
      </c>
      <c r="C481" s="1263" t="s">
        <v>315</v>
      </c>
      <c r="D481" s="1257">
        <v>1.2</v>
      </c>
      <c r="E481" s="1264">
        <v>29745</v>
      </c>
      <c r="F481" s="182">
        <f t="shared" si="53"/>
        <v>35694</v>
      </c>
      <c r="G481" s="942">
        <f>+G479</f>
        <v>25</v>
      </c>
      <c r="H481" s="1226">
        <f t="shared" si="54"/>
        <v>892350</v>
      </c>
    </row>
    <row r="482" spans="1:8">
      <c r="A482" s="177" t="s">
        <v>690</v>
      </c>
      <c r="B482" s="1257" t="s">
        <v>691</v>
      </c>
      <c r="C482" s="1263" t="s">
        <v>692</v>
      </c>
      <c r="D482" s="1257">
        <v>288</v>
      </c>
      <c r="E482" s="181">
        <v>990</v>
      </c>
      <c r="F482" s="182">
        <f t="shared" si="53"/>
        <v>285120</v>
      </c>
      <c r="G482" s="942">
        <f t="shared" ref="G482:G487" si="55">+G481</f>
        <v>25</v>
      </c>
      <c r="H482" s="1226">
        <f t="shared" si="54"/>
        <v>7128000</v>
      </c>
    </row>
    <row r="483" spans="1:8">
      <c r="A483" s="177" t="s">
        <v>693</v>
      </c>
      <c r="B483" s="1257" t="s">
        <v>694</v>
      </c>
      <c r="C483" s="1263" t="s">
        <v>554</v>
      </c>
      <c r="D483" s="1257">
        <v>2.5</v>
      </c>
      <c r="E483" s="1265">
        <v>562020</v>
      </c>
      <c r="F483" s="182">
        <f t="shared" si="53"/>
        <v>1405050</v>
      </c>
      <c r="G483" s="942">
        <f t="shared" si="55"/>
        <v>25</v>
      </c>
      <c r="H483" s="1226">
        <f t="shared" si="54"/>
        <v>35126250</v>
      </c>
    </row>
    <row r="484" spans="1:8">
      <c r="A484" s="177" t="s">
        <v>695</v>
      </c>
      <c r="B484" s="1257" t="s">
        <v>696</v>
      </c>
      <c r="C484" s="1263" t="s">
        <v>324</v>
      </c>
      <c r="D484" s="1257">
        <v>2.88</v>
      </c>
      <c r="E484" s="1265">
        <v>6572</v>
      </c>
      <c r="F484" s="182">
        <f t="shared" si="53"/>
        <v>18927.36</v>
      </c>
      <c r="G484" s="942">
        <f t="shared" si="55"/>
        <v>25</v>
      </c>
      <c r="H484" s="1226">
        <f t="shared" si="54"/>
        <v>473184</v>
      </c>
    </row>
    <row r="485" spans="1:8">
      <c r="A485" s="177" t="s">
        <v>697</v>
      </c>
      <c r="B485" s="1257" t="s">
        <v>698</v>
      </c>
      <c r="C485" s="1263" t="s">
        <v>324</v>
      </c>
      <c r="D485" s="1257">
        <v>2.4</v>
      </c>
      <c r="E485" s="1265">
        <v>7611.5700000000006</v>
      </c>
      <c r="F485" s="182">
        <f t="shared" si="53"/>
        <v>18267.768</v>
      </c>
      <c r="G485" s="942">
        <f t="shared" si="55"/>
        <v>25</v>
      </c>
      <c r="H485" s="1226">
        <f t="shared" si="54"/>
        <v>456694.2</v>
      </c>
    </row>
    <row r="486" spans="1:8">
      <c r="A486" s="177" t="s">
        <v>699</v>
      </c>
      <c r="B486" s="1257" t="s">
        <v>700</v>
      </c>
      <c r="C486" s="1263" t="s">
        <v>692</v>
      </c>
      <c r="D486" s="1257">
        <v>216</v>
      </c>
      <c r="E486" s="1265">
        <v>184.47</v>
      </c>
      <c r="F486" s="182">
        <f t="shared" si="53"/>
        <v>39845.519999999997</v>
      </c>
      <c r="G486" s="942">
        <f t="shared" si="55"/>
        <v>25</v>
      </c>
      <c r="H486" s="1226">
        <f t="shared" si="54"/>
        <v>996137.99999999988</v>
      </c>
    </row>
    <row r="487" spans="1:8">
      <c r="A487" s="177" t="s">
        <v>701</v>
      </c>
      <c r="B487" s="1257" t="s">
        <v>702</v>
      </c>
      <c r="C487" s="1266" t="s">
        <v>692</v>
      </c>
      <c r="D487" s="1257">
        <v>12</v>
      </c>
      <c r="E487" s="1265">
        <v>861.88</v>
      </c>
      <c r="F487" s="182">
        <f t="shared" si="53"/>
        <v>10342.56</v>
      </c>
      <c r="G487" s="942">
        <f t="shared" si="55"/>
        <v>25</v>
      </c>
      <c r="H487" s="1226">
        <f t="shared" si="54"/>
        <v>258564</v>
      </c>
    </row>
    <row r="488" spans="1:8">
      <c r="A488" s="177" t="s">
        <v>703</v>
      </c>
      <c r="B488" s="1257" t="s">
        <v>704</v>
      </c>
      <c r="C488" s="1267" t="s">
        <v>62</v>
      </c>
      <c r="D488" s="1257">
        <v>1</v>
      </c>
      <c r="E488" s="1265">
        <v>1962813</v>
      </c>
      <c r="F488" s="182">
        <f t="shared" si="53"/>
        <v>1962813</v>
      </c>
      <c r="G488" s="942">
        <v>1</v>
      </c>
      <c r="H488" s="1226">
        <f>+F488*G488</f>
        <v>1962813</v>
      </c>
    </row>
    <row r="489" spans="1:8">
      <c r="A489" s="877"/>
      <c r="B489" s="1268" t="s">
        <v>705</v>
      </c>
      <c r="C489" s="1269"/>
      <c r="D489" s="1269"/>
      <c r="E489" s="1270">
        <f>SUM(E478:E488)</f>
        <v>2640031.92</v>
      </c>
      <c r="F489" s="1183">
        <f>SUM(F478:F488)</f>
        <v>8579576.2080000006</v>
      </c>
      <c r="G489" s="1271"/>
      <c r="H489" s="1185">
        <f>SUM(H478:H488)</f>
        <v>167381893.19999999</v>
      </c>
    </row>
    <row r="490" spans="1:8" ht="49.5">
      <c r="A490" s="175" t="s">
        <v>168</v>
      </c>
      <c r="B490" s="167" t="s">
        <v>706</v>
      </c>
      <c r="C490" s="95" t="s">
        <v>51</v>
      </c>
      <c r="D490" s="96" t="s">
        <v>52</v>
      </c>
      <c r="E490" s="164" t="s">
        <v>53</v>
      </c>
      <c r="F490" s="164" t="s">
        <v>54</v>
      </c>
      <c r="G490" s="318" t="s">
        <v>186</v>
      </c>
      <c r="H490" s="165" t="s">
        <v>248</v>
      </c>
    </row>
    <row r="491" spans="1:8">
      <c r="A491" s="1182" t="s">
        <v>170</v>
      </c>
      <c r="B491" s="1573" t="s">
        <v>707</v>
      </c>
      <c r="C491" s="1573"/>
      <c r="D491" s="1573"/>
      <c r="E491" s="1573"/>
      <c r="F491" s="1183">
        <f>ROUND((5%*(F476)),4)</f>
        <v>36616.5</v>
      </c>
      <c r="G491" s="1272">
        <f>+G487</f>
        <v>25</v>
      </c>
      <c r="H491" s="1252">
        <f>+F491*G491</f>
        <v>915412.5</v>
      </c>
    </row>
    <row r="492" spans="1:8">
      <c r="A492" s="1182" t="s">
        <v>171</v>
      </c>
      <c r="B492" s="1573" t="s">
        <v>708</v>
      </c>
      <c r="C492" s="1573"/>
      <c r="D492" s="1573"/>
      <c r="E492" s="1573"/>
      <c r="F492" s="1183">
        <f>ROUND((8%*(F489)),4)</f>
        <v>686366.09660000005</v>
      </c>
      <c r="G492" s="1272">
        <f>+G491</f>
        <v>25</v>
      </c>
      <c r="H492" s="1252">
        <f>+F492*G492</f>
        <v>17159152.415000003</v>
      </c>
    </row>
    <row r="493" spans="1:8">
      <c r="A493" s="1182"/>
      <c r="B493" s="169" t="s">
        <v>606</v>
      </c>
      <c r="C493" s="169" t="s">
        <v>243</v>
      </c>
      <c r="D493" s="94" t="s">
        <v>243</v>
      </c>
      <c r="E493" s="170" t="s">
        <v>243</v>
      </c>
      <c r="F493" s="1183">
        <f>SUM(F491:F492)</f>
        <v>722982.59660000005</v>
      </c>
      <c r="G493" s="1272">
        <f>+G487</f>
        <v>25</v>
      </c>
      <c r="H493" s="1252">
        <f>SUM(H491:H492)</f>
        <v>18074564.915000003</v>
      </c>
    </row>
    <row r="494" spans="1:8">
      <c r="A494" s="1186"/>
      <c r="B494" s="1515" t="s">
        <v>709</v>
      </c>
      <c r="C494" s="1515"/>
      <c r="D494" s="1515"/>
      <c r="E494" s="1188">
        <f>E476+E489</f>
        <v>3079429.92</v>
      </c>
      <c r="F494" s="1273">
        <f>+F476+F489</f>
        <v>9311906.2080000006</v>
      </c>
      <c r="G494" s="1274">
        <f>+G487</f>
        <v>25</v>
      </c>
      <c r="H494" s="1161">
        <f>SUM(H476,H489)</f>
        <v>185690143.19999999</v>
      </c>
    </row>
    <row r="495" spans="1:8">
      <c r="A495" s="168"/>
      <c r="B495" s="1515" t="s">
        <v>710</v>
      </c>
      <c r="C495" s="1515"/>
      <c r="D495" s="1515"/>
      <c r="E495" s="1191"/>
      <c r="F495" s="1275">
        <f>+F493+F494</f>
        <v>10034888.8046</v>
      </c>
      <c r="G495" s="1193"/>
      <c r="H495" s="1276">
        <f>+H493+H494</f>
        <v>203764708.11499998</v>
      </c>
    </row>
    <row r="496" spans="1:8" ht="18">
      <c r="A496" s="177" t="s">
        <v>711</v>
      </c>
      <c r="B496" s="1516" t="s">
        <v>712</v>
      </c>
      <c r="C496" s="1516"/>
      <c r="D496" s="1516"/>
      <c r="E496" s="1516"/>
      <c r="F496" s="1517"/>
      <c r="G496" s="1516"/>
      <c r="H496" s="1516"/>
    </row>
    <row r="497" spans="1:8" ht="49.5">
      <c r="A497" s="1277" t="s">
        <v>713</v>
      </c>
      <c r="B497" s="81" t="s">
        <v>50</v>
      </c>
      <c r="C497" s="95" t="s">
        <v>51</v>
      </c>
      <c r="D497" s="96" t="s">
        <v>52</v>
      </c>
      <c r="E497" s="164" t="s">
        <v>53</v>
      </c>
      <c r="F497" s="164" t="s">
        <v>54</v>
      </c>
      <c r="G497" s="318" t="s">
        <v>186</v>
      </c>
      <c r="H497" s="165" t="s">
        <v>248</v>
      </c>
    </row>
    <row r="498" spans="1:8">
      <c r="A498" s="1278" t="s">
        <v>714</v>
      </c>
      <c r="B498" s="1518" t="s">
        <v>209</v>
      </c>
      <c r="C498" s="1518"/>
      <c r="D498" s="1518"/>
      <c r="E498" s="1518"/>
      <c r="F498" s="1518"/>
      <c r="G498" s="1260"/>
      <c r="H498" s="1261"/>
    </row>
    <row r="499" spans="1:8">
      <c r="A499" s="1278" t="s">
        <v>715</v>
      </c>
      <c r="B499" s="1257" t="s">
        <v>716</v>
      </c>
      <c r="C499" s="1279" t="s">
        <v>717</v>
      </c>
      <c r="D499" s="1257">
        <v>2</v>
      </c>
      <c r="E499" s="181">
        <v>71625</v>
      </c>
      <c r="F499" s="182">
        <f>+D499*E499</f>
        <v>143250</v>
      </c>
      <c r="G499" s="1260">
        <v>1</v>
      </c>
      <c r="H499" s="1261">
        <f>+F499*G499</f>
        <v>143250</v>
      </c>
    </row>
    <row r="500" spans="1:8">
      <c r="A500" s="1278" t="s">
        <v>718</v>
      </c>
      <c r="B500" s="1257" t="s">
        <v>719</v>
      </c>
      <c r="C500" s="1280" t="s">
        <v>720</v>
      </c>
      <c r="D500" s="1257">
        <v>0.5</v>
      </c>
      <c r="E500" s="181">
        <v>60500</v>
      </c>
      <c r="F500" s="182">
        <f>+D500*E500</f>
        <v>30250</v>
      </c>
      <c r="G500" s="1260">
        <f>+G499</f>
        <v>1</v>
      </c>
      <c r="H500" s="1261">
        <f>+F500*G500</f>
        <v>30250</v>
      </c>
    </row>
    <row r="501" spans="1:8">
      <c r="A501" s="1278" t="s">
        <v>721</v>
      </c>
      <c r="B501" s="1257" t="s">
        <v>722</v>
      </c>
      <c r="C501" s="1281" t="s">
        <v>723</v>
      </c>
      <c r="D501" s="1257">
        <v>1</v>
      </c>
      <c r="E501" s="181">
        <v>1973500</v>
      </c>
      <c r="F501" s="182">
        <f>+D501*E501</f>
        <v>1973500</v>
      </c>
      <c r="G501" s="1260">
        <f>+G499</f>
        <v>1</v>
      </c>
      <c r="H501" s="1261">
        <f>+F501*G501</f>
        <v>1973500</v>
      </c>
    </row>
    <row r="502" spans="1:8">
      <c r="A502" s="1278" t="s">
        <v>724</v>
      </c>
      <c r="B502" s="1257" t="s">
        <v>725</v>
      </c>
      <c r="C502" s="1281" t="s">
        <v>726</v>
      </c>
      <c r="D502" s="1257">
        <v>1</v>
      </c>
      <c r="E502" s="181">
        <v>2940000</v>
      </c>
      <c r="F502" s="182">
        <f>+D502*E502</f>
        <v>2940000</v>
      </c>
      <c r="G502" s="1260">
        <f>+G499</f>
        <v>1</v>
      </c>
      <c r="H502" s="1261">
        <f>+F502*G502</f>
        <v>2940000</v>
      </c>
    </row>
    <row r="503" spans="1:8">
      <c r="A503" s="1278"/>
      <c r="B503" s="1232" t="s">
        <v>727</v>
      </c>
      <c r="C503" s="85"/>
      <c r="D503" s="1228">
        <f>SUM(D501:D502)</f>
        <v>2</v>
      </c>
      <c r="E503" s="1229">
        <f>SUM(E499:E502)</f>
        <v>5045625</v>
      </c>
      <c r="F503" s="185">
        <f>SUM(F499:F502)</f>
        <v>5087000</v>
      </c>
      <c r="G503" s="1260"/>
      <c r="H503" s="1261">
        <f>SUM(H499:H502)</f>
        <v>5087000</v>
      </c>
    </row>
    <row r="504" spans="1:8" ht="49.5">
      <c r="A504" s="175" t="s">
        <v>715</v>
      </c>
      <c r="B504" s="167" t="s">
        <v>728</v>
      </c>
      <c r="C504" s="95" t="s">
        <v>51</v>
      </c>
      <c r="D504" s="96" t="s">
        <v>52</v>
      </c>
      <c r="E504" s="164" t="s">
        <v>53</v>
      </c>
      <c r="F504" s="164" t="s">
        <v>54</v>
      </c>
      <c r="G504" s="318" t="s">
        <v>186</v>
      </c>
      <c r="H504" s="165" t="s">
        <v>248</v>
      </c>
    </row>
    <row r="505" spans="1:8">
      <c r="A505" s="168" t="s">
        <v>715</v>
      </c>
      <c r="B505" s="1573" t="s">
        <v>729</v>
      </c>
      <c r="C505" s="1573"/>
      <c r="D505" s="1573"/>
      <c r="E505" s="1573"/>
      <c r="F505" s="185">
        <f>ROUND((8%*(F503)),8)</f>
        <v>406960</v>
      </c>
      <c r="G505" s="1260">
        <v>1</v>
      </c>
      <c r="H505" s="1261">
        <f>+F505*G505</f>
        <v>406960</v>
      </c>
    </row>
    <row r="506" spans="1:8">
      <c r="A506" s="168"/>
      <c r="B506" s="1574" t="s">
        <v>730</v>
      </c>
      <c r="C506" s="1574" t="s">
        <v>243</v>
      </c>
      <c r="D506" s="1574" t="s">
        <v>243</v>
      </c>
      <c r="E506" s="1574" t="s">
        <v>243</v>
      </c>
      <c r="F506" s="185">
        <f>+F505</f>
        <v>406960</v>
      </c>
      <c r="G506" s="1260">
        <v>1</v>
      </c>
      <c r="H506" s="1261">
        <f>+F506*G506</f>
        <v>406960</v>
      </c>
    </row>
    <row r="507" spans="1:8">
      <c r="A507" s="168"/>
      <c r="B507" s="1513" t="s">
        <v>731</v>
      </c>
      <c r="C507" s="1513"/>
      <c r="D507" s="1513"/>
      <c r="E507" s="1188">
        <f>SUM(E498,E502)</f>
        <v>2940000</v>
      </c>
      <c r="F507" s="185">
        <f>+F503</f>
        <v>5087000</v>
      </c>
      <c r="G507" s="1260">
        <v>1</v>
      </c>
      <c r="H507" s="1261">
        <f>+F507*G507</f>
        <v>5087000</v>
      </c>
    </row>
    <row r="508" spans="1:8">
      <c r="A508" s="1278"/>
      <c r="B508" s="1232" t="s">
        <v>732</v>
      </c>
      <c r="C508" s="85"/>
      <c r="D508" s="1228"/>
      <c r="E508" s="1229"/>
      <c r="F508" s="185">
        <f>+F506+F507</f>
        <v>5493960</v>
      </c>
      <c r="G508" s="1260">
        <v>1</v>
      </c>
      <c r="H508" s="1282">
        <f>+F508*G508</f>
        <v>5493960</v>
      </c>
    </row>
    <row r="509" spans="1:8" ht="18">
      <c r="A509" s="1278" t="s">
        <v>733</v>
      </c>
      <c r="B509" s="1511" t="s">
        <v>734</v>
      </c>
      <c r="C509" s="1511"/>
      <c r="D509" s="1511"/>
      <c r="E509" s="1511"/>
      <c r="F509" s="1511"/>
      <c r="G509" s="1511"/>
      <c r="H509" s="1511"/>
    </row>
    <row r="510" spans="1:8" ht="49.5">
      <c r="A510" s="80" t="s">
        <v>735</v>
      </c>
      <c r="B510" s="81" t="s">
        <v>50</v>
      </c>
      <c r="C510" s="95" t="s">
        <v>51</v>
      </c>
      <c r="D510" s="96" t="s">
        <v>52</v>
      </c>
      <c r="E510" s="164" t="s">
        <v>53</v>
      </c>
      <c r="F510" s="164" t="s">
        <v>54</v>
      </c>
      <c r="G510" s="318" t="s">
        <v>186</v>
      </c>
      <c r="H510" s="165" t="s">
        <v>248</v>
      </c>
    </row>
    <row r="511" spans="1:8">
      <c r="A511" s="1283" t="s">
        <v>736</v>
      </c>
      <c r="B511" s="1232" t="s">
        <v>209</v>
      </c>
      <c r="C511" s="85"/>
      <c r="D511" s="1228"/>
      <c r="E511" s="1189"/>
      <c r="F511" s="1284"/>
      <c r="G511" s="1285"/>
      <c r="H511" s="1286"/>
    </row>
    <row r="512" spans="1:8">
      <c r="A512" s="168" t="s">
        <v>737</v>
      </c>
      <c r="B512" s="1257" t="s">
        <v>716</v>
      </c>
      <c r="C512" s="1257" t="s">
        <v>717</v>
      </c>
      <c r="D512" s="1257">
        <v>2</v>
      </c>
      <c r="E512" s="181">
        <v>71625</v>
      </c>
      <c r="F512" s="1287">
        <f>E512*D512</f>
        <v>143250</v>
      </c>
      <c r="G512" s="1171">
        <v>9</v>
      </c>
      <c r="H512" s="174">
        <f>+F512*G512</f>
        <v>1289250</v>
      </c>
    </row>
    <row r="513" spans="1:8">
      <c r="A513" s="168" t="s">
        <v>738</v>
      </c>
      <c r="B513" s="1257" t="s">
        <v>719</v>
      </c>
      <c r="C513" s="1257" t="s">
        <v>720</v>
      </c>
      <c r="D513" s="1257">
        <v>0.5</v>
      </c>
      <c r="E513" s="181">
        <v>60500</v>
      </c>
      <c r="F513" s="1287">
        <f>E513*D513</f>
        <v>30250</v>
      </c>
      <c r="G513" s="1171">
        <f>+G512</f>
        <v>9</v>
      </c>
      <c r="H513" s="174">
        <f>+F513*G513</f>
        <v>272250</v>
      </c>
    </row>
    <row r="514" spans="1:8">
      <c r="A514" s="168" t="s">
        <v>241</v>
      </c>
      <c r="B514" s="1232" t="s">
        <v>739</v>
      </c>
      <c r="C514" s="85"/>
      <c r="D514" s="1228" t="s">
        <v>241</v>
      </c>
      <c r="E514" s="1229">
        <f>SUM(E512:E513)</f>
        <v>132125</v>
      </c>
      <c r="F514" s="185">
        <f>SUM(F512:F513)</f>
        <v>173500</v>
      </c>
      <c r="G514" s="1260"/>
      <c r="H514" s="1261">
        <f>SUM(H512:H513)</f>
        <v>1561500</v>
      </c>
    </row>
    <row r="515" spans="1:8" ht="49.5">
      <c r="A515" s="175" t="s">
        <v>740</v>
      </c>
      <c r="B515" s="167" t="s">
        <v>741</v>
      </c>
      <c r="C515" s="95" t="s">
        <v>51</v>
      </c>
      <c r="D515" s="96" t="s">
        <v>52</v>
      </c>
      <c r="E515" s="164" t="s">
        <v>53</v>
      </c>
      <c r="F515" s="164" t="s">
        <v>54</v>
      </c>
      <c r="G515" s="318" t="s">
        <v>186</v>
      </c>
      <c r="H515" s="165" t="s">
        <v>248</v>
      </c>
    </row>
    <row r="516" spans="1:8">
      <c r="A516" s="1288" t="s">
        <v>742</v>
      </c>
      <c r="B516" s="1573" t="s">
        <v>743</v>
      </c>
      <c r="C516" s="1573"/>
      <c r="D516" s="1573"/>
      <c r="E516" s="1573"/>
      <c r="F516" s="1287">
        <f>ROUND((8%*(F514)),4)</f>
        <v>13880</v>
      </c>
      <c r="G516" s="1143">
        <f>+G512</f>
        <v>9</v>
      </c>
      <c r="H516" s="174">
        <f>+F516*G516</f>
        <v>124920</v>
      </c>
    </row>
    <row r="517" spans="1:8">
      <c r="A517" s="1288" t="s">
        <v>241</v>
      </c>
      <c r="B517" s="1573" t="s">
        <v>744</v>
      </c>
      <c r="C517" s="1573" t="s">
        <v>243</v>
      </c>
      <c r="D517" s="1573" t="s">
        <v>243</v>
      </c>
      <c r="E517" s="1573" t="s">
        <v>243</v>
      </c>
      <c r="F517" s="1287">
        <f>+F516</f>
        <v>13880</v>
      </c>
      <c r="G517" s="1171">
        <f>+G512</f>
        <v>9</v>
      </c>
      <c r="H517" s="174">
        <f>+F517*G517</f>
        <v>124920</v>
      </c>
    </row>
    <row r="518" spans="1:8">
      <c r="A518" s="168"/>
      <c r="B518" s="1513" t="s">
        <v>745</v>
      </c>
      <c r="C518" s="1513"/>
      <c r="D518" s="1513"/>
      <c r="E518" s="1188">
        <f>+E514</f>
        <v>132125</v>
      </c>
      <c r="F518" s="1183">
        <f>+F514</f>
        <v>173500</v>
      </c>
      <c r="G518" s="1289">
        <f>+G512</f>
        <v>9</v>
      </c>
      <c r="H518" s="174">
        <f>+F518*G518</f>
        <v>1561500</v>
      </c>
    </row>
    <row r="519" spans="1:8">
      <c r="A519" s="168"/>
      <c r="B519" s="1232" t="s">
        <v>746</v>
      </c>
      <c r="C519" s="85"/>
      <c r="D519" s="1228"/>
      <c r="E519" s="1229"/>
      <c r="F519" s="1189">
        <f>+F517+F518</f>
        <v>187380</v>
      </c>
      <c r="G519" s="1290">
        <f>+G512</f>
        <v>9</v>
      </c>
      <c r="H519" s="174">
        <f>+F519*G519</f>
        <v>1686420</v>
      </c>
    </row>
    <row r="520" spans="1:8" ht="18">
      <c r="A520" s="168" t="s">
        <v>747</v>
      </c>
      <c r="B520" s="1511" t="s">
        <v>748</v>
      </c>
      <c r="C520" s="1511"/>
      <c r="D520" s="1511"/>
      <c r="E520" s="1511"/>
      <c r="F520" s="1511"/>
      <c r="G520" s="1511"/>
      <c r="H520" s="1511"/>
    </row>
    <row r="521" spans="1:8" ht="49.5">
      <c r="A521" s="80" t="s">
        <v>749</v>
      </c>
      <c r="B521" s="153" t="s">
        <v>50</v>
      </c>
      <c r="C521" s="95" t="s">
        <v>51</v>
      </c>
      <c r="D521" s="96" t="s">
        <v>52</v>
      </c>
      <c r="E521" s="164" t="s">
        <v>53</v>
      </c>
      <c r="F521" s="164" t="s">
        <v>54</v>
      </c>
      <c r="G521" s="318" t="s">
        <v>186</v>
      </c>
      <c r="H521" s="165" t="s">
        <v>248</v>
      </c>
    </row>
    <row r="522" spans="1:8">
      <c r="A522" s="177" t="s">
        <v>750</v>
      </c>
      <c r="B522" s="1514" t="s">
        <v>189</v>
      </c>
      <c r="C522" s="1514"/>
      <c r="D522" s="1514"/>
      <c r="E522" s="1514"/>
      <c r="F522" s="1514"/>
      <c r="G522" s="942"/>
      <c r="H522" s="1226"/>
    </row>
    <row r="523" spans="1:8">
      <c r="A523" s="177" t="s">
        <v>751</v>
      </c>
      <c r="B523" s="1257" t="s">
        <v>752</v>
      </c>
      <c r="C523" s="1258" t="s">
        <v>753</v>
      </c>
      <c r="D523" s="1234">
        <v>2</v>
      </c>
      <c r="E523" s="181">
        <v>73233</v>
      </c>
      <c r="F523" s="182">
        <f>E523*D523</f>
        <v>146466</v>
      </c>
      <c r="G523" s="942">
        <f>+G369</f>
        <v>25</v>
      </c>
      <c r="H523" s="1226">
        <f>+F523*G523</f>
        <v>3661650</v>
      </c>
    </row>
    <row r="524" spans="1:8">
      <c r="A524" s="177" t="s">
        <v>754</v>
      </c>
      <c r="B524" s="1257" t="s">
        <v>755</v>
      </c>
      <c r="C524" s="1258" t="s">
        <v>753</v>
      </c>
      <c r="D524" s="1234">
        <v>1</v>
      </c>
      <c r="E524" s="181">
        <v>73233</v>
      </c>
      <c r="F524" s="182">
        <f>E524*D524</f>
        <v>73233</v>
      </c>
      <c r="G524" s="942">
        <f>+G523</f>
        <v>25</v>
      </c>
      <c r="H524" s="1226">
        <f>+F524*G524</f>
        <v>1830825</v>
      </c>
    </row>
    <row r="525" spans="1:8">
      <c r="A525" s="177" t="s">
        <v>241</v>
      </c>
      <c r="B525" s="1232" t="s">
        <v>756</v>
      </c>
      <c r="C525" s="85"/>
      <c r="D525" s="91">
        <f>SUM(D523:D524)</f>
        <v>3</v>
      </c>
      <c r="E525" s="1229">
        <f>SUM(E523:E524)</f>
        <v>146466</v>
      </c>
      <c r="F525" s="185">
        <f>SUM(F523:F524)</f>
        <v>219699</v>
      </c>
      <c r="G525" s="1260"/>
      <c r="H525" s="1261">
        <f>SUM(H523:H524)</f>
        <v>5492475</v>
      </c>
    </row>
    <row r="526" spans="1:8">
      <c r="A526" s="177" t="s">
        <v>757</v>
      </c>
      <c r="B526" s="1291" t="s">
        <v>304</v>
      </c>
      <c r="C526" s="1291"/>
      <c r="D526" s="1292"/>
      <c r="E526" s="1293"/>
      <c r="F526" s="1293"/>
      <c r="G526" s="1177"/>
      <c r="H526" s="174"/>
    </row>
    <row r="527" spans="1:8">
      <c r="A527" s="177" t="s">
        <v>758</v>
      </c>
      <c r="B527" s="1294" t="s">
        <v>759</v>
      </c>
      <c r="C527" s="1215" t="s">
        <v>760</v>
      </c>
      <c r="D527" s="1295">
        <v>14</v>
      </c>
      <c r="E527" s="181">
        <v>24903</v>
      </c>
      <c r="F527" s="1296">
        <f t="shared" ref="F527:F535" si="56">E527*D527</f>
        <v>348642</v>
      </c>
      <c r="G527" s="945">
        <f>+G523</f>
        <v>25</v>
      </c>
      <c r="H527" s="174">
        <f t="shared" ref="H527:H535" si="57">+F527*G527</f>
        <v>8716050</v>
      </c>
    </row>
    <row r="528" spans="1:8">
      <c r="A528" s="177" t="s">
        <v>761</v>
      </c>
      <c r="B528" s="1294" t="s">
        <v>762</v>
      </c>
      <c r="C528" s="1215" t="s">
        <v>763</v>
      </c>
      <c r="D528" s="1295">
        <v>90</v>
      </c>
      <c r="E528" s="181">
        <v>1080</v>
      </c>
      <c r="F528" s="1296">
        <f t="shared" si="56"/>
        <v>97200</v>
      </c>
      <c r="G528" s="1194">
        <f t="shared" ref="G528:G535" si="58">+G527</f>
        <v>25</v>
      </c>
      <c r="H528" s="174">
        <f t="shared" si="57"/>
        <v>2430000</v>
      </c>
    </row>
    <row r="529" spans="1:8">
      <c r="A529" s="177" t="s">
        <v>764</v>
      </c>
      <c r="B529" s="1294" t="s">
        <v>765</v>
      </c>
      <c r="C529" s="1215" t="s">
        <v>766</v>
      </c>
      <c r="D529" s="1295">
        <v>2</v>
      </c>
      <c r="E529" s="181">
        <v>10900</v>
      </c>
      <c r="F529" s="1296">
        <f t="shared" si="56"/>
        <v>21800</v>
      </c>
      <c r="G529" s="1194">
        <f t="shared" si="58"/>
        <v>25</v>
      </c>
      <c r="H529" s="174">
        <f t="shared" si="57"/>
        <v>545000</v>
      </c>
    </row>
    <row r="530" spans="1:8">
      <c r="A530" s="177" t="s">
        <v>767</v>
      </c>
      <c r="B530" s="1294" t="s">
        <v>768</v>
      </c>
      <c r="C530" s="1215" t="s">
        <v>766</v>
      </c>
      <c r="D530" s="1295">
        <v>2</v>
      </c>
      <c r="E530" s="181">
        <v>7900</v>
      </c>
      <c r="F530" s="1296">
        <f t="shared" si="56"/>
        <v>15800</v>
      </c>
      <c r="G530" s="1194">
        <f t="shared" si="58"/>
        <v>25</v>
      </c>
      <c r="H530" s="174">
        <f t="shared" si="57"/>
        <v>395000</v>
      </c>
    </row>
    <row r="531" spans="1:8">
      <c r="A531" s="177" t="s">
        <v>769</v>
      </c>
      <c r="B531" s="1294" t="s">
        <v>770</v>
      </c>
      <c r="C531" s="1215" t="s">
        <v>766</v>
      </c>
      <c r="D531" s="1295">
        <v>2</v>
      </c>
      <c r="E531" s="181">
        <v>6572</v>
      </c>
      <c r="F531" s="1296">
        <f t="shared" si="56"/>
        <v>13144</v>
      </c>
      <c r="G531" s="1194">
        <f t="shared" si="58"/>
        <v>25</v>
      </c>
      <c r="H531" s="174">
        <f t="shared" si="57"/>
        <v>328600</v>
      </c>
    </row>
    <row r="532" spans="1:8">
      <c r="A532" s="177" t="s">
        <v>771</v>
      </c>
      <c r="B532" s="1294" t="s">
        <v>772</v>
      </c>
      <c r="C532" s="1215" t="s">
        <v>773</v>
      </c>
      <c r="D532" s="1295">
        <v>3</v>
      </c>
      <c r="E532" s="181">
        <v>33075</v>
      </c>
      <c r="F532" s="1296">
        <f t="shared" si="56"/>
        <v>99225</v>
      </c>
      <c r="G532" s="1194">
        <f t="shared" si="58"/>
        <v>25</v>
      </c>
      <c r="H532" s="174">
        <f t="shared" si="57"/>
        <v>2480625</v>
      </c>
    </row>
    <row r="533" spans="1:8">
      <c r="A533" s="177" t="s">
        <v>774</v>
      </c>
      <c r="B533" s="1294" t="s">
        <v>775</v>
      </c>
      <c r="C533" s="1215" t="s">
        <v>773</v>
      </c>
      <c r="D533" s="1295">
        <v>6</v>
      </c>
      <c r="E533" s="181">
        <v>31081</v>
      </c>
      <c r="F533" s="1296">
        <f t="shared" si="56"/>
        <v>186486</v>
      </c>
      <c r="G533" s="1194">
        <f t="shared" si="58"/>
        <v>25</v>
      </c>
      <c r="H533" s="174">
        <f t="shared" si="57"/>
        <v>4662150</v>
      </c>
    </row>
    <row r="534" spans="1:8">
      <c r="A534" s="177" t="s">
        <v>776</v>
      </c>
      <c r="B534" s="1215" t="s">
        <v>777</v>
      </c>
      <c r="C534" s="1215" t="s">
        <v>778</v>
      </c>
      <c r="D534" s="1295">
        <v>26</v>
      </c>
      <c r="E534" s="181">
        <v>3522.69</v>
      </c>
      <c r="F534" s="1296">
        <f t="shared" si="56"/>
        <v>91589.94</v>
      </c>
      <c r="G534" s="1194">
        <f t="shared" si="58"/>
        <v>25</v>
      </c>
      <c r="H534" s="174">
        <f t="shared" si="57"/>
        <v>2289748.5</v>
      </c>
    </row>
    <row r="535" spans="1:8">
      <c r="A535" s="177" t="s">
        <v>779</v>
      </c>
      <c r="B535" s="1215" t="s">
        <v>780</v>
      </c>
      <c r="C535" s="1215" t="s">
        <v>781</v>
      </c>
      <c r="D535" s="1295">
        <v>26</v>
      </c>
      <c r="E535" s="181">
        <v>14340</v>
      </c>
      <c r="F535" s="1296">
        <f t="shared" si="56"/>
        <v>372840</v>
      </c>
      <c r="G535" s="1194">
        <f t="shared" si="58"/>
        <v>25</v>
      </c>
      <c r="H535" s="174">
        <f t="shared" si="57"/>
        <v>9321000</v>
      </c>
    </row>
    <row r="536" spans="1:8">
      <c r="A536" s="1297"/>
      <c r="B536" s="1298" t="s">
        <v>782</v>
      </c>
      <c r="C536" s="1298"/>
      <c r="D536" s="1299"/>
      <c r="E536" s="1300">
        <f>SUM(E527:E535)</f>
        <v>133373.69</v>
      </c>
      <c r="F536" s="1300">
        <f>SUM(F527:F535)</f>
        <v>1246726.94</v>
      </c>
      <c r="G536" s="1301"/>
      <c r="H536" s="1302">
        <f>SUM(H527:H535)</f>
        <v>31168173.5</v>
      </c>
    </row>
    <row r="537" spans="1:8" ht="49.5">
      <c r="A537" s="175" t="s">
        <v>783</v>
      </c>
      <c r="B537" s="167" t="s">
        <v>784</v>
      </c>
      <c r="C537" s="95" t="s">
        <v>51</v>
      </c>
      <c r="D537" s="96" t="s">
        <v>52</v>
      </c>
      <c r="E537" s="164" t="s">
        <v>53</v>
      </c>
      <c r="F537" s="164" t="s">
        <v>54</v>
      </c>
      <c r="G537" s="318" t="s">
        <v>186</v>
      </c>
      <c r="H537" s="165" t="s">
        <v>248</v>
      </c>
    </row>
    <row r="538" spans="1:8">
      <c r="A538" s="168" t="s">
        <v>785</v>
      </c>
      <c r="B538" s="1573" t="s">
        <v>786</v>
      </c>
      <c r="C538" s="1573"/>
      <c r="D538" s="1573"/>
      <c r="E538" s="1573"/>
      <c r="F538" s="1300">
        <f>ROUND((5%*(F525)),4)</f>
        <v>10984.95</v>
      </c>
      <c r="G538" s="1303">
        <f>+G535</f>
        <v>25</v>
      </c>
      <c r="H538" s="1302">
        <f>+F538*G538</f>
        <v>274623.75</v>
      </c>
    </row>
    <row r="539" spans="1:8">
      <c r="A539" s="168" t="s">
        <v>787</v>
      </c>
      <c r="B539" s="1573" t="s">
        <v>788</v>
      </c>
      <c r="C539" s="1573"/>
      <c r="D539" s="1573"/>
      <c r="E539" s="1573"/>
      <c r="F539" s="1300">
        <f>ROUND((8%*(F536)),4)</f>
        <v>99738.155199999994</v>
      </c>
      <c r="G539" s="1303">
        <f>+G538</f>
        <v>25</v>
      </c>
      <c r="H539" s="1302">
        <f>+F539*G539</f>
        <v>2493453.88</v>
      </c>
    </row>
    <row r="540" spans="1:8">
      <c r="A540" s="168"/>
      <c r="B540" s="169" t="s">
        <v>789</v>
      </c>
      <c r="C540" s="169" t="s">
        <v>243</v>
      </c>
      <c r="D540" s="94" t="s">
        <v>243</v>
      </c>
      <c r="E540" s="170" t="s">
        <v>243</v>
      </c>
      <c r="F540" s="1300">
        <f>SUM(F538:F539)</f>
        <v>110723.10519999999</v>
      </c>
      <c r="G540" s="1303">
        <f>+G539</f>
        <v>25</v>
      </c>
      <c r="H540" s="1302">
        <f>+F540*G540</f>
        <v>2768077.63</v>
      </c>
    </row>
    <row r="541" spans="1:8">
      <c r="A541" s="168"/>
      <c r="B541" s="1513" t="s">
        <v>790</v>
      </c>
      <c r="C541" s="1513"/>
      <c r="D541" s="1513"/>
      <c r="E541" s="1188">
        <f>+E525+E536</f>
        <v>279839.69</v>
      </c>
      <c r="F541" s="1300">
        <f>+F525+F536</f>
        <v>1466425.94</v>
      </c>
      <c r="G541" s="1303">
        <f>+G540</f>
        <v>25</v>
      </c>
      <c r="H541" s="1302">
        <f>+F541*G541</f>
        <v>36660648.5</v>
      </c>
    </row>
    <row r="542" spans="1:8">
      <c r="A542" s="1297"/>
      <c r="B542" s="1298" t="s">
        <v>791</v>
      </c>
      <c r="C542" s="1298"/>
      <c r="D542" s="1299"/>
      <c r="E542" s="1300"/>
      <c r="F542" s="1300">
        <f>+F540+F541</f>
        <v>1577149.0452000001</v>
      </c>
      <c r="G542" s="1303">
        <f>+G541</f>
        <v>25</v>
      </c>
      <c r="H542" s="1302">
        <f>+F542*G542</f>
        <v>39428726.130000003</v>
      </c>
    </row>
    <row r="543" spans="1:8" ht="18">
      <c r="A543" s="168" t="s">
        <v>792</v>
      </c>
      <c r="B543" s="1511" t="s">
        <v>793</v>
      </c>
      <c r="C543" s="1511"/>
      <c r="D543" s="1511"/>
      <c r="E543" s="1511"/>
      <c r="F543" s="1511"/>
      <c r="G543" s="1511"/>
      <c r="H543" s="1511"/>
    </row>
    <row r="544" spans="1:8" ht="49.5">
      <c r="A544" s="175" t="s">
        <v>794</v>
      </c>
      <c r="B544" s="153" t="s">
        <v>50</v>
      </c>
      <c r="C544" s="95" t="s">
        <v>51</v>
      </c>
      <c r="D544" s="96" t="s">
        <v>52</v>
      </c>
      <c r="E544" s="164" t="s">
        <v>53</v>
      </c>
      <c r="F544" s="164" t="s">
        <v>54</v>
      </c>
      <c r="G544" s="318" t="s">
        <v>186</v>
      </c>
      <c r="H544" s="165" t="s">
        <v>248</v>
      </c>
    </row>
    <row r="545" spans="1:8" ht="18">
      <c r="A545" s="1304"/>
      <c r="B545" s="1305"/>
      <c r="C545" s="1306"/>
      <c r="D545" s="1307"/>
      <c r="E545" s="1308"/>
      <c r="F545" s="1309"/>
      <c r="G545" s="1310"/>
      <c r="H545" s="1311"/>
    </row>
    <row r="546" spans="1:8">
      <c r="A546" s="1312" t="s">
        <v>795</v>
      </c>
      <c r="B546" s="858" t="s">
        <v>189</v>
      </c>
    </row>
    <row r="547" spans="1:8">
      <c r="A547" s="177" t="s">
        <v>796</v>
      </c>
      <c r="B547" s="1257" t="s">
        <v>752</v>
      </c>
      <c r="C547" s="1258" t="s">
        <v>753</v>
      </c>
      <c r="D547" s="1227">
        <v>0.5</v>
      </c>
      <c r="E547" s="181">
        <v>73233</v>
      </c>
      <c r="F547" s="1313">
        <f>E547*D547</f>
        <v>36616.5</v>
      </c>
      <c r="G547" s="1314">
        <f>+G535</f>
        <v>25</v>
      </c>
      <c r="H547" s="1315">
        <f>+F547*G547</f>
        <v>915412.5</v>
      </c>
    </row>
    <row r="548" spans="1:8">
      <c r="A548" s="177" t="s">
        <v>797</v>
      </c>
      <c r="B548" s="1257" t="s">
        <v>755</v>
      </c>
      <c r="C548" s="1258" t="s">
        <v>753</v>
      </c>
      <c r="D548" s="1227">
        <v>0.5</v>
      </c>
      <c r="E548" s="181">
        <v>73233</v>
      </c>
      <c r="F548" s="1313">
        <f>E548*D548</f>
        <v>36616.5</v>
      </c>
      <c r="G548" s="1314">
        <f>+G547</f>
        <v>25</v>
      </c>
      <c r="H548" s="1315">
        <f>+F548*G548</f>
        <v>915412.5</v>
      </c>
    </row>
    <row r="549" spans="1:8">
      <c r="A549" s="177"/>
      <c r="B549" s="1232" t="s">
        <v>798</v>
      </c>
      <c r="C549" s="85"/>
      <c r="D549" s="1228"/>
      <c r="E549" s="1229">
        <f>SUM(E547:E548)</f>
        <v>146466</v>
      </c>
      <c r="F549" s="1160">
        <f>SUM(F547:F548)</f>
        <v>73233</v>
      </c>
      <c r="G549" s="1316"/>
      <c r="H549" s="1317">
        <f>SUM(H547:H548)</f>
        <v>1830825</v>
      </c>
    </row>
    <row r="550" spans="1:8">
      <c r="A550" s="177" t="s">
        <v>799</v>
      </c>
      <c r="B550" s="1318" t="s">
        <v>304</v>
      </c>
      <c r="C550" s="1319"/>
      <c r="D550" s="1320"/>
      <c r="E550" s="1321"/>
      <c r="F550" s="1321"/>
      <c r="G550" s="1322"/>
      <c r="H550" s="1323"/>
    </row>
    <row r="551" spans="1:8">
      <c r="A551" s="177" t="s">
        <v>800</v>
      </c>
      <c r="B551" s="1324" t="s">
        <v>801</v>
      </c>
      <c r="C551" s="1325" t="s">
        <v>802</v>
      </c>
      <c r="D551" s="1295">
        <v>1</v>
      </c>
      <c r="E551" s="1214">
        <v>192667</v>
      </c>
      <c r="F551" s="1287">
        <f>E551*D551</f>
        <v>192667</v>
      </c>
      <c r="G551" s="1326">
        <f>+G547</f>
        <v>25</v>
      </c>
      <c r="H551" s="1323">
        <f>+F551*G551</f>
        <v>4816675</v>
      </c>
    </row>
    <row r="552" spans="1:8">
      <c r="A552" s="177" t="s">
        <v>803</v>
      </c>
      <c r="B552" s="1324" t="s">
        <v>804</v>
      </c>
      <c r="C552" s="1325" t="s">
        <v>805</v>
      </c>
      <c r="D552" s="1295">
        <v>1</v>
      </c>
      <c r="E552" s="1214">
        <v>16720</v>
      </c>
      <c r="F552" s="1287">
        <f>E552*D552</f>
        <v>16720</v>
      </c>
      <c r="G552" s="1326">
        <f>+G551</f>
        <v>25</v>
      </c>
      <c r="H552" s="1323">
        <f>+F552*G552</f>
        <v>418000</v>
      </c>
    </row>
    <row r="553" spans="1:8">
      <c r="A553" s="177" t="s">
        <v>806</v>
      </c>
      <c r="B553" s="1324" t="s">
        <v>807</v>
      </c>
      <c r="C553" s="1325" t="s">
        <v>808</v>
      </c>
      <c r="D553" s="1295">
        <v>1</v>
      </c>
      <c r="E553" s="1214">
        <v>12330</v>
      </c>
      <c r="F553" s="1287">
        <f>E553*D553</f>
        <v>12330</v>
      </c>
      <c r="G553" s="1326">
        <f>+G552</f>
        <v>25</v>
      </c>
      <c r="H553" s="1323">
        <f>+F553*G553</f>
        <v>308250</v>
      </c>
    </row>
    <row r="554" spans="1:8">
      <c r="A554" s="177" t="s">
        <v>809</v>
      </c>
      <c r="B554" s="1324" t="s">
        <v>810</v>
      </c>
      <c r="C554" s="1037" t="s">
        <v>224</v>
      </c>
      <c r="D554" s="1327">
        <f>1/5</f>
        <v>0.2</v>
      </c>
      <c r="E554" s="1214">
        <v>60500</v>
      </c>
      <c r="F554" s="1287">
        <f>E554*D554</f>
        <v>12100</v>
      </c>
      <c r="G554" s="1326">
        <f>+G553</f>
        <v>25</v>
      </c>
      <c r="H554" s="1323">
        <f>+F554*G554</f>
        <v>302500</v>
      </c>
    </row>
    <row r="555" spans="1:8">
      <c r="A555" s="177" t="s">
        <v>811</v>
      </c>
      <c r="B555" s="1328" t="s">
        <v>812</v>
      </c>
      <c r="C555" s="1329" t="s">
        <v>655</v>
      </c>
      <c r="D555" s="1330">
        <v>0.5</v>
      </c>
      <c r="E555" s="1331">
        <v>106345</v>
      </c>
      <c r="F555" s="1287">
        <f>E555*D555</f>
        <v>53172.5</v>
      </c>
      <c r="G555" s="1326">
        <f>+G554</f>
        <v>25</v>
      </c>
      <c r="H555" s="1323">
        <f>+F555*G555</f>
        <v>1329312.5</v>
      </c>
    </row>
    <row r="556" spans="1:8">
      <c r="A556" s="1297"/>
      <c r="B556" s="1332" t="s">
        <v>813</v>
      </c>
      <c r="C556" s="1332"/>
      <c r="D556" s="1333"/>
      <c r="E556" s="1302">
        <f>SUM(E551:E555)</f>
        <v>388562</v>
      </c>
      <c r="F556" s="1300">
        <f>SUM(F551:F555)</f>
        <v>286989.5</v>
      </c>
      <c r="G556" s="1334"/>
      <c r="H556" s="1302">
        <f>SUM(H551:H555)</f>
        <v>7174737.5</v>
      </c>
    </row>
    <row r="557" spans="1:8" ht="49.5">
      <c r="A557" s="175" t="s">
        <v>814</v>
      </c>
      <c r="B557" s="167" t="s">
        <v>815</v>
      </c>
      <c r="C557" s="95" t="s">
        <v>51</v>
      </c>
      <c r="D557" s="96" t="s">
        <v>52</v>
      </c>
      <c r="E557" s="164" t="s">
        <v>53</v>
      </c>
      <c r="F557" s="164" t="s">
        <v>54</v>
      </c>
      <c r="G557" s="318" t="s">
        <v>186</v>
      </c>
      <c r="H557" s="165" t="s">
        <v>248</v>
      </c>
    </row>
    <row r="558" spans="1:8">
      <c r="A558" s="168" t="s">
        <v>816</v>
      </c>
      <c r="B558" s="1573" t="s">
        <v>817</v>
      </c>
      <c r="C558" s="1573"/>
      <c r="D558" s="1573"/>
      <c r="E558" s="1573"/>
      <c r="F558" s="1300">
        <f>ROUND((5%*(F549)),4)</f>
        <v>3661.65</v>
      </c>
      <c r="G558" s="1303">
        <f>+G555</f>
        <v>25</v>
      </c>
      <c r="H558" s="1302">
        <f>+F558*G558</f>
        <v>91541.25</v>
      </c>
    </row>
    <row r="559" spans="1:8">
      <c r="A559" s="168" t="s">
        <v>818</v>
      </c>
      <c r="B559" s="1573" t="s">
        <v>819</v>
      </c>
      <c r="C559" s="1573"/>
      <c r="D559" s="1573"/>
      <c r="E559" s="1573"/>
      <c r="F559" s="1300">
        <f>ROUND((8%*(F556)),4)</f>
        <v>22959.16</v>
      </c>
      <c r="G559" s="1303">
        <f>+G558</f>
        <v>25</v>
      </c>
      <c r="H559" s="1302">
        <f>+F559*G559</f>
        <v>573979</v>
      </c>
    </row>
    <row r="560" spans="1:8">
      <c r="A560" s="168"/>
      <c r="B560" s="169" t="s">
        <v>820</v>
      </c>
      <c r="C560" s="169" t="s">
        <v>243</v>
      </c>
      <c r="D560" s="94" t="s">
        <v>243</v>
      </c>
      <c r="E560" s="170" t="s">
        <v>243</v>
      </c>
      <c r="F560" s="1300">
        <f>SUM(F558:F559)</f>
        <v>26620.81</v>
      </c>
      <c r="G560" s="1303">
        <f>+G559</f>
        <v>25</v>
      </c>
      <c r="H560" s="1302">
        <f>+F560*G560</f>
        <v>665520.25</v>
      </c>
    </row>
    <row r="561" spans="1:8">
      <c r="A561" s="168"/>
      <c r="B561" s="1513" t="s">
        <v>821</v>
      </c>
      <c r="C561" s="1513"/>
      <c r="D561" s="1513"/>
      <c r="E561" s="1188">
        <f>+E549+E556</f>
        <v>535028</v>
      </c>
      <c r="F561" s="1335">
        <f>+F549+F556</f>
        <v>360222.5</v>
      </c>
      <c r="G561" s="1303">
        <f>+G560</f>
        <v>25</v>
      </c>
      <c r="H561" s="1302">
        <f>+F561*G561</f>
        <v>9005562.5</v>
      </c>
    </row>
    <row r="562" spans="1:8">
      <c r="A562" s="168"/>
      <c r="B562" s="205" t="s">
        <v>822</v>
      </c>
      <c r="C562" s="1336"/>
      <c r="D562" s="1336"/>
      <c r="E562" s="1337"/>
      <c r="F562" s="1338">
        <f>+F560+F561</f>
        <v>386843.31</v>
      </c>
      <c r="G562" s="1303">
        <f>+G561</f>
        <v>25</v>
      </c>
      <c r="H562" s="1302">
        <f>+F562*G562</f>
        <v>9671082.75</v>
      </c>
    </row>
    <row r="563" spans="1:8" ht="18">
      <c r="A563" s="168" t="s">
        <v>823</v>
      </c>
      <c r="B563" s="1511" t="s">
        <v>824</v>
      </c>
      <c r="C563" s="1511"/>
      <c r="D563" s="1511"/>
      <c r="E563" s="1511"/>
      <c r="F563" s="1511"/>
      <c r="G563" s="1511"/>
      <c r="H563" s="1511"/>
    </row>
    <row r="564" spans="1:8" ht="49.5">
      <c r="A564" s="175" t="s">
        <v>825</v>
      </c>
      <c r="B564" s="153" t="s">
        <v>50</v>
      </c>
      <c r="C564" s="95" t="s">
        <v>51</v>
      </c>
      <c r="D564" s="96" t="s">
        <v>52</v>
      </c>
      <c r="E564" s="164" t="s">
        <v>53</v>
      </c>
      <c r="F564" s="164" t="s">
        <v>54</v>
      </c>
      <c r="G564" s="318" t="s">
        <v>186</v>
      </c>
      <c r="H564" s="165" t="s">
        <v>248</v>
      </c>
    </row>
    <row r="565" spans="1:8">
      <c r="A565" s="1339" t="s">
        <v>826</v>
      </c>
      <c r="B565" s="858" t="s">
        <v>189</v>
      </c>
    </row>
    <row r="566" spans="1:8">
      <c r="A566" s="88" t="s">
        <v>827</v>
      </c>
      <c r="B566" s="1340" t="s">
        <v>828</v>
      </c>
      <c r="C566" s="1258" t="s">
        <v>753</v>
      </c>
      <c r="D566" s="1234">
        <v>2</v>
      </c>
      <c r="E566" s="181">
        <v>73233</v>
      </c>
      <c r="F566" s="182">
        <f>E566*D566</f>
        <v>146466</v>
      </c>
      <c r="G566" s="942">
        <f>+G551</f>
        <v>25</v>
      </c>
      <c r="H566" s="1226">
        <f>+F566*G566</f>
        <v>3661650</v>
      </c>
    </row>
    <row r="567" spans="1:8">
      <c r="A567" s="88" t="s">
        <v>829</v>
      </c>
      <c r="B567" s="1340" t="s">
        <v>755</v>
      </c>
      <c r="C567" s="1258" t="s">
        <v>753</v>
      </c>
      <c r="D567" s="1234">
        <v>1</v>
      </c>
      <c r="E567" s="181">
        <v>73233</v>
      </c>
      <c r="F567" s="182">
        <f>E567*D567</f>
        <v>73233</v>
      </c>
      <c r="G567" s="942">
        <f>+G566</f>
        <v>25</v>
      </c>
      <c r="H567" s="1226">
        <f>+F567*G567</f>
        <v>1830825</v>
      </c>
    </row>
    <row r="568" spans="1:8">
      <c r="A568" s="1341"/>
      <c r="B568" s="1232" t="s">
        <v>830</v>
      </c>
      <c r="C568" s="85"/>
      <c r="D568" s="91">
        <f>SUM(D566:D567)</f>
        <v>3</v>
      </c>
      <c r="E568" s="183">
        <f>SUM(E566:E567)</f>
        <v>146466</v>
      </c>
      <c r="F568" s="185">
        <f>SUM(F566:F567)</f>
        <v>219699</v>
      </c>
      <c r="G568" s="944"/>
      <c r="H568" s="1261">
        <f>SUM(H566:H567)</f>
        <v>5492475</v>
      </c>
    </row>
    <row r="569" spans="1:8">
      <c r="A569" s="168" t="s">
        <v>831</v>
      </c>
      <c r="B569" s="1291" t="s">
        <v>304</v>
      </c>
      <c r="C569" s="85"/>
      <c r="D569" s="91"/>
      <c r="E569" s="183"/>
      <c r="F569" s="206"/>
      <c r="G569" s="941"/>
      <c r="H569" s="1261"/>
    </row>
    <row r="570" spans="1:8">
      <c r="A570" s="168" t="s">
        <v>832</v>
      </c>
      <c r="B570" s="1166" t="s">
        <v>833</v>
      </c>
      <c r="C570" s="1212" t="s">
        <v>720</v>
      </c>
      <c r="D570" s="1342">
        <v>3.3333333333333333E-2</v>
      </c>
      <c r="E570" s="181">
        <v>60500</v>
      </c>
      <c r="F570" s="1287">
        <f>+D570*E570</f>
        <v>2016.6666666666667</v>
      </c>
      <c r="G570" s="945">
        <f>+G566</f>
        <v>25</v>
      </c>
      <c r="H570" s="174">
        <f>+F570*G570</f>
        <v>50416.666666666672</v>
      </c>
    </row>
    <row r="571" spans="1:8">
      <c r="A571" s="168" t="s">
        <v>834</v>
      </c>
      <c r="B571" s="1195" t="s">
        <v>835</v>
      </c>
      <c r="C571" s="178" t="s">
        <v>836</v>
      </c>
      <c r="D571" s="1202">
        <v>1</v>
      </c>
      <c r="E571" s="181">
        <v>8100</v>
      </c>
      <c r="F571" s="1287">
        <f>+D571*E571</f>
        <v>8100</v>
      </c>
      <c r="G571" s="945">
        <f>+G570</f>
        <v>25</v>
      </c>
      <c r="H571" s="174">
        <f>+F571*G571</f>
        <v>202500</v>
      </c>
    </row>
    <row r="572" spans="1:8">
      <c r="A572" s="168" t="s">
        <v>837</v>
      </c>
      <c r="B572" s="1195" t="s">
        <v>838</v>
      </c>
      <c r="C572" s="1207" t="s">
        <v>720</v>
      </c>
      <c r="D572" s="1208">
        <v>1</v>
      </c>
      <c r="E572" s="181">
        <v>71000</v>
      </c>
      <c r="F572" s="1287">
        <f>+D572*E572</f>
        <v>71000</v>
      </c>
      <c r="G572" s="945">
        <f>+G571</f>
        <v>25</v>
      </c>
      <c r="H572" s="174">
        <f>+F572*G572</f>
        <v>1775000</v>
      </c>
    </row>
    <row r="573" spans="1:8">
      <c r="A573" s="168" t="s">
        <v>839</v>
      </c>
      <c r="B573" s="1195" t="s">
        <v>840</v>
      </c>
      <c r="C573" s="1207" t="s">
        <v>841</v>
      </c>
      <c r="D573" s="1208">
        <v>4</v>
      </c>
      <c r="E573" s="181">
        <v>72400</v>
      </c>
      <c r="F573" s="1287">
        <f>+D573*E573</f>
        <v>289600</v>
      </c>
      <c r="G573" s="945">
        <f>+G572</f>
        <v>25</v>
      </c>
      <c r="H573" s="174">
        <f>+F573*G573</f>
        <v>7240000</v>
      </c>
    </row>
    <row r="574" spans="1:8">
      <c r="A574" s="168" t="s">
        <v>842</v>
      </c>
      <c r="B574" s="1343" t="s">
        <v>843</v>
      </c>
      <c r="C574" s="1329" t="s">
        <v>844</v>
      </c>
      <c r="D574" s="1344">
        <v>1</v>
      </c>
      <c r="E574" s="181">
        <v>92450</v>
      </c>
      <c r="F574" s="1287">
        <f>+D574*E574</f>
        <v>92450</v>
      </c>
      <c r="G574" s="1345">
        <f>+G573</f>
        <v>25</v>
      </c>
      <c r="H574" s="174">
        <f>+F574*G574</f>
        <v>2311250</v>
      </c>
    </row>
    <row r="575" spans="1:8">
      <c r="A575" s="151"/>
      <c r="B575" s="1332" t="s">
        <v>845</v>
      </c>
      <c r="C575" s="1332"/>
      <c r="D575" s="1333"/>
      <c r="E575" s="1302">
        <f>SUM(E570:E574)</f>
        <v>304450</v>
      </c>
      <c r="F575" s="1300">
        <f>SUM(F570:F574)</f>
        <v>463166.66666666669</v>
      </c>
      <c r="G575" s="1346"/>
      <c r="H575" s="1302">
        <f>SUM(H570:H574)</f>
        <v>11579166.666666666</v>
      </c>
    </row>
    <row r="576" spans="1:8" ht="49.5">
      <c r="A576" s="175" t="s">
        <v>846</v>
      </c>
      <c r="B576" s="167" t="s">
        <v>847</v>
      </c>
      <c r="C576" s="95" t="s">
        <v>51</v>
      </c>
      <c r="D576" s="96" t="s">
        <v>52</v>
      </c>
      <c r="E576" s="164" t="s">
        <v>53</v>
      </c>
      <c r="F576" s="164" t="s">
        <v>54</v>
      </c>
      <c r="G576" s="318" t="s">
        <v>186</v>
      </c>
      <c r="H576" s="165" t="s">
        <v>248</v>
      </c>
    </row>
    <row r="577" spans="1:8">
      <c r="A577" s="168" t="s">
        <v>848</v>
      </c>
      <c r="B577" s="1573" t="s">
        <v>849</v>
      </c>
      <c r="C577" s="1573"/>
      <c r="D577" s="1573"/>
      <c r="E577" s="1573"/>
      <c r="F577" s="1300">
        <f>ROUND((5%*(F568)),4)</f>
        <v>10984.95</v>
      </c>
      <c r="G577" s="1303">
        <f>+G574</f>
        <v>25</v>
      </c>
      <c r="H577" s="1302">
        <f>+F577*G577</f>
        <v>274623.75</v>
      </c>
    </row>
    <row r="578" spans="1:8">
      <c r="A578" s="168" t="s">
        <v>850</v>
      </c>
      <c r="B578" s="1573" t="s">
        <v>851</v>
      </c>
      <c r="C578" s="1573"/>
      <c r="D578" s="1573"/>
      <c r="E578" s="1573"/>
      <c r="F578" s="1300">
        <f>ROUND((8%*(F575)),4)</f>
        <v>37053.333299999998</v>
      </c>
      <c r="G578" s="1303">
        <f>+G577</f>
        <v>25</v>
      </c>
      <c r="H578" s="1302">
        <f>+F578*G578</f>
        <v>926333.33250000002</v>
      </c>
    </row>
    <row r="579" spans="1:8">
      <c r="A579" s="168"/>
      <c r="B579" s="169" t="s">
        <v>852</v>
      </c>
      <c r="C579" s="169" t="s">
        <v>243</v>
      </c>
      <c r="D579" s="94" t="s">
        <v>243</v>
      </c>
      <c r="E579" s="170" t="s">
        <v>243</v>
      </c>
      <c r="F579" s="1183">
        <f>SUM(F577:F578)</f>
        <v>48038.283299999996</v>
      </c>
      <c r="G579" s="1303">
        <f>+G578</f>
        <v>25</v>
      </c>
      <c r="H579" s="1302">
        <f>+F579*G579</f>
        <v>1200957.0824999998</v>
      </c>
    </row>
    <row r="580" spans="1:8">
      <c r="A580" s="168"/>
      <c r="B580" s="169" t="s">
        <v>853</v>
      </c>
      <c r="C580" s="207"/>
      <c r="D580" s="152"/>
      <c r="E580" s="208"/>
      <c r="F580" s="1347">
        <f>+F568+F575</f>
        <v>682865.66666666674</v>
      </c>
      <c r="G580" s="1348">
        <f>+G579</f>
        <v>25</v>
      </c>
      <c r="H580" s="1302">
        <f>+F580*G580</f>
        <v>17071641.666666668</v>
      </c>
    </row>
    <row r="581" spans="1:8">
      <c r="A581" s="168"/>
      <c r="B581" s="205" t="s">
        <v>854</v>
      </c>
      <c r="C581" s="207"/>
      <c r="D581" s="152"/>
      <c r="E581" s="208"/>
      <c r="F581" s="1347">
        <f>+F579+F580</f>
        <v>730903.94996666675</v>
      </c>
      <c r="G581" s="1348">
        <f>+G580</f>
        <v>25</v>
      </c>
      <c r="H581" s="1302">
        <f>+F581*G581</f>
        <v>18272598.749166667</v>
      </c>
    </row>
    <row r="582" spans="1:8" ht="18">
      <c r="A582" s="168" t="s">
        <v>855</v>
      </c>
      <c r="B582" s="1511" t="s">
        <v>856</v>
      </c>
      <c r="C582" s="1511"/>
      <c r="D582" s="1511"/>
      <c r="E582" s="1511"/>
      <c r="F582" s="1512"/>
      <c r="G582" s="1511"/>
      <c r="H582" s="1511"/>
    </row>
    <row r="583" spans="1:8" ht="49.5">
      <c r="A583" s="80" t="s">
        <v>857</v>
      </c>
      <c r="B583" s="153" t="s">
        <v>50</v>
      </c>
      <c r="C583" s="95" t="s">
        <v>51</v>
      </c>
      <c r="D583" s="96" t="s">
        <v>52</v>
      </c>
      <c r="E583" s="164" t="s">
        <v>53</v>
      </c>
      <c r="F583" s="164" t="s">
        <v>54</v>
      </c>
      <c r="G583" s="318" t="s">
        <v>186</v>
      </c>
      <c r="H583" s="165" t="s">
        <v>248</v>
      </c>
    </row>
    <row r="584" spans="1:8">
      <c r="A584" s="1186" t="s">
        <v>858</v>
      </c>
      <c r="B584" s="1349" t="s">
        <v>304</v>
      </c>
      <c r="C584" s="1350"/>
      <c r="D584" s="1351"/>
      <c r="E584" s="1352"/>
      <c r="F584" s="1353"/>
      <c r="G584" s="1205"/>
      <c r="H584" s="174"/>
    </row>
    <row r="585" spans="1:8">
      <c r="A585" s="1186" t="s">
        <v>858</v>
      </c>
      <c r="B585" s="1354" t="s">
        <v>859</v>
      </c>
      <c r="C585" s="1355" t="s">
        <v>860</v>
      </c>
      <c r="D585" s="1356">
        <v>1</v>
      </c>
      <c r="E585" s="1357">
        <v>2570000</v>
      </c>
      <c r="F585" s="1358">
        <f>E585*D585</f>
        <v>2570000</v>
      </c>
      <c r="G585" s="1359">
        <f>+G574</f>
        <v>25</v>
      </c>
      <c r="H585" s="1144">
        <f>+F585*G585</f>
        <v>64250000</v>
      </c>
    </row>
    <row r="586" spans="1:8">
      <c r="A586" s="1360"/>
      <c r="B586" s="1332" t="s">
        <v>861</v>
      </c>
      <c r="C586" s="1361"/>
      <c r="D586" s="1362"/>
      <c r="E586" s="1302">
        <f>SUM(E585)</f>
        <v>2570000</v>
      </c>
      <c r="F586" s="1300">
        <f>F585</f>
        <v>2570000</v>
      </c>
      <c r="G586" s="1363">
        <f>+G585</f>
        <v>25</v>
      </c>
      <c r="H586" s="1302">
        <f>SUM(H585)</f>
        <v>64250000</v>
      </c>
    </row>
    <row r="587" spans="1:8" ht="18">
      <c r="A587" s="168" t="s">
        <v>862</v>
      </c>
      <c r="B587" s="1511" t="s">
        <v>863</v>
      </c>
      <c r="C587" s="1511"/>
      <c r="D587" s="1511"/>
      <c r="E587" s="1511"/>
      <c r="F587" s="1511"/>
      <c r="G587" s="1511"/>
      <c r="H587" s="1511"/>
    </row>
    <row r="588" spans="1:8" ht="49.5">
      <c r="A588" s="80" t="s">
        <v>864</v>
      </c>
      <c r="B588" s="153" t="s">
        <v>50</v>
      </c>
      <c r="C588" s="95" t="s">
        <v>51</v>
      </c>
      <c r="D588" s="96" t="s">
        <v>52</v>
      </c>
      <c r="E588" s="164" t="s">
        <v>53</v>
      </c>
      <c r="F588" s="164" t="s">
        <v>54</v>
      </c>
      <c r="G588" s="318" t="s">
        <v>186</v>
      </c>
      <c r="H588" s="165" t="s">
        <v>248</v>
      </c>
    </row>
    <row r="589" spans="1:8">
      <c r="A589" s="177" t="s">
        <v>865</v>
      </c>
      <c r="B589" s="1404" t="s">
        <v>189</v>
      </c>
      <c r="C589" s="1404"/>
      <c r="D589" s="1404"/>
      <c r="E589" s="1404"/>
      <c r="F589" s="1404"/>
      <c r="G589" s="1256"/>
      <c r="H589" s="1226"/>
    </row>
    <row r="590" spans="1:8">
      <c r="A590" s="177" t="s">
        <v>866</v>
      </c>
      <c r="B590" s="209" t="s">
        <v>867</v>
      </c>
      <c r="C590" s="209" t="s">
        <v>290</v>
      </c>
      <c r="D590" s="1202">
        <v>1</v>
      </c>
      <c r="E590" s="181">
        <v>73233</v>
      </c>
      <c r="F590" s="182">
        <f>+D590*E590</f>
        <v>73233</v>
      </c>
      <c r="G590" s="942">
        <v>15</v>
      </c>
      <c r="H590" s="1226">
        <f>+F590*G590</f>
        <v>1098495</v>
      </c>
    </row>
    <row r="591" spans="1:8">
      <c r="A591" s="177" t="s">
        <v>868</v>
      </c>
      <c r="B591" s="209" t="s">
        <v>755</v>
      </c>
      <c r="C591" s="209" t="s">
        <v>290</v>
      </c>
      <c r="D591" s="1202">
        <v>1</v>
      </c>
      <c r="E591" s="181">
        <v>73233</v>
      </c>
      <c r="F591" s="182">
        <f>+D591*E591</f>
        <v>73233</v>
      </c>
      <c r="G591" s="942">
        <f>+G590</f>
        <v>15</v>
      </c>
      <c r="H591" s="1226">
        <f>+F591*G591</f>
        <v>1098495</v>
      </c>
    </row>
    <row r="592" spans="1:8">
      <c r="A592" s="177" t="s">
        <v>869</v>
      </c>
      <c r="B592" s="209" t="s">
        <v>870</v>
      </c>
      <c r="C592" s="209" t="s">
        <v>290</v>
      </c>
      <c r="D592" s="1202">
        <v>1</v>
      </c>
      <c r="E592" s="181">
        <v>73233</v>
      </c>
      <c r="F592" s="182">
        <f>+D592*E592</f>
        <v>73233</v>
      </c>
      <c r="G592" s="942">
        <f>+G591</f>
        <v>15</v>
      </c>
      <c r="H592" s="1226">
        <f>+F592*G592</f>
        <v>1098495</v>
      </c>
    </row>
    <row r="593" spans="1:8">
      <c r="A593" s="177" t="s">
        <v>871</v>
      </c>
      <c r="B593" s="209" t="s">
        <v>872</v>
      </c>
      <c r="C593" s="209" t="s">
        <v>290</v>
      </c>
      <c r="D593" s="1202">
        <v>1</v>
      </c>
      <c r="E593" s="181">
        <v>73233</v>
      </c>
      <c r="F593" s="182">
        <f>+D593*E593</f>
        <v>73233</v>
      </c>
      <c r="G593" s="942">
        <f>+G592</f>
        <v>15</v>
      </c>
      <c r="H593" s="1226">
        <f>+F593*G593</f>
        <v>1098495</v>
      </c>
    </row>
    <row r="594" spans="1:8">
      <c r="A594" s="177"/>
      <c r="B594" s="210" t="s">
        <v>873</v>
      </c>
      <c r="C594" s="85"/>
      <c r="D594" s="1202" t="s">
        <v>241</v>
      </c>
      <c r="E594" s="181" t="s">
        <v>241</v>
      </c>
      <c r="F594" s="185">
        <f>SUM(F590:F593)</f>
        <v>292932</v>
      </c>
      <c r="G594" s="942">
        <f>+G593</f>
        <v>15</v>
      </c>
      <c r="H594" s="1261">
        <f>SUM(H590:H593)</f>
        <v>4393980</v>
      </c>
    </row>
    <row r="595" spans="1:8">
      <c r="A595" s="168" t="s">
        <v>874</v>
      </c>
      <c r="B595" s="211" t="s">
        <v>304</v>
      </c>
      <c r="C595" s="93"/>
      <c r="D595" s="91"/>
      <c r="E595" s="183"/>
      <c r="F595" s="206"/>
      <c r="G595" s="941"/>
      <c r="H595" s="191"/>
    </row>
    <row r="596" spans="1:8">
      <c r="A596" s="168" t="s">
        <v>875</v>
      </c>
      <c r="B596" s="209" t="s">
        <v>876</v>
      </c>
      <c r="C596" s="209" t="s">
        <v>720</v>
      </c>
      <c r="D596" s="209">
        <v>20</v>
      </c>
      <c r="E596" s="181">
        <v>28967</v>
      </c>
      <c r="F596" s="182">
        <f t="shared" ref="F596:F602" si="59">+D596*E596</f>
        <v>579340</v>
      </c>
      <c r="G596" s="942">
        <f>+G594</f>
        <v>15</v>
      </c>
      <c r="H596" s="191">
        <f>+F596*G596</f>
        <v>8690100</v>
      </c>
    </row>
    <row r="597" spans="1:8">
      <c r="A597" s="168" t="s">
        <v>877</v>
      </c>
      <c r="B597" s="209" t="s">
        <v>878</v>
      </c>
      <c r="C597" s="209" t="s">
        <v>879</v>
      </c>
      <c r="D597" s="209">
        <v>2</v>
      </c>
      <c r="E597" s="181">
        <v>297500</v>
      </c>
      <c r="F597" s="182">
        <f t="shared" si="59"/>
        <v>595000</v>
      </c>
      <c r="G597" s="942">
        <f t="shared" ref="G597:G603" si="60">+G596</f>
        <v>15</v>
      </c>
      <c r="H597" s="191">
        <f t="shared" ref="H597:H600" si="61">+F597*G597</f>
        <v>8925000</v>
      </c>
    </row>
    <row r="598" spans="1:8">
      <c r="A598" s="168" t="s">
        <v>880</v>
      </c>
      <c r="B598" s="209" t="s">
        <v>881</v>
      </c>
      <c r="C598" s="209" t="s">
        <v>882</v>
      </c>
      <c r="D598" s="209">
        <v>10</v>
      </c>
      <c r="E598" s="181">
        <v>46750</v>
      </c>
      <c r="F598" s="182">
        <f t="shared" si="59"/>
        <v>467500</v>
      </c>
      <c r="G598" s="942">
        <f t="shared" si="60"/>
        <v>15</v>
      </c>
      <c r="H598" s="191">
        <f t="shared" si="61"/>
        <v>7012500</v>
      </c>
    </row>
    <row r="599" spans="1:8">
      <c r="A599" s="168" t="s">
        <v>883</v>
      </c>
      <c r="B599" s="209" t="s">
        <v>884</v>
      </c>
      <c r="C599" s="209" t="s">
        <v>720</v>
      </c>
      <c r="D599" s="209">
        <v>0.5</v>
      </c>
      <c r="E599" s="181">
        <v>659700</v>
      </c>
      <c r="F599" s="182">
        <f t="shared" si="59"/>
        <v>329850</v>
      </c>
      <c r="G599" s="942">
        <f t="shared" si="60"/>
        <v>15</v>
      </c>
      <c r="H599" s="191">
        <f t="shared" si="61"/>
        <v>4947750</v>
      </c>
    </row>
    <row r="600" spans="1:8">
      <c r="A600" s="168" t="s">
        <v>885</v>
      </c>
      <c r="B600" s="209" t="s">
        <v>886</v>
      </c>
      <c r="C600" s="209" t="s">
        <v>879</v>
      </c>
      <c r="D600" s="209">
        <v>30</v>
      </c>
      <c r="E600" s="181">
        <v>47275</v>
      </c>
      <c r="F600" s="182">
        <f t="shared" si="59"/>
        <v>1418250</v>
      </c>
      <c r="G600" s="942">
        <f t="shared" si="60"/>
        <v>15</v>
      </c>
      <c r="H600" s="191">
        <f t="shared" si="61"/>
        <v>21273750</v>
      </c>
    </row>
    <row r="601" spans="1:8">
      <c r="A601" s="168" t="s">
        <v>887</v>
      </c>
      <c r="B601" s="209" t="s">
        <v>888</v>
      </c>
      <c r="C601" s="209" t="s">
        <v>889</v>
      </c>
      <c r="D601" s="209">
        <v>7</v>
      </c>
      <c r="E601" s="181">
        <v>77000</v>
      </c>
      <c r="F601" s="182">
        <f t="shared" si="59"/>
        <v>539000</v>
      </c>
      <c r="G601" s="942">
        <f t="shared" si="60"/>
        <v>15</v>
      </c>
      <c r="H601" s="191">
        <f>+F601*G601</f>
        <v>8085000</v>
      </c>
    </row>
    <row r="602" spans="1:8">
      <c r="A602" s="168" t="s">
        <v>890</v>
      </c>
      <c r="B602" s="209" t="s">
        <v>891</v>
      </c>
      <c r="C602" s="209" t="s">
        <v>889</v>
      </c>
      <c r="D602" s="209">
        <v>4</v>
      </c>
      <c r="E602" s="181">
        <v>77000</v>
      </c>
      <c r="F602" s="182">
        <f t="shared" si="59"/>
        <v>308000</v>
      </c>
      <c r="G602" s="942">
        <f t="shared" si="60"/>
        <v>15</v>
      </c>
      <c r="H602" s="191">
        <f>+F602*G602</f>
        <v>4620000</v>
      </c>
    </row>
    <row r="603" spans="1:8">
      <c r="A603" s="168"/>
      <c r="B603" s="210" t="s">
        <v>892</v>
      </c>
      <c r="C603" s="212" t="s">
        <v>241</v>
      </c>
      <c r="D603" s="213" t="s">
        <v>241</v>
      </c>
      <c r="E603" s="192">
        <f>SUM(E596:E602)</f>
        <v>1234192</v>
      </c>
      <c r="F603" s="185">
        <f>SUM(F596:F602)</f>
        <v>4236940</v>
      </c>
      <c r="G603" s="942">
        <f t="shared" si="60"/>
        <v>15</v>
      </c>
      <c r="H603" s="179">
        <f>SUM(H596:H602)</f>
        <v>63554100</v>
      </c>
    </row>
    <row r="604" spans="1:8" ht="49.5">
      <c r="A604" s="175" t="s">
        <v>893</v>
      </c>
      <c r="B604" s="167" t="s">
        <v>894</v>
      </c>
      <c r="C604" s="95" t="s">
        <v>51</v>
      </c>
      <c r="D604" s="96" t="s">
        <v>52</v>
      </c>
      <c r="E604" s="164" t="s">
        <v>53</v>
      </c>
      <c r="F604" s="164" t="s">
        <v>54</v>
      </c>
      <c r="G604" s="318" t="s">
        <v>186</v>
      </c>
      <c r="H604" s="165" t="s">
        <v>248</v>
      </c>
    </row>
    <row r="605" spans="1:8">
      <c r="A605" s="215" t="s">
        <v>895</v>
      </c>
      <c r="B605" s="1573" t="s">
        <v>896</v>
      </c>
      <c r="C605" s="1573"/>
      <c r="D605" s="1573"/>
      <c r="E605" s="1573"/>
      <c r="F605" s="182">
        <f>ROUND((5%*(F594)),4)</f>
        <v>14646.6</v>
      </c>
      <c r="G605" s="942">
        <f>+G603</f>
        <v>15</v>
      </c>
      <c r="H605" s="90">
        <f>+F605*G605</f>
        <v>219699</v>
      </c>
    </row>
    <row r="606" spans="1:8">
      <c r="A606" s="215" t="s">
        <v>897</v>
      </c>
      <c r="B606" s="1573" t="s">
        <v>898</v>
      </c>
      <c r="C606" s="1573"/>
      <c r="D606" s="1573"/>
      <c r="E606" s="1573"/>
      <c r="F606" s="216">
        <f>ROUND((8%*(F603)),4)</f>
        <v>338955.2</v>
      </c>
      <c r="G606" s="942">
        <f>+G605</f>
        <v>15</v>
      </c>
      <c r="H606" s="90">
        <f>+F606*G606</f>
        <v>5084328</v>
      </c>
    </row>
    <row r="607" spans="1:8">
      <c r="A607" s="215"/>
      <c r="B607" s="169" t="s">
        <v>899</v>
      </c>
      <c r="C607" s="169" t="s">
        <v>243</v>
      </c>
      <c r="D607" s="94" t="s">
        <v>243</v>
      </c>
      <c r="E607" s="217" t="s">
        <v>243</v>
      </c>
      <c r="F607" s="192">
        <f>SUM(F605:F606)</f>
        <v>353601.8</v>
      </c>
      <c r="G607" s="943">
        <f>+G606</f>
        <v>15</v>
      </c>
      <c r="H607" s="90">
        <f>+F607*G607</f>
        <v>5304027</v>
      </c>
    </row>
    <row r="608" spans="1:8">
      <c r="A608" s="215"/>
      <c r="B608" s="878" t="s">
        <v>900</v>
      </c>
      <c r="C608" s="207"/>
      <c r="D608" s="152"/>
      <c r="E608" s="208"/>
      <c r="F608" s="218">
        <f>+F594+F603</f>
        <v>4529872</v>
      </c>
      <c r="G608" s="942">
        <f>+G607</f>
        <v>15</v>
      </c>
      <c r="H608" s="90">
        <f>+F608*G608</f>
        <v>67948080</v>
      </c>
    </row>
    <row r="609" spans="1:8">
      <c r="A609" s="911"/>
      <c r="B609" s="883" t="s">
        <v>901</v>
      </c>
      <c r="C609" s="880"/>
      <c r="D609" s="881"/>
      <c r="E609" s="882"/>
      <c r="F609" s="876">
        <f>+F607+F608</f>
        <v>4883473.8</v>
      </c>
      <c r="G609" s="942">
        <f>+G608</f>
        <v>15</v>
      </c>
      <c r="H609" s="90">
        <f>+F609*G609</f>
        <v>73252107</v>
      </c>
    </row>
    <row r="610" spans="1:8" ht="18">
      <c r="A610" s="168" t="s">
        <v>902</v>
      </c>
      <c r="B610" s="1512" t="s">
        <v>903</v>
      </c>
      <c r="C610" s="1512"/>
      <c r="D610" s="1512"/>
      <c r="E610" s="1512"/>
      <c r="F610" s="1511"/>
      <c r="G610" s="1511"/>
      <c r="H610" s="1511"/>
    </row>
    <row r="611" spans="1:8" ht="49.5">
      <c r="A611" s="80" t="s">
        <v>904</v>
      </c>
      <c r="B611" s="153" t="s">
        <v>50</v>
      </c>
      <c r="C611" s="95" t="s">
        <v>51</v>
      </c>
      <c r="D611" s="96" t="s">
        <v>52</v>
      </c>
      <c r="E611" s="164" t="s">
        <v>53</v>
      </c>
      <c r="F611" s="164" t="s">
        <v>54</v>
      </c>
      <c r="G611" s="318" t="s">
        <v>186</v>
      </c>
      <c r="H611" s="165" t="s">
        <v>248</v>
      </c>
    </row>
    <row r="612" spans="1:8">
      <c r="A612" s="177" t="s">
        <v>905</v>
      </c>
      <c r="B612" s="1404" t="s">
        <v>189</v>
      </c>
      <c r="C612" s="1404"/>
      <c r="D612" s="1404"/>
      <c r="E612" s="1404"/>
      <c r="F612" s="1404"/>
      <c r="G612" s="942"/>
      <c r="H612" s="180"/>
    </row>
    <row r="613" spans="1:8">
      <c r="A613" s="177" t="s">
        <v>905</v>
      </c>
      <c r="B613" s="166" t="s">
        <v>867</v>
      </c>
      <c r="C613" s="178" t="s">
        <v>290</v>
      </c>
      <c r="D613" s="166">
        <v>1</v>
      </c>
      <c r="E613" s="181">
        <v>73233</v>
      </c>
      <c r="F613" s="182">
        <f>E613*D613</f>
        <v>73233</v>
      </c>
      <c r="G613" s="942">
        <v>16</v>
      </c>
      <c r="H613" s="180">
        <f>+F613*G613</f>
        <v>1171728</v>
      </c>
    </row>
    <row r="614" spans="1:8">
      <c r="A614" s="177" t="s">
        <v>906</v>
      </c>
      <c r="B614" s="166" t="s">
        <v>870</v>
      </c>
      <c r="C614" s="178" t="s">
        <v>290</v>
      </c>
      <c r="D614" s="166">
        <v>1</v>
      </c>
      <c r="E614" s="181">
        <v>73233</v>
      </c>
      <c r="F614" s="182">
        <f t="shared" ref="F614:F616" si="62">E614*D614</f>
        <v>73233</v>
      </c>
      <c r="G614" s="942">
        <f>+G613</f>
        <v>16</v>
      </c>
      <c r="H614" s="180">
        <f t="shared" ref="H614:H616" si="63">+F614*G614</f>
        <v>1171728</v>
      </c>
    </row>
    <row r="615" spans="1:8">
      <c r="A615" s="177" t="s">
        <v>907</v>
      </c>
      <c r="B615" s="166" t="s">
        <v>755</v>
      </c>
      <c r="C615" s="178" t="s">
        <v>290</v>
      </c>
      <c r="D615" s="166">
        <v>1</v>
      </c>
      <c r="E615" s="181">
        <v>73233</v>
      </c>
      <c r="F615" s="182">
        <f t="shared" si="62"/>
        <v>73233</v>
      </c>
      <c r="G615" s="942">
        <f>+G614</f>
        <v>16</v>
      </c>
      <c r="H615" s="180">
        <f t="shared" si="63"/>
        <v>1171728</v>
      </c>
    </row>
    <row r="616" spans="1:8">
      <c r="A616" s="177" t="s">
        <v>908</v>
      </c>
      <c r="B616" s="166" t="s">
        <v>872</v>
      </c>
      <c r="C616" s="178" t="s">
        <v>290</v>
      </c>
      <c r="D616" s="166">
        <v>1</v>
      </c>
      <c r="E616" s="181">
        <v>73233</v>
      </c>
      <c r="F616" s="182">
        <f t="shared" si="62"/>
        <v>73233</v>
      </c>
      <c r="G616" s="942">
        <f>+G615</f>
        <v>16</v>
      </c>
      <c r="H616" s="180">
        <f t="shared" si="63"/>
        <v>1171728</v>
      </c>
    </row>
    <row r="617" spans="1:8">
      <c r="A617" s="177"/>
      <c r="B617" s="210" t="s">
        <v>909</v>
      </c>
      <c r="C617" s="85"/>
      <c r="D617" s="91"/>
      <c r="E617" s="185">
        <f>SUM(E613:E616)</f>
        <v>292932</v>
      </c>
      <c r="F617" s="185">
        <f>SUM(F613:F616)</f>
        <v>292932</v>
      </c>
      <c r="G617" s="944"/>
      <c r="H617" s="191">
        <f>SUM(H613:H616)</f>
        <v>4686912</v>
      </c>
    </row>
    <row r="618" spans="1:8">
      <c r="A618" s="168" t="s">
        <v>906</v>
      </c>
      <c r="B618" s="211" t="s">
        <v>304</v>
      </c>
      <c r="C618" s="93"/>
      <c r="D618" s="91"/>
      <c r="E618" s="183"/>
      <c r="F618" s="185"/>
      <c r="G618" s="941"/>
      <c r="H618" s="191"/>
    </row>
    <row r="619" spans="1:8">
      <c r="A619" s="168" t="s">
        <v>910</v>
      </c>
      <c r="B619" s="166" t="s">
        <v>911</v>
      </c>
      <c r="C619" s="212" t="s">
        <v>912</v>
      </c>
      <c r="D619" s="213">
        <v>20</v>
      </c>
      <c r="E619" s="181">
        <v>28967</v>
      </c>
      <c r="F619" s="192">
        <f>E619*D619</f>
        <v>579340</v>
      </c>
      <c r="G619" s="945">
        <f>+G614</f>
        <v>16</v>
      </c>
      <c r="H619" s="174">
        <f>+F619*G619</f>
        <v>9269440</v>
      </c>
    </row>
    <row r="620" spans="1:8">
      <c r="A620" s="168" t="s">
        <v>913</v>
      </c>
      <c r="B620" s="166" t="s">
        <v>884</v>
      </c>
      <c r="C620" s="212" t="s">
        <v>912</v>
      </c>
      <c r="D620" s="166">
        <v>0.5</v>
      </c>
      <c r="E620" s="219">
        <v>659700</v>
      </c>
      <c r="F620" s="192">
        <f t="shared" ref="F620:F621" si="64">E620*D620</f>
        <v>329850</v>
      </c>
      <c r="G620" s="945">
        <f t="shared" ref="G620" si="65">+G615</f>
        <v>16</v>
      </c>
      <c r="H620" s="174">
        <f t="shared" ref="H620:H621" si="66">+F620*G620</f>
        <v>5277600</v>
      </c>
    </row>
    <row r="621" spans="1:8">
      <c r="A621" s="168" t="s">
        <v>914</v>
      </c>
      <c r="B621" s="166" t="s">
        <v>886</v>
      </c>
      <c r="C621" s="212" t="s">
        <v>912</v>
      </c>
      <c r="D621" s="166">
        <v>30</v>
      </c>
      <c r="E621" s="219">
        <v>44550</v>
      </c>
      <c r="F621" s="192">
        <f t="shared" si="64"/>
        <v>1336500</v>
      </c>
      <c r="G621" s="945">
        <f>+G616</f>
        <v>16</v>
      </c>
      <c r="H621" s="174">
        <f t="shared" si="66"/>
        <v>21384000</v>
      </c>
    </row>
    <row r="622" spans="1:8">
      <c r="A622" s="168" t="s">
        <v>915</v>
      </c>
      <c r="B622" s="166" t="s">
        <v>916</v>
      </c>
      <c r="C622" s="212" t="s">
        <v>889</v>
      </c>
      <c r="D622" s="166">
        <v>4</v>
      </c>
      <c r="E622" s="219">
        <v>77000</v>
      </c>
      <c r="F622" s="182">
        <f>+D622*E622</f>
        <v>308000</v>
      </c>
      <c r="G622" s="945">
        <f>+G621</f>
        <v>16</v>
      </c>
      <c r="H622" s="174">
        <f>+F622*G622</f>
        <v>4928000</v>
      </c>
    </row>
    <row r="623" spans="1:8">
      <c r="A623" s="177"/>
      <c r="B623" s="210" t="s">
        <v>917</v>
      </c>
      <c r="C623" s="85"/>
      <c r="D623" s="91"/>
      <c r="E623" s="185">
        <f>SUM(E619:E622)</f>
        <v>810217</v>
      </c>
      <c r="F623" s="185">
        <f>SUM(F619:F622)</f>
        <v>2553690</v>
      </c>
      <c r="G623" s="945">
        <f>+G622</f>
        <v>16</v>
      </c>
      <c r="H623" s="90">
        <f>SUM(H619:H622)</f>
        <v>40859040</v>
      </c>
    </row>
    <row r="624" spans="1:8" ht="49.5">
      <c r="A624" s="177" t="s">
        <v>907</v>
      </c>
      <c r="B624" s="220" t="s">
        <v>918</v>
      </c>
      <c r="C624" s="95" t="s">
        <v>51</v>
      </c>
      <c r="D624" s="96" t="s">
        <v>52</v>
      </c>
      <c r="E624" s="164" t="s">
        <v>53</v>
      </c>
      <c r="F624" s="164" t="s">
        <v>54</v>
      </c>
      <c r="G624" s="318" t="s">
        <v>186</v>
      </c>
      <c r="H624" s="165" t="s">
        <v>248</v>
      </c>
    </row>
    <row r="625" spans="1:8">
      <c r="A625" s="177" t="s">
        <v>919</v>
      </c>
      <c r="B625" s="1573" t="s">
        <v>920</v>
      </c>
      <c r="C625" s="1573"/>
      <c r="D625" s="1573"/>
      <c r="E625" s="1573"/>
      <c r="F625" s="182">
        <f>ROUND((5%*(F617)),4)</f>
        <v>14646.6</v>
      </c>
      <c r="G625" s="942">
        <f>+G613</f>
        <v>16</v>
      </c>
      <c r="H625" s="90">
        <f>+F625*G625</f>
        <v>234345.60000000001</v>
      </c>
    </row>
    <row r="626" spans="1:8">
      <c r="A626" s="177" t="s">
        <v>921</v>
      </c>
      <c r="B626" s="1573" t="s">
        <v>922</v>
      </c>
      <c r="C626" s="1573"/>
      <c r="D626" s="1573"/>
      <c r="E626" s="1573"/>
      <c r="F626" s="182">
        <f>ROUND((8%*(F623)),4)</f>
        <v>204295.2</v>
      </c>
      <c r="G626" s="942">
        <f>+G625</f>
        <v>16</v>
      </c>
      <c r="H626" s="90">
        <f>+F626*G626</f>
        <v>3268723.2</v>
      </c>
    </row>
    <row r="627" spans="1:8">
      <c r="A627" s="177"/>
      <c r="B627" s="169" t="s">
        <v>923</v>
      </c>
      <c r="C627" s="169" t="s">
        <v>243</v>
      </c>
      <c r="D627" s="94" t="s">
        <v>243</v>
      </c>
      <c r="E627" s="170" t="s">
        <v>243</v>
      </c>
      <c r="F627" s="182">
        <f>SUM(F625:F626)</f>
        <v>218941.80000000002</v>
      </c>
      <c r="G627" s="942">
        <f>+G626</f>
        <v>16</v>
      </c>
      <c r="H627" s="90">
        <f>+F627*G627</f>
        <v>3503068.8000000003</v>
      </c>
    </row>
    <row r="628" spans="1:8">
      <c r="A628" s="877"/>
      <c r="B628" s="878" t="s">
        <v>924</v>
      </c>
      <c r="C628" s="207"/>
      <c r="D628" s="152"/>
      <c r="E628" s="208"/>
      <c r="F628" s="182">
        <f>+F617+F623</f>
        <v>2846622</v>
      </c>
      <c r="G628" s="942">
        <f>+G627</f>
        <v>16</v>
      </c>
      <c r="H628" s="90">
        <f>+F628*G628</f>
        <v>45545952</v>
      </c>
    </row>
    <row r="629" spans="1:8">
      <c r="A629" s="879"/>
      <c r="B629" s="961" t="s">
        <v>925</v>
      </c>
      <c r="C629" s="880"/>
      <c r="D629" s="881"/>
      <c r="E629" s="882"/>
      <c r="F629" s="876">
        <f>+F627+F628</f>
        <v>3065563.8</v>
      </c>
      <c r="G629" s="942">
        <f>+G628</f>
        <v>16</v>
      </c>
      <c r="H629" s="90">
        <f>+F629*G629</f>
        <v>49049020.799999997</v>
      </c>
    </row>
    <row r="631" spans="1:8">
      <c r="A631" s="1397" t="s">
        <v>988</v>
      </c>
      <c r="B631" s="1398"/>
      <c r="C631" s="1398"/>
      <c r="D631" s="1398"/>
      <c r="E631" s="1399"/>
      <c r="F631" s="1364">
        <f>+F376+F386+F400+F426+F448+F466+F495+F508+F519+F542+F562+F581+F586+F609+F629</f>
        <v>37780831.273033328</v>
      </c>
      <c r="G631" s="1365" t="s">
        <v>241</v>
      </c>
      <c r="H631" s="1364">
        <f>+H376+H386+H400+H426+H448+H466+H495+H508+H519+H542+H562+H581+H586+H609+H629</f>
        <v>686135337.62583327</v>
      </c>
    </row>
    <row r="634" spans="1:8" ht="27">
      <c r="A634" s="1405" t="s">
        <v>989</v>
      </c>
      <c r="B634" s="1405"/>
      <c r="C634" s="1405"/>
    </row>
    <row r="636" spans="1:8">
      <c r="A636" s="1366" t="s">
        <v>470</v>
      </c>
      <c r="B636" s="1367" t="s">
        <v>928</v>
      </c>
      <c r="C636" s="1368" t="s">
        <v>929</v>
      </c>
    </row>
    <row r="637" spans="1:8">
      <c r="A637" s="1367" t="s">
        <v>930</v>
      </c>
      <c r="B637" s="1369" t="s">
        <v>931</v>
      </c>
      <c r="C637" s="1370">
        <f>+H26</f>
        <v>213030885.94</v>
      </c>
    </row>
    <row r="638" spans="1:8">
      <c r="A638" s="1367" t="s">
        <v>932</v>
      </c>
      <c r="B638" s="1371" t="s">
        <v>933</v>
      </c>
      <c r="C638" s="1370">
        <f>+G126</f>
        <v>115147303.90000001</v>
      </c>
      <c r="E638" s="162">
        <v>1824362326.9999001</v>
      </c>
    </row>
    <row r="639" spans="1:8">
      <c r="A639" s="1367"/>
      <c r="B639" s="1372" t="s">
        <v>934</v>
      </c>
      <c r="C639" s="1370">
        <f>+(C638+C637)*19%</f>
        <v>62353856.069600008</v>
      </c>
    </row>
    <row r="640" spans="1:8">
      <c r="A640" s="1509" t="s">
        <v>935</v>
      </c>
      <c r="B640" s="1509"/>
      <c r="C640" s="1373">
        <f>+C639+C638+C637</f>
        <v>390532045.90960002</v>
      </c>
    </row>
    <row r="641" spans="1:7">
      <c r="C641" s="1374"/>
    </row>
    <row r="642" spans="1:7">
      <c r="A642" s="1367" t="s">
        <v>936</v>
      </c>
      <c r="B642" s="1371" t="s">
        <v>937</v>
      </c>
      <c r="C642" s="1375">
        <f>+H363</f>
        <v>1809276670.9998999</v>
      </c>
      <c r="D642" s="859"/>
    </row>
    <row r="643" spans="1:7">
      <c r="A643" s="1367" t="s">
        <v>938</v>
      </c>
      <c r="B643" s="1376" t="s">
        <v>30</v>
      </c>
      <c r="C643" s="1375">
        <f>+H631</f>
        <v>686135337.62583327</v>
      </c>
    </row>
    <row r="644" spans="1:7">
      <c r="A644" s="1510" t="s">
        <v>939</v>
      </c>
      <c r="B644" s="1510"/>
      <c r="C644" s="1377">
        <f>ROUND((C643+C642),0)</f>
        <v>2495412009</v>
      </c>
    </row>
    <row r="645" spans="1:7">
      <c r="A645" s="1378">
        <v>0.30059414787135613</v>
      </c>
      <c r="B645" s="946" t="s">
        <v>990</v>
      </c>
      <c r="C645" s="1379">
        <f>C644*A645</f>
        <v>750106246.43330383</v>
      </c>
      <c r="D645" s="994"/>
    </row>
    <row r="646" spans="1:7">
      <c r="A646" s="1380">
        <v>0.03</v>
      </c>
      <c r="B646" s="946" t="s">
        <v>991</v>
      </c>
      <c r="C646" s="1379">
        <f>+C644*A646</f>
        <v>74862360.269999996</v>
      </c>
      <c r="D646" s="994"/>
    </row>
    <row r="647" spans="1:7">
      <c r="A647" s="1380">
        <v>0.03</v>
      </c>
      <c r="B647" s="946" t="s">
        <v>992</v>
      </c>
      <c r="C647" s="1379">
        <f>+C644*A647</f>
        <v>74862360.269999996</v>
      </c>
      <c r="D647" s="994"/>
    </row>
    <row r="648" spans="1:7">
      <c r="A648" s="1508" t="s">
        <v>943</v>
      </c>
      <c r="B648" s="1508"/>
      <c r="C648" s="1381">
        <f>+C647+C646+C645+C644</f>
        <v>3395242975.9733038</v>
      </c>
      <c r="D648" s="994"/>
    </row>
    <row r="649" spans="1:7">
      <c r="A649" s="1339"/>
      <c r="B649" s="875" t="s">
        <v>993</v>
      </c>
      <c r="C649" s="1382">
        <f>+C647*19%</f>
        <v>14223848.451299999</v>
      </c>
    </row>
    <row r="650" spans="1:7">
      <c r="A650" s="1508" t="s">
        <v>945</v>
      </c>
      <c r="B650" s="1508"/>
      <c r="C650" s="1383">
        <f>+C649+C648+C640</f>
        <v>3799998870.3342037</v>
      </c>
      <c r="E650" s="1374"/>
      <c r="F650" s="1374"/>
    </row>
    <row r="651" spans="1:7">
      <c r="A651" s="1384"/>
      <c r="B651" s="1212"/>
      <c r="C651" s="1385"/>
      <c r="E651" s="1374"/>
    </row>
    <row r="654" spans="1:7" ht="18">
      <c r="A654" s="1561" t="s">
        <v>994</v>
      </c>
      <c r="B654" s="1561"/>
      <c r="C654" s="1561"/>
      <c r="D654" s="1561"/>
      <c r="E654" s="1561"/>
      <c r="F654" s="1561"/>
      <c r="G654" s="1561"/>
    </row>
    <row r="655" spans="1:7" ht="18.75">
      <c r="A655" s="1386"/>
      <c r="B655" s="1136"/>
      <c r="C655" s="1136"/>
      <c r="D655" s="1136"/>
      <c r="E655" s="1136"/>
      <c r="F655" s="1136"/>
      <c r="G655" s="1387"/>
    </row>
    <row r="656" spans="1:7" ht="18">
      <c r="A656" s="1561" t="s">
        <v>995</v>
      </c>
      <c r="B656" s="1561"/>
      <c r="C656" s="1561"/>
      <c r="D656" s="1561"/>
      <c r="E656" s="1561"/>
      <c r="F656" s="1561"/>
      <c r="G656" s="1561"/>
    </row>
    <row r="657" spans="1:7" ht="18.75">
      <c r="A657" s="1386"/>
      <c r="B657" s="1136"/>
      <c r="C657" s="1136"/>
      <c r="D657" s="1136"/>
      <c r="E657" s="1136"/>
      <c r="F657" s="1136"/>
      <c r="G657" s="1387"/>
    </row>
    <row r="658" spans="1:7" ht="18">
      <c r="A658" s="1561" t="s">
        <v>996</v>
      </c>
      <c r="B658" s="1561"/>
      <c r="C658" s="1561"/>
      <c r="D658" s="1561"/>
      <c r="E658" s="1561"/>
      <c r="F658" s="1561"/>
      <c r="G658" s="1561"/>
    </row>
  </sheetData>
  <mergeCells count="236">
    <mergeCell ref="A654:G654"/>
    <mergeCell ref="A656:G656"/>
    <mergeCell ref="A658:G658"/>
    <mergeCell ref="A2:H2"/>
    <mergeCell ref="A3:H3"/>
    <mergeCell ref="A8:G8"/>
    <mergeCell ref="A14:G14"/>
    <mergeCell ref="A19:G19"/>
    <mergeCell ref="A23:G23"/>
    <mergeCell ref="B33:C33"/>
    <mergeCell ref="B34:C34"/>
    <mergeCell ref="B35:F35"/>
    <mergeCell ref="B36:C36"/>
    <mergeCell ref="B37:G37"/>
    <mergeCell ref="B38:C38"/>
    <mergeCell ref="A24:G24"/>
    <mergeCell ref="A28:G28"/>
    <mergeCell ref="B29:G29"/>
    <mergeCell ref="B30:C30"/>
    <mergeCell ref="B31:G31"/>
    <mergeCell ref="B32:C32"/>
    <mergeCell ref="B45:C45"/>
    <mergeCell ref="B46:C46"/>
    <mergeCell ref="B47:F47"/>
    <mergeCell ref="B48:C48"/>
    <mergeCell ref="B49:G49"/>
    <mergeCell ref="B50:C50"/>
    <mergeCell ref="B39:C39"/>
    <mergeCell ref="B40:C40"/>
    <mergeCell ref="B41:F41"/>
    <mergeCell ref="B42:C42"/>
    <mergeCell ref="B43:G43"/>
    <mergeCell ref="B44:C44"/>
    <mergeCell ref="B57:G57"/>
    <mergeCell ref="B58:C58"/>
    <mergeCell ref="B59:C59"/>
    <mergeCell ref="B60:C60"/>
    <mergeCell ref="B61:C61"/>
    <mergeCell ref="B62:C62"/>
    <mergeCell ref="B51:C51"/>
    <mergeCell ref="B52:C52"/>
    <mergeCell ref="B53:C53"/>
    <mergeCell ref="B54:F54"/>
    <mergeCell ref="B55:G55"/>
    <mergeCell ref="B56:C56"/>
    <mergeCell ref="B69:C69"/>
    <mergeCell ref="B70:C70"/>
    <mergeCell ref="B71:F71"/>
    <mergeCell ref="B72:C72"/>
    <mergeCell ref="B73:F73"/>
    <mergeCell ref="B74:C74"/>
    <mergeCell ref="B63:F63"/>
    <mergeCell ref="B64:G64"/>
    <mergeCell ref="B65:C65"/>
    <mergeCell ref="B66:G66"/>
    <mergeCell ref="B67:C67"/>
    <mergeCell ref="B68:C68"/>
    <mergeCell ref="B81:G81"/>
    <mergeCell ref="B82:C82"/>
    <mergeCell ref="B83:C83"/>
    <mergeCell ref="B84:C84"/>
    <mergeCell ref="B85:C85"/>
    <mergeCell ref="B86:C86"/>
    <mergeCell ref="B75:C75"/>
    <mergeCell ref="B76:C76"/>
    <mergeCell ref="B77:C77"/>
    <mergeCell ref="B78:C78"/>
    <mergeCell ref="B79:F79"/>
    <mergeCell ref="B80:C80"/>
    <mergeCell ref="B93:C93"/>
    <mergeCell ref="B94:C94"/>
    <mergeCell ref="B95:F95"/>
    <mergeCell ref="B96:C96"/>
    <mergeCell ref="B97:G97"/>
    <mergeCell ref="B98:C98"/>
    <mergeCell ref="B87:C87"/>
    <mergeCell ref="B88:C88"/>
    <mergeCell ref="B89:F89"/>
    <mergeCell ref="B90:C90"/>
    <mergeCell ref="B91:G91"/>
    <mergeCell ref="B92:C92"/>
    <mergeCell ref="B105:C105"/>
    <mergeCell ref="B106:F106"/>
    <mergeCell ref="B107:C107"/>
    <mergeCell ref="B108:G108"/>
    <mergeCell ref="B109:C109"/>
    <mergeCell ref="B110:C110"/>
    <mergeCell ref="B99:C99"/>
    <mergeCell ref="B100:F100"/>
    <mergeCell ref="B101:G101"/>
    <mergeCell ref="B102:C102"/>
    <mergeCell ref="B103:G103"/>
    <mergeCell ref="B104:C104"/>
    <mergeCell ref="B117:C117"/>
    <mergeCell ref="B118:C118"/>
    <mergeCell ref="B119:C119"/>
    <mergeCell ref="B120:F120"/>
    <mergeCell ref="B121:C121"/>
    <mergeCell ref="B122:G122"/>
    <mergeCell ref="B111:C111"/>
    <mergeCell ref="B112:F112"/>
    <mergeCell ref="B113:C113"/>
    <mergeCell ref="B114:G114"/>
    <mergeCell ref="B115:C115"/>
    <mergeCell ref="B116:C116"/>
    <mergeCell ref="B131:F131"/>
    <mergeCell ref="B153:E153"/>
    <mergeCell ref="B157:H157"/>
    <mergeCell ref="B159:F159"/>
    <mergeCell ref="B177:E177"/>
    <mergeCell ref="B178:E178"/>
    <mergeCell ref="B123:C123"/>
    <mergeCell ref="B124:C124"/>
    <mergeCell ref="B125:F125"/>
    <mergeCell ref="A126:F126"/>
    <mergeCell ref="A128:H128"/>
    <mergeCell ref="B129:H129"/>
    <mergeCell ref="B206:E206"/>
    <mergeCell ref="B207:E207"/>
    <mergeCell ref="B211:H211"/>
    <mergeCell ref="B213:F213"/>
    <mergeCell ref="B231:E231"/>
    <mergeCell ref="B232:E232"/>
    <mergeCell ref="B182:H182"/>
    <mergeCell ref="C183:E183"/>
    <mergeCell ref="F183:F184"/>
    <mergeCell ref="G183:G184"/>
    <mergeCell ref="H183:H184"/>
    <mergeCell ref="B185:F185"/>
    <mergeCell ref="B276:E276"/>
    <mergeCell ref="B277:E277"/>
    <mergeCell ref="B281:H281"/>
    <mergeCell ref="B283:F283"/>
    <mergeCell ref="B296:E296"/>
    <mergeCell ref="B297:E297"/>
    <mergeCell ref="B236:H236"/>
    <mergeCell ref="B238:F238"/>
    <mergeCell ref="B254:E254"/>
    <mergeCell ref="B255:E255"/>
    <mergeCell ref="B259:H259"/>
    <mergeCell ref="B261:F261"/>
    <mergeCell ref="B318:H318"/>
    <mergeCell ref="A319:A320"/>
    <mergeCell ref="B319:B320"/>
    <mergeCell ref="C319:E319"/>
    <mergeCell ref="F319:F320"/>
    <mergeCell ref="G319:G320"/>
    <mergeCell ref="H319:H320"/>
    <mergeCell ref="B301:H301"/>
    <mergeCell ref="B303:F303"/>
    <mergeCell ref="B313:E313"/>
    <mergeCell ref="B314:E314"/>
    <mergeCell ref="B315:D315"/>
    <mergeCell ref="B316:D316"/>
    <mergeCell ref="B330:E330"/>
    <mergeCell ref="B331:E331"/>
    <mergeCell ref="B335:H335"/>
    <mergeCell ref="A336:A337"/>
    <mergeCell ref="B336:B337"/>
    <mergeCell ref="C336:E336"/>
    <mergeCell ref="F336:F337"/>
    <mergeCell ref="G336:G337"/>
    <mergeCell ref="H336:H337"/>
    <mergeCell ref="B377:H377"/>
    <mergeCell ref="B383:E383"/>
    <mergeCell ref="B387:H387"/>
    <mergeCell ref="B396:E396"/>
    <mergeCell ref="B397:E397"/>
    <mergeCell ref="B399:D399"/>
    <mergeCell ref="B350:H350"/>
    <mergeCell ref="B352:F352"/>
    <mergeCell ref="B356:H356"/>
    <mergeCell ref="A366:H366"/>
    <mergeCell ref="B367:H367"/>
    <mergeCell ref="B373:E373"/>
    <mergeCell ref="B436:F436"/>
    <mergeCell ref="B444:E444"/>
    <mergeCell ref="B445:E445"/>
    <mergeCell ref="B449:H449"/>
    <mergeCell ref="B451:F451"/>
    <mergeCell ref="B457:F457"/>
    <mergeCell ref="B400:D400"/>
    <mergeCell ref="B401:H401"/>
    <mergeCell ref="B422:E422"/>
    <mergeCell ref="B423:E423"/>
    <mergeCell ref="B427:H427"/>
    <mergeCell ref="B429:F429"/>
    <mergeCell ref="B492:E492"/>
    <mergeCell ref="B494:D494"/>
    <mergeCell ref="B495:D495"/>
    <mergeCell ref="B496:H496"/>
    <mergeCell ref="B498:F498"/>
    <mergeCell ref="B505:E505"/>
    <mergeCell ref="B462:E462"/>
    <mergeCell ref="B463:E463"/>
    <mergeCell ref="B465:D465"/>
    <mergeCell ref="B467:H467"/>
    <mergeCell ref="B469:F469"/>
    <mergeCell ref="B491:E491"/>
    <mergeCell ref="B578:E578"/>
    <mergeCell ref="B520:H520"/>
    <mergeCell ref="B522:F522"/>
    <mergeCell ref="B538:E538"/>
    <mergeCell ref="B539:E539"/>
    <mergeCell ref="B541:D541"/>
    <mergeCell ref="B543:H543"/>
    <mergeCell ref="B506:E506"/>
    <mergeCell ref="B507:D507"/>
    <mergeCell ref="B509:H509"/>
    <mergeCell ref="B516:E516"/>
    <mergeCell ref="B517:E517"/>
    <mergeCell ref="B518:D518"/>
    <mergeCell ref="A1:H1"/>
    <mergeCell ref="A26:G26"/>
    <mergeCell ref="A363:G363"/>
    <mergeCell ref="A365:H365"/>
    <mergeCell ref="A631:E631"/>
    <mergeCell ref="A648:B648"/>
    <mergeCell ref="A650:B650"/>
    <mergeCell ref="B612:F612"/>
    <mergeCell ref="B625:E625"/>
    <mergeCell ref="B626:E626"/>
    <mergeCell ref="A634:C634"/>
    <mergeCell ref="A640:B640"/>
    <mergeCell ref="A644:B644"/>
    <mergeCell ref="B582:H582"/>
    <mergeCell ref="B587:H587"/>
    <mergeCell ref="B589:F589"/>
    <mergeCell ref="B605:E605"/>
    <mergeCell ref="B606:E606"/>
    <mergeCell ref="B610:H610"/>
    <mergeCell ref="B558:E558"/>
    <mergeCell ref="B559:E559"/>
    <mergeCell ref="B561:D561"/>
    <mergeCell ref="B563:H563"/>
    <mergeCell ref="B577:E57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Cristian Camilo Rodríguez Paez</cp:lastModifiedBy>
  <cp:revision/>
  <dcterms:created xsi:type="dcterms:W3CDTF">2024-09-20T17:29:24Z</dcterms:created>
  <dcterms:modified xsi:type="dcterms:W3CDTF">2024-11-17T21:49:10Z</dcterms:modified>
  <cp:category/>
  <cp:contentStatus/>
</cp:coreProperties>
</file>