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comments4.xml" ContentType="application/vnd.openxmlformats-officedocument.spreadsheetml.comments+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comments5.xml" ContentType="application/vnd.openxmlformats-officedocument.spreadsheetml.comments+xml"/>
  <Override PartName="/xl/drawings/drawing35.xml" ContentType="application/vnd.openxmlformats-officedocument.drawing+xml"/>
  <Override PartName="/xl/comments6.xml" ContentType="application/vnd.openxmlformats-officedocument.spreadsheetml.comments+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comments7.xml" ContentType="application/vnd.openxmlformats-officedocument.spreadsheetml.comments+xml"/>
  <Override PartName="/xl/drawings/drawing40.xml" ContentType="application/vnd.openxmlformats-officedocument.drawing+xml"/>
  <Override PartName="/xl/drawings/drawing41.xml" ContentType="application/vnd.openxmlformats-officedocument.drawing+xml"/>
  <Override PartName="/xl/comments8.xml" ContentType="application/vnd.openxmlformats-officedocument.spreadsheetml.comments+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comments9.xml" ContentType="application/vnd.openxmlformats-officedocument.spreadsheetml.comments+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omments10.xml" ContentType="application/vnd.openxmlformats-officedocument.spreadsheetml.comments+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codeName="ThisWorkbook" defaultThemeVersion="166925"/>
  <mc:AlternateContent xmlns:mc="http://schemas.openxmlformats.org/markup-compatibility/2006">
    <mc:Choice Requires="x15">
      <x15ac:absPath xmlns:x15ac="http://schemas.microsoft.com/office/spreadsheetml/2010/11/ac" url="C:\Users\Usuario\Desktop\ACTIVA VOLCAN DEL LODO\1. Obra Activa volcan del lodo\1.  PROCESO DE SELECCION\1. PRESUPUESTO\"/>
    </mc:Choice>
  </mc:AlternateContent>
  <xr:revisionPtr revIDLastSave="0" documentId="13_ncr:1_{D9A97391-F3B4-4087-B9BC-A8E93056D6AC}" xr6:coauthVersionLast="36" xr6:coauthVersionMax="36" xr10:uidLastSave="{00000000-0000-0000-0000-000000000000}"/>
  <bookViews>
    <workbookView xWindow="0" yWindow="0" windowWidth="23040" windowHeight="8940" xr2:uid="{00000000-000D-0000-FFFF-FFFF00000000}"/>
  </bookViews>
  <sheets>
    <sheet name="PPTO HOJA" sheetId="2" r:id="rId1"/>
    <sheet name="AU + PGIO" sheetId="200" r:id="rId2"/>
    <sheet name="1.01" sheetId="36" r:id="rId3"/>
    <sheet name="1.02" sheetId="95" r:id="rId4"/>
    <sheet name="1.03" sheetId="96" r:id="rId5"/>
    <sheet name="1.04" sheetId="99" r:id="rId6"/>
    <sheet name="2.01" sheetId="37" r:id="rId7"/>
    <sheet name="2.02" sheetId="38" r:id="rId8"/>
    <sheet name="2.03" sheetId="139" r:id="rId9"/>
    <sheet name="2.04" sheetId="154" r:id="rId10"/>
    <sheet name="2.05" sheetId="156" r:id="rId11"/>
    <sheet name="2.06" sheetId="157" r:id="rId12"/>
    <sheet name="2.07" sheetId="106" r:id="rId13"/>
    <sheet name="2.08" sheetId="107" r:id="rId14"/>
    <sheet name="3.01" sheetId="44" r:id="rId15"/>
    <sheet name="3.02" sheetId="45" r:id="rId16"/>
    <sheet name="3.03" sheetId="47" r:id="rId17"/>
    <sheet name="3.04" sheetId="51" r:id="rId18"/>
    <sheet name="3.05" sheetId="52" r:id="rId19"/>
    <sheet name="3.06" sheetId="54" r:id="rId20"/>
    <sheet name="4.01" sheetId="88" r:id="rId21"/>
    <sheet name="4.02" sheetId="91" r:id="rId22"/>
    <sheet name="4.03" sheetId="101" r:id="rId23"/>
    <sheet name="4.04" sheetId="103" r:id="rId24"/>
    <sheet name="4.05" sheetId="160" r:id="rId25"/>
    <sheet name="4.06" sheetId="104" r:id="rId26"/>
    <sheet name="4.07" sheetId="161" r:id="rId27"/>
    <sheet name="4.08" sheetId="162" r:id="rId28"/>
    <sheet name="4.09" sheetId="158" r:id="rId29"/>
    <sheet name="5.01" sheetId="123" r:id="rId30"/>
    <sheet name="5.02" sheetId="189" r:id="rId31"/>
    <sheet name="5.03" sheetId="190" r:id="rId32"/>
    <sheet name="5.04" sheetId="144" r:id="rId33"/>
    <sheet name="5.05" sheetId="124" r:id="rId34"/>
    <sheet name="5.06" sheetId="163" r:id="rId35"/>
    <sheet name="5.07" sheetId="126" r:id="rId36"/>
    <sheet name="5.08" sheetId="129" r:id="rId37"/>
    <sheet name="5.09" sheetId="97" r:id="rId38"/>
    <sheet name="5.10" sheetId="33" r:id="rId39"/>
    <sheet name="6.01" sheetId="148" r:id="rId40"/>
    <sheet name="6.02" sheetId="165" r:id="rId41"/>
    <sheet name="6.03" sheetId="192" r:id="rId42"/>
    <sheet name="6.04" sheetId="193" r:id="rId43"/>
    <sheet name="6.05" sheetId="194" r:id="rId44"/>
    <sheet name="6.06" sheetId="195" r:id="rId45"/>
    <sheet name="6.07" sheetId="196" r:id="rId46"/>
    <sheet name="6.08" sheetId="197" r:id="rId47"/>
    <sheet name="6.09" sheetId="198" r:id="rId48"/>
    <sheet name="6.10" sheetId="167" r:id="rId49"/>
    <sheet name="6.11" sheetId="166" r:id="rId50"/>
    <sheet name="6.12" sheetId="171" r:id="rId51"/>
    <sheet name="6.13" sheetId="169" r:id="rId52"/>
    <sheet name="6.14" sheetId="170" r:id="rId53"/>
    <sheet name="7.01" sheetId="173" r:id="rId54"/>
    <sheet name="7.02" sheetId="174" r:id="rId55"/>
    <sheet name="7.03" sheetId="175" r:id="rId56"/>
    <sheet name="7.04" sheetId="176" r:id="rId57"/>
    <sheet name="7.05" sheetId="177" r:id="rId58"/>
    <sheet name="7.06" sheetId="178" r:id="rId59"/>
    <sheet name="7.07" sheetId="179" r:id="rId60"/>
    <sheet name="7.08" sheetId="180" r:id="rId61"/>
    <sheet name="7.09" sheetId="181" r:id="rId62"/>
    <sheet name="7.10" sheetId="182" r:id="rId63"/>
    <sheet name="7.11" sheetId="183" r:id="rId64"/>
    <sheet name="7.12" sheetId="184" r:id="rId65"/>
    <sheet name="7.13" sheetId="185" r:id="rId66"/>
    <sheet name="7.14" sheetId="186" r:id="rId67"/>
    <sheet name="7.15" sheetId="187" r:id="rId68"/>
    <sheet name="7.16" sheetId="188" r:id="rId69"/>
    <sheet name="8.01" sheetId="132" r:id="rId70"/>
    <sheet name="APU BÁSICOS" sheetId="98" r:id="rId71"/>
    <sheet name="CUADRILLAS" sheetId="5" r:id="rId72"/>
    <sheet name="LISTADO DE MATERIALES" sheetId="8" r:id="rId73"/>
    <sheet name="EQUIPOS" sheetId="7" r:id="rId74"/>
    <sheet name="TRANSPORTE" sheetId="199" r:id="rId75"/>
  </sheets>
  <definedNames>
    <definedName name="___________________________rc" localSheetId="1">#REF!</definedName>
    <definedName name="___________________________rc">#REF!</definedName>
    <definedName name="__________________________APU221" localSheetId="1">#REF!</definedName>
    <definedName name="__________________________APU221">#REF!</definedName>
    <definedName name="__________________________PJ50" localSheetId="1">#REF!</definedName>
    <definedName name="__________________________PJ50">#REF!</definedName>
    <definedName name="__________________________pj51" localSheetId="1">#REF!</definedName>
    <definedName name="__________________________pj51">#REF!</definedName>
    <definedName name="__________________________rc" localSheetId="1">#REF!</definedName>
    <definedName name="__________________________rc">#REF!</definedName>
    <definedName name="_________________________APU221" localSheetId="1">#REF!</definedName>
    <definedName name="_________________________APU221">#REF!</definedName>
    <definedName name="_________________________PJ50" localSheetId="1">#REF!</definedName>
    <definedName name="_________________________PJ50">#REF!</definedName>
    <definedName name="_________________________pj51" localSheetId="1">#REF!</definedName>
    <definedName name="_________________________pj51">#REF!</definedName>
    <definedName name="_________________________rc" localSheetId="1">#REF!</definedName>
    <definedName name="_________________________rc">#REF!</definedName>
    <definedName name="________________________rc" localSheetId="1">#REF!</definedName>
    <definedName name="________________________rc">#REF!</definedName>
    <definedName name="_______________________APU221" localSheetId="1">#REF!</definedName>
    <definedName name="_______________________APU221">#REF!</definedName>
    <definedName name="_______________________PJ50" localSheetId="1">#REF!</definedName>
    <definedName name="_______________________PJ50">#REF!</definedName>
    <definedName name="_______________________pj51" localSheetId="1">#REF!</definedName>
    <definedName name="_______________________pj51">#REF!</definedName>
    <definedName name="_______________________rc" localSheetId="1">#REF!</definedName>
    <definedName name="_______________________rc">#REF!</definedName>
    <definedName name="______________________APU221" localSheetId="1">#REF!</definedName>
    <definedName name="______________________APU221">#REF!</definedName>
    <definedName name="______________________PJ50" localSheetId="1">#REF!</definedName>
    <definedName name="______________________PJ50">#REF!</definedName>
    <definedName name="______________________pj51" localSheetId="1">#REF!</definedName>
    <definedName name="______________________pj51">#REF!</definedName>
    <definedName name="______________________rc" localSheetId="1">#REF!</definedName>
    <definedName name="______________________rc">#REF!</definedName>
    <definedName name="_____________________APU221" localSheetId="1">#REF!</definedName>
    <definedName name="_____________________APU221">#REF!</definedName>
    <definedName name="_____________________PJ50" localSheetId="1">#REF!</definedName>
    <definedName name="_____________________PJ50">#REF!</definedName>
    <definedName name="_____________________pj51" localSheetId="1">#REF!</definedName>
    <definedName name="_____________________pj51">#REF!</definedName>
    <definedName name="_____________________rc" localSheetId="1">#REF!</definedName>
    <definedName name="_____________________rc">#REF!</definedName>
    <definedName name="____________________APU221" localSheetId="1">#REF!</definedName>
    <definedName name="____________________APU221">#REF!</definedName>
    <definedName name="____________________PJ50" localSheetId="1">#REF!</definedName>
    <definedName name="____________________PJ50">#REF!</definedName>
    <definedName name="____________________pj51" localSheetId="1">#REF!</definedName>
    <definedName name="____________________pj51">#REF!</definedName>
    <definedName name="____________________rc" localSheetId="1">#REF!</definedName>
    <definedName name="____________________rc">#REF!</definedName>
    <definedName name="___________________rc" localSheetId="1">#REF!</definedName>
    <definedName name="___________________rc">#REF!</definedName>
    <definedName name="__________________APU221" localSheetId="1">#REF!</definedName>
    <definedName name="__________________APU221">#REF!</definedName>
    <definedName name="__________________PJ50" localSheetId="1">#REF!</definedName>
    <definedName name="__________________PJ50">#REF!</definedName>
    <definedName name="__________________pj51" localSheetId="1">#REF!</definedName>
    <definedName name="__________________pj51">#REF!</definedName>
    <definedName name="__________________rc" localSheetId="1">#REF!</definedName>
    <definedName name="__________________rc">#REF!</definedName>
    <definedName name="_________________APU221" localSheetId="1">#REF!</definedName>
    <definedName name="_________________APU221">#REF!</definedName>
    <definedName name="_________________PJ50" localSheetId="1">#REF!</definedName>
    <definedName name="_________________PJ50">#REF!</definedName>
    <definedName name="_________________pj51" localSheetId="1">#REF!</definedName>
    <definedName name="_________________pj51">#REF!</definedName>
    <definedName name="_________________rc" localSheetId="1">#REF!</definedName>
    <definedName name="_________________rc">#REF!</definedName>
    <definedName name="________________APU221" localSheetId="1">#REF!</definedName>
    <definedName name="________________APU221">#REF!</definedName>
    <definedName name="________________PJ50" localSheetId="1">#REF!</definedName>
    <definedName name="________________PJ50">#REF!</definedName>
    <definedName name="________________pj51" localSheetId="1">#REF!</definedName>
    <definedName name="________________pj51">#REF!</definedName>
    <definedName name="________________rc" localSheetId="1">#REF!</definedName>
    <definedName name="________________rc">#REF!</definedName>
    <definedName name="_______________APU221" localSheetId="1">#REF!</definedName>
    <definedName name="_______________APU221">#REF!</definedName>
    <definedName name="_______________PJ50" localSheetId="1">#REF!</definedName>
    <definedName name="_______________PJ50">#REF!</definedName>
    <definedName name="_______________pj51" localSheetId="1">#REF!</definedName>
    <definedName name="_______________pj51">#REF!</definedName>
    <definedName name="_______________rc" localSheetId="1">#REF!</definedName>
    <definedName name="_______________rc">#REF!</definedName>
    <definedName name="______________APU221" localSheetId="1">#REF!</definedName>
    <definedName name="______________APU221">#REF!</definedName>
    <definedName name="______________PJ50" localSheetId="1">#REF!</definedName>
    <definedName name="______________PJ50">#REF!</definedName>
    <definedName name="______________pj51" localSheetId="1">#REF!</definedName>
    <definedName name="______________pj51">#REF!</definedName>
    <definedName name="______________rc" localSheetId="1">#REF!</definedName>
    <definedName name="______________rc">#REF!</definedName>
    <definedName name="_____________APU221" localSheetId="1">#REF!</definedName>
    <definedName name="_____________APU221">#REF!</definedName>
    <definedName name="_____________PJ50" localSheetId="1">#REF!</definedName>
    <definedName name="_____________PJ50">#REF!</definedName>
    <definedName name="_____________pj51" localSheetId="1">#REF!</definedName>
    <definedName name="_____________pj51">#REF!</definedName>
    <definedName name="_____________rc" localSheetId="1">#REF!</definedName>
    <definedName name="_____________rc">#REF!</definedName>
    <definedName name="____________APU221" localSheetId="1">#REF!</definedName>
    <definedName name="____________APU221">#REF!</definedName>
    <definedName name="____________PJ50" localSheetId="1">#REF!</definedName>
    <definedName name="____________PJ50">#REF!</definedName>
    <definedName name="____________pj51" localSheetId="1">#REF!</definedName>
    <definedName name="____________pj51">#REF!</definedName>
    <definedName name="____________rc" localSheetId="1">#REF!</definedName>
    <definedName name="____________rc">#REF!</definedName>
    <definedName name="___________APU221" localSheetId="1">#REF!</definedName>
    <definedName name="___________APU221">#REF!</definedName>
    <definedName name="___________PJ50" localSheetId="1">#REF!</definedName>
    <definedName name="___________PJ50">#REF!</definedName>
    <definedName name="___________pj51" localSheetId="1">#REF!</definedName>
    <definedName name="___________pj51">#REF!</definedName>
    <definedName name="___________rc" localSheetId="1">#REF!</definedName>
    <definedName name="___________rc">#REF!</definedName>
    <definedName name="__________APU221" localSheetId="1">#REF!</definedName>
    <definedName name="__________APU221">#REF!</definedName>
    <definedName name="__________PJ50" localSheetId="1">#REF!</definedName>
    <definedName name="__________PJ50">#REF!</definedName>
    <definedName name="__________pj51" localSheetId="1">#REF!</definedName>
    <definedName name="__________pj51">#REF!</definedName>
    <definedName name="__________rc" localSheetId="1">#REF!</definedName>
    <definedName name="__________rc">#REF!</definedName>
    <definedName name="_________APU221" localSheetId="1">#REF!</definedName>
    <definedName name="_________APU221">#REF!</definedName>
    <definedName name="_________PJ50" localSheetId="1">#REF!</definedName>
    <definedName name="_________PJ50">#REF!</definedName>
    <definedName name="_________pj51" localSheetId="1">#REF!</definedName>
    <definedName name="_________pj51">#REF!</definedName>
    <definedName name="_________rc" localSheetId="1">#REF!</definedName>
    <definedName name="_________rc">#REF!</definedName>
    <definedName name="________APU221" localSheetId="1">#REF!</definedName>
    <definedName name="________APU221">#REF!</definedName>
    <definedName name="________key3" localSheetId="1" hidden="1">#REF!</definedName>
    <definedName name="________key3" hidden="1">#REF!</definedName>
    <definedName name="________min2" localSheetId="1">#REF!</definedName>
    <definedName name="________min2">#REF!</definedName>
    <definedName name="________Pag10" localSheetId="1">#REF!</definedName>
    <definedName name="________Pag10">#REF!</definedName>
    <definedName name="________PJ50" localSheetId="1">#REF!</definedName>
    <definedName name="________PJ50">#REF!</definedName>
    <definedName name="________pj51" localSheetId="1">#REF!</definedName>
    <definedName name="________pj51">#REF!</definedName>
    <definedName name="________R" localSheetId="1">#REF!</definedName>
    <definedName name="________R">#REF!</definedName>
    <definedName name="________rc" localSheetId="1">#REF!</definedName>
    <definedName name="________rc">#REF!</definedName>
    <definedName name="________TLL3" localSheetId="1">#REF!</definedName>
    <definedName name="________TLL3">#REF!</definedName>
    <definedName name="________TP1" localSheetId="1">#REF!</definedName>
    <definedName name="________TP1">#REF!</definedName>
    <definedName name="_______APU221" localSheetId="1">#REF!</definedName>
    <definedName name="_______APU221">#REF!</definedName>
    <definedName name="_______min2" localSheetId="1">#REF!</definedName>
    <definedName name="_______min2">#REF!</definedName>
    <definedName name="_______Pag10" localSheetId="1">#REF!</definedName>
    <definedName name="_______Pag10">#REF!</definedName>
    <definedName name="_______PJ50" localSheetId="1">#REF!</definedName>
    <definedName name="_______PJ50">#REF!</definedName>
    <definedName name="_______pj51" localSheetId="1">#REF!</definedName>
    <definedName name="_______pj51">#REF!</definedName>
    <definedName name="_______R" localSheetId="1">#REF!</definedName>
    <definedName name="_______R">#REF!</definedName>
    <definedName name="_______rc" localSheetId="1">#REF!</definedName>
    <definedName name="_______rc">#REF!</definedName>
    <definedName name="_______TLL3" localSheetId="1">#REF!</definedName>
    <definedName name="_______TLL3">#REF!</definedName>
    <definedName name="_______TP1" localSheetId="1">#REF!</definedName>
    <definedName name="_______TP1">#REF!</definedName>
    <definedName name="______A30000" localSheetId="1">#REF!</definedName>
    <definedName name="______A30000">#REF!</definedName>
    <definedName name="______APU221" localSheetId="1">#REF!</definedName>
    <definedName name="______APU221">#REF!</definedName>
    <definedName name="______min2" localSheetId="1">#REF!</definedName>
    <definedName name="______min2">#REF!</definedName>
    <definedName name="______Pag10" localSheetId="1">#REF!</definedName>
    <definedName name="______Pag10">#REF!</definedName>
    <definedName name="______PJ50" localSheetId="1">#REF!</definedName>
    <definedName name="______PJ50">#REF!</definedName>
    <definedName name="______pj51" localSheetId="1">#REF!</definedName>
    <definedName name="______pj51">#REF!</definedName>
    <definedName name="______R" localSheetId="1">#REF!</definedName>
    <definedName name="______R">#REF!</definedName>
    <definedName name="______rc" localSheetId="1">#REF!</definedName>
    <definedName name="______rc">#REF!</definedName>
    <definedName name="______TLL3" localSheetId="1">#REF!</definedName>
    <definedName name="______TLL3">#REF!</definedName>
    <definedName name="______TP1" localSheetId="1">#REF!</definedName>
    <definedName name="______TP1">#REF!</definedName>
    <definedName name="_____A17000" localSheetId="1">#REF!</definedName>
    <definedName name="_____A17000">#REF!</definedName>
    <definedName name="_____A20000" localSheetId="1">#REF!</definedName>
    <definedName name="_____A20000">#REF!</definedName>
    <definedName name="_____A30000" localSheetId="1">#REF!</definedName>
    <definedName name="_____A30000">#REF!</definedName>
    <definedName name="_____APU221" localSheetId="1">#REF!</definedName>
    <definedName name="_____APU221">#REF!</definedName>
    <definedName name="_____min2" localSheetId="1">#REF!</definedName>
    <definedName name="_____min2">#REF!</definedName>
    <definedName name="_____Pag10" localSheetId="1">#REF!</definedName>
    <definedName name="_____Pag10">#REF!</definedName>
    <definedName name="_____PJ50" localSheetId="1">#REF!</definedName>
    <definedName name="_____PJ50">#REF!</definedName>
    <definedName name="_____pj51" localSheetId="1">#REF!</definedName>
    <definedName name="_____pj51">#REF!</definedName>
    <definedName name="_____R" localSheetId="1">#REF!</definedName>
    <definedName name="_____R">#REF!</definedName>
    <definedName name="_____rc" localSheetId="1">#REF!</definedName>
    <definedName name="_____rc">#REF!</definedName>
    <definedName name="_____TLL3" localSheetId="1">#REF!</definedName>
    <definedName name="_____TLL3">#REF!</definedName>
    <definedName name="_____TP1" localSheetId="1">#REF!</definedName>
    <definedName name="_____TP1">#REF!</definedName>
    <definedName name="____A17000" localSheetId="1">#REF!</definedName>
    <definedName name="____A17000">#REF!</definedName>
    <definedName name="____A20000" localSheetId="1">#REF!</definedName>
    <definedName name="____A20000">#REF!</definedName>
    <definedName name="____A30000" localSheetId="1">#REF!</definedName>
    <definedName name="____A30000">#REF!</definedName>
    <definedName name="____APU221" localSheetId="1">#REF!</definedName>
    <definedName name="____APU221">#REF!</definedName>
    <definedName name="____min2" localSheetId="1">#REF!</definedName>
    <definedName name="____min2">#REF!</definedName>
    <definedName name="____Pag10" localSheetId="1">#REF!</definedName>
    <definedName name="____Pag10">#REF!</definedName>
    <definedName name="____PJ50" localSheetId="1">#REF!</definedName>
    <definedName name="____PJ50">#REF!</definedName>
    <definedName name="____pj51" localSheetId="1">#REF!</definedName>
    <definedName name="____pj51">#REF!</definedName>
    <definedName name="____R" localSheetId="1">#REF!</definedName>
    <definedName name="____R">#REF!</definedName>
    <definedName name="____rc" localSheetId="1">#REF!</definedName>
    <definedName name="____rc">#REF!</definedName>
    <definedName name="____TLL3" localSheetId="1">#REF!</definedName>
    <definedName name="____TLL3">#REF!</definedName>
    <definedName name="____TP1" localSheetId="1">#REF!</definedName>
    <definedName name="____TP1">#REF!</definedName>
    <definedName name="___A17000" localSheetId="1">#REF!</definedName>
    <definedName name="___A17000">#REF!</definedName>
    <definedName name="___A20000" localSheetId="1">#REF!</definedName>
    <definedName name="___A20000">#REF!</definedName>
    <definedName name="___A30000" localSheetId="1">#REF!</definedName>
    <definedName name="___A30000">#REF!</definedName>
    <definedName name="___APU221" localSheetId="1">#REF!</definedName>
    <definedName name="___APU221">#REF!</definedName>
    <definedName name="___EST12" localSheetId="1">#REF!</definedName>
    <definedName name="___EST12">#REF!</definedName>
    <definedName name="___key3" localSheetId="1" hidden="1">#REF!</definedName>
    <definedName name="___key3" hidden="1">#REF!</definedName>
    <definedName name="___key31" localSheetId="1" hidden="1">#REF!</definedName>
    <definedName name="___key31" hidden="1">#REF!</definedName>
    <definedName name="___min2" localSheetId="1">#REF!</definedName>
    <definedName name="___min2">#REF!</definedName>
    <definedName name="___Pag10" localSheetId="1">#REF!</definedName>
    <definedName name="___Pag10">#REF!</definedName>
    <definedName name="___PJ50" localSheetId="1">#REF!</definedName>
    <definedName name="___PJ50">#REF!</definedName>
    <definedName name="___pj51" localSheetId="1">#REF!</definedName>
    <definedName name="___pj51">#REF!</definedName>
    <definedName name="___R" localSheetId="1">#REF!</definedName>
    <definedName name="___R">#REF!</definedName>
    <definedName name="___rc" localSheetId="1">#REF!</definedName>
    <definedName name="___rc">#REF!</definedName>
    <definedName name="___TLL3" localSheetId="1">#REF!</definedName>
    <definedName name="___TLL3">#REF!</definedName>
    <definedName name="___TP1" localSheetId="1">#REF!</definedName>
    <definedName name="___TP1">#REF!</definedName>
    <definedName name="__123Graph_B" localSheetId="1" hidden="1">#REF!</definedName>
    <definedName name="__123Graph_B" hidden="1">#REF!</definedName>
    <definedName name="__A17000" localSheetId="1">#REF!</definedName>
    <definedName name="__A17000">#REF!</definedName>
    <definedName name="__A20000" localSheetId="1">#REF!</definedName>
    <definedName name="__A20000">#REF!</definedName>
    <definedName name="__A30000" localSheetId="1">#REF!</definedName>
    <definedName name="__A30000">#REF!</definedName>
    <definedName name="__ALL4" localSheetId="1">#REF!</definedName>
    <definedName name="__ALL4">#REF!</definedName>
    <definedName name="__APU221" localSheetId="1">#REF!</definedName>
    <definedName name="__APU221">#REF!</definedName>
    <definedName name="__CMU005" localSheetId="1" hidden="1">#REF!</definedName>
    <definedName name="__CMU005" hidden="1">#REF!</definedName>
    <definedName name="__CON2200" localSheetId="1">#REF!</definedName>
    <definedName name="__CON2200">#REF!</definedName>
    <definedName name="__CON2500" localSheetId="1">#REF!</definedName>
    <definedName name="__CON2500">#REF!</definedName>
    <definedName name="__con3000" localSheetId="1">#REF!</definedName>
    <definedName name="__con3000">#REF!</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key3" localSheetId="1" hidden="1">#REF!</definedName>
    <definedName name="__key3" hidden="1">#REF!</definedName>
    <definedName name="__key31" localSheetId="1" hidden="1">#REF!</definedName>
    <definedName name="__key31" hidden="1">#REF!</definedName>
    <definedName name="__MDC3" localSheetId="1">#REF!</definedName>
    <definedName name="__MDC3">#REF!</definedName>
    <definedName name="__min2" localSheetId="1">#REF!</definedName>
    <definedName name="__min2">#REF!</definedName>
    <definedName name="__mor15" localSheetId="1">#REF!</definedName>
    <definedName name="__mor15">#REF!</definedName>
    <definedName name="__Pag10" localSheetId="1">#REF!</definedName>
    <definedName name="__Pag10">#REF!</definedName>
    <definedName name="__PJ50" localSheetId="1">#REF!</definedName>
    <definedName name="__PJ50">#REF!</definedName>
    <definedName name="__pj51" localSheetId="1">#REF!</definedName>
    <definedName name="__pj51">#REF!</definedName>
    <definedName name="__PRE12" localSheetId="1">#REF!</definedName>
    <definedName name="__PRE12">#REF!</definedName>
    <definedName name="__R" localSheetId="1">#REF!</definedName>
    <definedName name="__R">#REF!</definedName>
    <definedName name="__rc" localSheetId="1">#REF!</definedName>
    <definedName name="__rc">#REF!</definedName>
    <definedName name="__TLL3" localSheetId="1">#REF!</definedName>
    <definedName name="__TLL3">#REF!</definedName>
    <definedName name="__TP1" localSheetId="1">#REF!</definedName>
    <definedName name="__TP1">#REF!</definedName>
    <definedName name="__xlfn.BAHTTEXT" hidden="1">#NAME?</definedName>
    <definedName name="_a1" localSheetId="50" hidden="1">{"TAB1",#N/A,TRUE,"GENERAL";"TAB2",#N/A,TRUE,"GENERAL";"TAB3",#N/A,TRUE,"GENERAL";"TAB4",#N/A,TRUE,"GENERAL";"TAB5",#N/A,TRUE,"GENERAL"}</definedName>
    <definedName name="_a1" localSheetId="1" hidden="1">{"TAB1",#N/A,TRUE,"GENERAL";"TAB2",#N/A,TRUE,"GENERAL";"TAB3",#N/A,TRUE,"GENERAL";"TAB4",#N/A,TRUE,"GENERAL";"TAB5",#N/A,TRUE,"GENERAL"}</definedName>
    <definedName name="_a1" localSheetId="73" hidden="1">{"TAB1",#N/A,TRUE,"GENERAL";"TAB2",#N/A,TRUE,"GENERAL";"TAB3",#N/A,TRUE,"GENERAL";"TAB4",#N/A,TRUE,"GENERAL";"TAB5",#N/A,TRUE,"GENERAL"}</definedName>
    <definedName name="_a1" hidden="1">{"TAB1",#N/A,TRUE,"GENERAL";"TAB2",#N/A,TRUE,"GENERAL";"TAB3",#N/A,TRUE,"GENERAL";"TAB4",#N/A,TRUE,"GENERAL";"TAB5",#N/A,TRUE,"GENERAL"}</definedName>
    <definedName name="_A17000" localSheetId="1">#REF!</definedName>
    <definedName name="_A17000">#REF!</definedName>
    <definedName name="_A20000" localSheetId="1">#REF!</definedName>
    <definedName name="_A20000">#REF!</definedName>
    <definedName name="_a3" localSheetId="50" hidden="1">{"TAB1",#N/A,TRUE,"GENERAL";"TAB2",#N/A,TRUE,"GENERAL";"TAB3",#N/A,TRUE,"GENERAL";"TAB4",#N/A,TRUE,"GENERAL";"TAB5",#N/A,TRUE,"GENERAL"}</definedName>
    <definedName name="_a3" localSheetId="1" hidden="1">{"TAB1",#N/A,TRUE,"GENERAL";"TAB2",#N/A,TRUE,"GENERAL";"TAB3",#N/A,TRUE,"GENERAL";"TAB4",#N/A,TRUE,"GENERAL";"TAB5",#N/A,TRUE,"GENERAL"}</definedName>
    <definedName name="_a3" localSheetId="73" hidden="1">{"TAB1",#N/A,TRUE,"GENERAL";"TAB2",#N/A,TRUE,"GENERAL";"TAB3",#N/A,TRUE,"GENERAL";"TAB4",#N/A,TRUE,"GENERAL";"TAB5",#N/A,TRUE,"GENERAL"}</definedName>
    <definedName name="_a3" hidden="1">{"TAB1",#N/A,TRUE,"GENERAL";"TAB2",#N/A,TRUE,"GENERAL";"TAB3",#N/A,TRUE,"GENERAL";"TAB4",#N/A,TRUE,"GENERAL";"TAB5",#N/A,TRUE,"GENERAL"}</definedName>
    <definedName name="_A30000" localSheetId="1">#REF!</definedName>
    <definedName name="_A30000">#REF!</definedName>
    <definedName name="_a4" localSheetId="50" hidden="1">{"via1",#N/A,TRUE,"general";"via2",#N/A,TRUE,"general";"via3",#N/A,TRUE,"general"}</definedName>
    <definedName name="_a4" localSheetId="1" hidden="1">{"via1",#N/A,TRUE,"general";"via2",#N/A,TRUE,"general";"via3",#N/A,TRUE,"general"}</definedName>
    <definedName name="_a4" localSheetId="73" hidden="1">{"via1",#N/A,TRUE,"general";"via2",#N/A,TRUE,"general";"via3",#N/A,TRUE,"general"}</definedName>
    <definedName name="_a4" hidden="1">{"via1",#N/A,TRUE,"general";"via2",#N/A,TRUE,"general";"via3",#N/A,TRUE,"general"}</definedName>
    <definedName name="_a5" localSheetId="50" hidden="1">{"TAB1",#N/A,TRUE,"GENERAL";"TAB2",#N/A,TRUE,"GENERAL";"TAB3",#N/A,TRUE,"GENERAL";"TAB4",#N/A,TRUE,"GENERAL";"TAB5",#N/A,TRUE,"GENERAL"}</definedName>
    <definedName name="_a5" localSheetId="1" hidden="1">{"TAB1",#N/A,TRUE,"GENERAL";"TAB2",#N/A,TRUE,"GENERAL";"TAB3",#N/A,TRUE,"GENERAL";"TAB4",#N/A,TRUE,"GENERAL";"TAB5",#N/A,TRUE,"GENERAL"}</definedName>
    <definedName name="_a5" localSheetId="73" hidden="1">{"TAB1",#N/A,TRUE,"GENERAL";"TAB2",#N/A,TRUE,"GENERAL";"TAB3",#N/A,TRUE,"GENERAL";"TAB4",#N/A,TRUE,"GENERAL";"TAB5",#N/A,TRUE,"GENERAL"}</definedName>
    <definedName name="_a5" hidden="1">{"TAB1",#N/A,TRUE,"GENERAL";"TAB2",#N/A,TRUE,"GENERAL";"TAB3",#N/A,TRUE,"GENERAL";"TAB4",#N/A,TRUE,"GENERAL";"TAB5",#N/A,TRUE,"GENERAL"}</definedName>
    <definedName name="_a6" localSheetId="50" hidden="1">{"TAB1",#N/A,TRUE,"GENERAL";"TAB2",#N/A,TRUE,"GENERAL";"TAB3",#N/A,TRUE,"GENERAL";"TAB4",#N/A,TRUE,"GENERAL";"TAB5",#N/A,TRUE,"GENERAL"}</definedName>
    <definedName name="_a6" localSheetId="1" hidden="1">{"TAB1",#N/A,TRUE,"GENERAL";"TAB2",#N/A,TRUE,"GENERAL";"TAB3",#N/A,TRUE,"GENERAL";"TAB4",#N/A,TRUE,"GENERAL";"TAB5",#N/A,TRUE,"GENERAL"}</definedName>
    <definedName name="_a6" localSheetId="73" hidden="1">{"TAB1",#N/A,TRUE,"GENERAL";"TAB2",#N/A,TRUE,"GENERAL";"TAB3",#N/A,TRUE,"GENERAL";"TAB4",#N/A,TRUE,"GENERAL";"TAB5",#N/A,TRUE,"GENERAL"}</definedName>
    <definedName name="_a6" hidden="1">{"TAB1",#N/A,TRUE,"GENERAL";"TAB2",#N/A,TRUE,"GENERAL";"TAB3",#N/A,TRUE,"GENERAL";"TAB4",#N/A,TRUE,"GENERAL";"TAB5",#N/A,TRUE,"GENERAL"}</definedName>
    <definedName name="_AAS1" localSheetId="50" hidden="1">{#N/A,#N/A,TRUE,"INGENIERIA";#N/A,#N/A,TRUE,"COMPRAS";#N/A,#N/A,TRUE,"DIRECCION";#N/A,#N/A,TRUE,"RESUMEN"}</definedName>
    <definedName name="_AAS1" localSheetId="1" hidden="1">{#N/A,#N/A,TRUE,"INGENIERIA";#N/A,#N/A,TRUE,"COMPRAS";#N/A,#N/A,TRUE,"DIRECCION";#N/A,#N/A,TRUE,"RESUMEN"}</definedName>
    <definedName name="_AAS1" localSheetId="73" hidden="1">{#N/A,#N/A,TRUE,"INGENIERIA";#N/A,#N/A,TRUE,"COMPRAS";#N/A,#N/A,TRUE,"DIRECCION";#N/A,#N/A,TRUE,"RESUMEN"}</definedName>
    <definedName name="_AAS1" hidden="1">{#N/A,#N/A,TRUE,"INGENIERIA";#N/A,#N/A,TRUE,"COMPRAS";#N/A,#N/A,TRUE,"DIRECCION";#N/A,#N/A,TRUE,"RESUMEN"}</definedName>
    <definedName name="_ABC1" localSheetId="50" hidden="1">{#N/A,#N/A,TRUE,"1842CWN0"}</definedName>
    <definedName name="_ABC1" localSheetId="1" hidden="1">{#N/A,#N/A,TRUE,"1842CWN0"}</definedName>
    <definedName name="_ABC1" localSheetId="73" hidden="1">{#N/A,#N/A,TRUE,"1842CWN0"}</definedName>
    <definedName name="_ABC1" hidden="1">{#N/A,#N/A,TRUE,"1842CWN0"}</definedName>
    <definedName name="_abc2" localSheetId="50" hidden="1">{#N/A,#N/A,TRUE,"1842CWN0"}</definedName>
    <definedName name="_abc2" localSheetId="1" hidden="1">{#N/A,#N/A,TRUE,"1842CWN0"}</definedName>
    <definedName name="_abc2" localSheetId="73" hidden="1">{#N/A,#N/A,TRUE,"1842CWN0"}</definedName>
    <definedName name="_abc2" hidden="1">{#N/A,#N/A,TRUE,"1842CWN0"}</definedName>
    <definedName name="_ALL4" localSheetId="1">#REF!</definedName>
    <definedName name="_ALL4">#REF!</definedName>
    <definedName name="_APU221" localSheetId="1">#REF!</definedName>
    <definedName name="_APU221">#REF!</definedName>
    <definedName name="_APU3" localSheetId="1">#REF!</definedName>
    <definedName name="_APU3">#REF!</definedName>
    <definedName name="_b2" localSheetId="50" hidden="1">{"TAB1",#N/A,TRUE,"GENERAL";"TAB2",#N/A,TRUE,"GENERAL";"TAB3",#N/A,TRUE,"GENERAL";"TAB4",#N/A,TRUE,"GENERAL";"TAB5",#N/A,TRUE,"GENERAL"}</definedName>
    <definedName name="_b2" localSheetId="1" hidden="1">{"TAB1",#N/A,TRUE,"GENERAL";"TAB2",#N/A,TRUE,"GENERAL";"TAB3",#N/A,TRUE,"GENERAL";"TAB4",#N/A,TRUE,"GENERAL";"TAB5",#N/A,TRUE,"GENERAL"}</definedName>
    <definedName name="_b2" localSheetId="73" hidden="1">{"TAB1",#N/A,TRUE,"GENERAL";"TAB2",#N/A,TRUE,"GENERAL";"TAB3",#N/A,TRUE,"GENERAL";"TAB4",#N/A,TRUE,"GENERAL";"TAB5",#N/A,TRUE,"GENERAL"}</definedName>
    <definedName name="_b2" hidden="1">{"TAB1",#N/A,TRUE,"GENERAL";"TAB2",#N/A,TRUE,"GENERAL";"TAB3",#N/A,TRUE,"GENERAL";"TAB4",#N/A,TRUE,"GENERAL";"TAB5",#N/A,TRUE,"GENERAL"}</definedName>
    <definedName name="_b3" localSheetId="50" hidden="1">{"TAB1",#N/A,TRUE,"GENERAL";"TAB2",#N/A,TRUE,"GENERAL";"TAB3",#N/A,TRUE,"GENERAL";"TAB4",#N/A,TRUE,"GENERAL";"TAB5",#N/A,TRUE,"GENERAL"}</definedName>
    <definedName name="_b3" localSheetId="1" hidden="1">{"TAB1",#N/A,TRUE,"GENERAL";"TAB2",#N/A,TRUE,"GENERAL";"TAB3",#N/A,TRUE,"GENERAL";"TAB4",#N/A,TRUE,"GENERAL";"TAB5",#N/A,TRUE,"GENERAL"}</definedName>
    <definedName name="_b3" localSheetId="73" hidden="1">{"TAB1",#N/A,TRUE,"GENERAL";"TAB2",#N/A,TRUE,"GENERAL";"TAB3",#N/A,TRUE,"GENERAL";"TAB4",#N/A,TRUE,"GENERAL";"TAB5",#N/A,TRUE,"GENERAL"}</definedName>
    <definedName name="_b3" hidden="1">{"TAB1",#N/A,TRUE,"GENERAL";"TAB2",#N/A,TRUE,"GENERAL";"TAB3",#N/A,TRUE,"GENERAL";"TAB4",#N/A,TRUE,"GENERAL";"TAB5",#N/A,TRUE,"GENERAL"}</definedName>
    <definedName name="_b4" localSheetId="50" hidden="1">{"TAB1",#N/A,TRUE,"GENERAL";"TAB2",#N/A,TRUE,"GENERAL";"TAB3",#N/A,TRUE,"GENERAL";"TAB4",#N/A,TRUE,"GENERAL";"TAB5",#N/A,TRUE,"GENERAL"}</definedName>
    <definedName name="_b4" localSheetId="1" hidden="1">{"TAB1",#N/A,TRUE,"GENERAL";"TAB2",#N/A,TRUE,"GENERAL";"TAB3",#N/A,TRUE,"GENERAL";"TAB4",#N/A,TRUE,"GENERAL";"TAB5",#N/A,TRUE,"GENERAL"}</definedName>
    <definedName name="_b4" localSheetId="73" hidden="1">{"TAB1",#N/A,TRUE,"GENERAL";"TAB2",#N/A,TRUE,"GENERAL";"TAB3",#N/A,TRUE,"GENERAL";"TAB4",#N/A,TRUE,"GENERAL";"TAB5",#N/A,TRUE,"GENERAL"}</definedName>
    <definedName name="_b4" hidden="1">{"TAB1",#N/A,TRUE,"GENERAL";"TAB2",#N/A,TRUE,"GENERAL";"TAB3",#N/A,TRUE,"GENERAL";"TAB4",#N/A,TRUE,"GENERAL";"TAB5",#N/A,TRUE,"GENERAL"}</definedName>
    <definedName name="_b5" localSheetId="50" hidden="1">{"TAB1",#N/A,TRUE,"GENERAL";"TAB2",#N/A,TRUE,"GENERAL";"TAB3",#N/A,TRUE,"GENERAL";"TAB4",#N/A,TRUE,"GENERAL";"TAB5",#N/A,TRUE,"GENERAL"}</definedName>
    <definedName name="_b5" localSheetId="1" hidden="1">{"TAB1",#N/A,TRUE,"GENERAL";"TAB2",#N/A,TRUE,"GENERAL";"TAB3",#N/A,TRUE,"GENERAL";"TAB4",#N/A,TRUE,"GENERAL";"TAB5",#N/A,TRUE,"GENERAL"}</definedName>
    <definedName name="_b5" localSheetId="73" hidden="1">{"TAB1",#N/A,TRUE,"GENERAL";"TAB2",#N/A,TRUE,"GENERAL";"TAB3",#N/A,TRUE,"GENERAL";"TAB4",#N/A,TRUE,"GENERAL";"TAB5",#N/A,TRUE,"GENERAL"}</definedName>
    <definedName name="_b5" hidden="1">{"TAB1",#N/A,TRUE,"GENERAL";"TAB2",#N/A,TRUE,"GENERAL";"TAB3",#N/A,TRUE,"GENERAL";"TAB4",#N/A,TRUE,"GENERAL";"TAB5",#N/A,TRUE,"GENERAL"}</definedName>
    <definedName name="_b6" localSheetId="50" hidden="1">{"TAB1",#N/A,TRUE,"GENERAL";"TAB2",#N/A,TRUE,"GENERAL";"TAB3",#N/A,TRUE,"GENERAL";"TAB4",#N/A,TRUE,"GENERAL";"TAB5",#N/A,TRUE,"GENERAL"}</definedName>
    <definedName name="_b6" localSheetId="1" hidden="1">{"TAB1",#N/A,TRUE,"GENERAL";"TAB2",#N/A,TRUE,"GENERAL";"TAB3",#N/A,TRUE,"GENERAL";"TAB4",#N/A,TRUE,"GENERAL";"TAB5",#N/A,TRUE,"GENERAL"}</definedName>
    <definedName name="_b6" localSheetId="73" hidden="1">{"TAB1",#N/A,TRUE,"GENERAL";"TAB2",#N/A,TRUE,"GENERAL";"TAB3",#N/A,TRUE,"GENERAL";"TAB4",#N/A,TRUE,"GENERAL";"TAB5",#N/A,TRUE,"GENERAL"}</definedName>
    <definedName name="_b6" hidden="1">{"TAB1",#N/A,TRUE,"GENERAL";"TAB2",#N/A,TRUE,"GENERAL";"TAB3",#N/A,TRUE,"GENERAL";"TAB4",#N/A,TRUE,"GENERAL";"TAB5",#N/A,TRUE,"GENERAL"}</definedName>
    <definedName name="_b7" localSheetId="50" hidden="1">{"via1",#N/A,TRUE,"general";"via2",#N/A,TRUE,"general";"via3",#N/A,TRUE,"general"}</definedName>
    <definedName name="_b7" localSheetId="1" hidden="1">{"via1",#N/A,TRUE,"general";"via2",#N/A,TRUE,"general";"via3",#N/A,TRUE,"general"}</definedName>
    <definedName name="_b7" localSheetId="73" hidden="1">{"via1",#N/A,TRUE,"general";"via2",#N/A,TRUE,"general";"via3",#N/A,TRUE,"general"}</definedName>
    <definedName name="_b7" hidden="1">{"via1",#N/A,TRUE,"general";"via2",#N/A,TRUE,"general";"via3",#N/A,TRUE,"general"}</definedName>
    <definedName name="_b8" localSheetId="50" hidden="1">{"via1",#N/A,TRUE,"general";"via2",#N/A,TRUE,"general";"via3",#N/A,TRUE,"general"}</definedName>
    <definedName name="_b8" localSheetId="1" hidden="1">{"via1",#N/A,TRUE,"general";"via2",#N/A,TRUE,"general";"via3",#N/A,TRUE,"general"}</definedName>
    <definedName name="_b8" localSheetId="73" hidden="1">{"via1",#N/A,TRUE,"general";"via2",#N/A,TRUE,"general";"via3",#N/A,TRUE,"general"}</definedName>
    <definedName name="_b8" hidden="1">{"via1",#N/A,TRUE,"general";"via2",#N/A,TRUE,"general";"via3",#N/A,TRUE,"general"}</definedName>
    <definedName name="_bb9" localSheetId="50" hidden="1">{"TAB1",#N/A,TRUE,"GENERAL";"TAB2",#N/A,TRUE,"GENERAL";"TAB3",#N/A,TRUE,"GENERAL";"TAB4",#N/A,TRUE,"GENERAL";"TAB5",#N/A,TRUE,"GENERAL"}</definedName>
    <definedName name="_bb9" localSheetId="1" hidden="1">{"TAB1",#N/A,TRUE,"GENERAL";"TAB2",#N/A,TRUE,"GENERAL";"TAB3",#N/A,TRUE,"GENERAL";"TAB4",#N/A,TRUE,"GENERAL";"TAB5",#N/A,TRUE,"GENERAL"}</definedName>
    <definedName name="_bb9" localSheetId="73" hidden="1">{"TAB1",#N/A,TRUE,"GENERAL";"TAB2",#N/A,TRUE,"GENERAL";"TAB3",#N/A,TRUE,"GENERAL";"TAB4",#N/A,TRUE,"GENERAL";"TAB5",#N/A,TRUE,"GENERAL"}</definedName>
    <definedName name="_bb9" hidden="1">{"TAB1",#N/A,TRUE,"GENERAL";"TAB2",#N/A,TRUE,"GENERAL";"TAB3",#N/A,TRUE,"GENERAL";"TAB4",#N/A,TRUE,"GENERAL";"TAB5",#N/A,TRUE,"GENERAL"}</definedName>
    <definedName name="_bgb5" localSheetId="50" hidden="1">{"TAB1",#N/A,TRUE,"GENERAL";"TAB2",#N/A,TRUE,"GENERAL";"TAB3",#N/A,TRUE,"GENERAL";"TAB4",#N/A,TRUE,"GENERAL";"TAB5",#N/A,TRUE,"GENERAL"}</definedName>
    <definedName name="_bgb5" localSheetId="1" hidden="1">{"TAB1",#N/A,TRUE,"GENERAL";"TAB2",#N/A,TRUE,"GENERAL";"TAB3",#N/A,TRUE,"GENERAL";"TAB4",#N/A,TRUE,"GENERAL";"TAB5",#N/A,TRUE,"GENERAL"}</definedName>
    <definedName name="_bgb5" localSheetId="73" hidden="1">{"TAB1",#N/A,TRUE,"GENERAL";"TAB2",#N/A,TRUE,"GENERAL";"TAB3",#N/A,TRUE,"GENERAL";"TAB4",#N/A,TRUE,"GENERAL";"TAB5",#N/A,TRUE,"GENERAL"}</definedName>
    <definedName name="_bgb5" hidden="1">{"TAB1",#N/A,TRUE,"GENERAL";"TAB2",#N/A,TRUE,"GENERAL";"TAB3",#N/A,TRUE,"GENERAL";"TAB4",#N/A,TRUE,"GENERAL";"TAB5",#N/A,TRUE,"GENERAL"}</definedName>
    <definedName name="_CMU005" localSheetId="1" hidden="1">#REF!</definedName>
    <definedName name="_CMU005" hidden="1">#REF!</definedName>
    <definedName name="_CON2200" localSheetId="1">#REF!</definedName>
    <definedName name="_CON2200">#REF!</definedName>
    <definedName name="_con2500" localSheetId="1">#REF!</definedName>
    <definedName name="_con2500">#REF!</definedName>
    <definedName name="_con3000" localSheetId="1">#REF!</definedName>
    <definedName name="_con3000">#REF!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23" localSheetId="1">#REF!</definedName>
    <definedName name="_EST23">#REF!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ill" localSheetId="1" hidden="1">#REF!</definedName>
    <definedName name="_Fill" localSheetId="71" hidden="1">#REF!</definedName>
    <definedName name="_Fill" localSheetId="73" hidden="1">#REF!</definedName>
    <definedName name="_Fill" hidden="1">#REF!</definedName>
    <definedName name="_xlnm._FilterDatabase" localSheetId="73" hidden="1">EQUIPOS!$A$6:$F$46</definedName>
    <definedName name="_xlnm._FilterDatabase" localSheetId="72" hidden="1">'LISTADO DE MATERIALES'!$A$5:$D$189</definedName>
    <definedName name="_g2" localSheetId="50" hidden="1">{"TAB1",#N/A,TRUE,"GENERAL";"TAB2",#N/A,TRUE,"GENERAL";"TAB3",#N/A,TRUE,"GENERAL";"TAB4",#N/A,TRUE,"GENERAL";"TAB5",#N/A,TRUE,"GENERAL"}</definedName>
    <definedName name="_g2" localSheetId="1" hidden="1">{"TAB1",#N/A,TRUE,"GENERAL";"TAB2",#N/A,TRUE,"GENERAL";"TAB3",#N/A,TRUE,"GENERAL";"TAB4",#N/A,TRUE,"GENERAL";"TAB5",#N/A,TRUE,"GENERAL"}</definedName>
    <definedName name="_g2" localSheetId="73" hidden="1">{"TAB1",#N/A,TRUE,"GENERAL";"TAB2",#N/A,TRUE,"GENERAL";"TAB3",#N/A,TRUE,"GENERAL";"TAB4",#N/A,TRUE,"GENERAL";"TAB5",#N/A,TRUE,"GENERAL"}</definedName>
    <definedName name="_g2" hidden="1">{"TAB1",#N/A,TRUE,"GENERAL";"TAB2",#N/A,TRUE,"GENERAL";"TAB3",#N/A,TRUE,"GENERAL";"TAB4",#N/A,TRUE,"GENERAL";"TAB5",#N/A,TRUE,"GENERAL"}</definedName>
    <definedName name="_g3" localSheetId="50" hidden="1">{"via1",#N/A,TRUE,"general";"via2",#N/A,TRUE,"general";"via3",#N/A,TRUE,"general"}</definedName>
    <definedName name="_g3" localSheetId="1" hidden="1">{"via1",#N/A,TRUE,"general";"via2",#N/A,TRUE,"general";"via3",#N/A,TRUE,"general"}</definedName>
    <definedName name="_g3" localSheetId="73" hidden="1">{"via1",#N/A,TRUE,"general";"via2",#N/A,TRUE,"general";"via3",#N/A,TRUE,"general"}</definedName>
    <definedName name="_g3" hidden="1">{"via1",#N/A,TRUE,"general";"via2",#N/A,TRUE,"general";"via3",#N/A,TRUE,"general"}</definedName>
    <definedName name="_g4" localSheetId="50" hidden="1">{"via1",#N/A,TRUE,"general";"via2",#N/A,TRUE,"general";"via3",#N/A,TRUE,"general"}</definedName>
    <definedName name="_g4" localSheetId="1" hidden="1">{"via1",#N/A,TRUE,"general";"via2",#N/A,TRUE,"general";"via3",#N/A,TRUE,"general"}</definedName>
    <definedName name="_g4" localSheetId="73" hidden="1">{"via1",#N/A,TRUE,"general";"via2",#N/A,TRUE,"general";"via3",#N/A,TRUE,"general"}</definedName>
    <definedName name="_g4" hidden="1">{"via1",#N/A,TRUE,"general";"via2",#N/A,TRUE,"general";"via3",#N/A,TRUE,"general"}</definedName>
    <definedName name="_g5" localSheetId="50" hidden="1">{"via1",#N/A,TRUE,"general";"via2",#N/A,TRUE,"general";"via3",#N/A,TRUE,"general"}</definedName>
    <definedName name="_g5" localSheetId="1" hidden="1">{"via1",#N/A,TRUE,"general";"via2",#N/A,TRUE,"general";"via3",#N/A,TRUE,"general"}</definedName>
    <definedName name="_g5" localSheetId="73" hidden="1">{"via1",#N/A,TRUE,"general";"via2",#N/A,TRUE,"general";"via3",#N/A,TRUE,"general"}</definedName>
    <definedName name="_g5" hidden="1">{"via1",#N/A,TRUE,"general";"via2",#N/A,TRUE,"general";"via3",#N/A,TRUE,"general"}</definedName>
    <definedName name="_g6" localSheetId="50" hidden="1">{"via1",#N/A,TRUE,"general";"via2",#N/A,TRUE,"general";"via3",#N/A,TRUE,"general"}</definedName>
    <definedName name="_g6" localSheetId="1" hidden="1">{"via1",#N/A,TRUE,"general";"via2",#N/A,TRUE,"general";"via3",#N/A,TRUE,"general"}</definedName>
    <definedName name="_g6" localSheetId="73" hidden="1">{"via1",#N/A,TRUE,"general";"via2",#N/A,TRUE,"general";"via3",#N/A,TRUE,"general"}</definedName>
    <definedName name="_g6" hidden="1">{"via1",#N/A,TRUE,"general";"via2",#N/A,TRUE,"general";"via3",#N/A,TRUE,"general"}</definedName>
    <definedName name="_g7" localSheetId="50" hidden="1">{"TAB1",#N/A,TRUE,"GENERAL";"TAB2",#N/A,TRUE,"GENERAL";"TAB3",#N/A,TRUE,"GENERAL";"TAB4",#N/A,TRUE,"GENERAL";"TAB5",#N/A,TRUE,"GENERAL"}</definedName>
    <definedName name="_g7" localSheetId="1" hidden="1">{"TAB1",#N/A,TRUE,"GENERAL";"TAB2",#N/A,TRUE,"GENERAL";"TAB3",#N/A,TRUE,"GENERAL";"TAB4",#N/A,TRUE,"GENERAL";"TAB5",#N/A,TRUE,"GENERAL"}</definedName>
    <definedName name="_g7" localSheetId="73" hidden="1">{"TAB1",#N/A,TRUE,"GENERAL";"TAB2",#N/A,TRUE,"GENERAL";"TAB3",#N/A,TRUE,"GENERAL";"TAB4",#N/A,TRUE,"GENERAL";"TAB5",#N/A,TRUE,"GENERAL"}</definedName>
    <definedName name="_g7" hidden="1">{"TAB1",#N/A,TRUE,"GENERAL";"TAB2",#N/A,TRUE,"GENERAL";"TAB3",#N/A,TRUE,"GENERAL";"TAB4",#N/A,TRUE,"GENERAL";"TAB5",#N/A,TRUE,"GENERAL"}</definedName>
    <definedName name="_GR1" localSheetId="50" hidden="1">{"TAB1",#N/A,TRUE,"GENERAL";"TAB2",#N/A,TRUE,"GENERAL";"TAB3",#N/A,TRUE,"GENERAL";"TAB4",#N/A,TRUE,"GENERAL";"TAB5",#N/A,TRUE,"GENERAL"}</definedName>
    <definedName name="_GR1" localSheetId="1" hidden="1">{"TAB1",#N/A,TRUE,"GENERAL";"TAB2",#N/A,TRUE,"GENERAL";"TAB3",#N/A,TRUE,"GENERAL";"TAB4",#N/A,TRUE,"GENERAL";"TAB5",#N/A,TRUE,"GENERAL"}</definedName>
    <definedName name="_GR1" localSheetId="73" hidden="1">{"TAB1",#N/A,TRUE,"GENERAL";"TAB2",#N/A,TRUE,"GENERAL";"TAB3",#N/A,TRUE,"GENERAL";"TAB4",#N/A,TRUE,"GENERAL";"TAB5",#N/A,TRUE,"GENERAL"}</definedName>
    <definedName name="_GR1" hidden="1">{"TAB1",#N/A,TRUE,"GENERAL";"TAB2",#N/A,TRUE,"GENERAL";"TAB3",#N/A,TRUE,"GENERAL";"TAB4",#N/A,TRUE,"GENERAL";"TAB5",#N/A,TRUE,"GENERAL"}</definedName>
    <definedName name="_gtr4" localSheetId="50" hidden="1">{"via1",#N/A,TRUE,"general";"via2",#N/A,TRUE,"general";"via3",#N/A,TRUE,"general"}</definedName>
    <definedName name="_gtr4" localSheetId="1" hidden="1">{"via1",#N/A,TRUE,"general";"via2",#N/A,TRUE,"general";"via3",#N/A,TRUE,"general"}</definedName>
    <definedName name="_gtr4" localSheetId="73" hidden="1">{"via1",#N/A,TRUE,"general";"via2",#N/A,TRUE,"general";"via3",#N/A,TRUE,"general"}</definedName>
    <definedName name="_gtr4" hidden="1">{"via1",#N/A,TRUE,"general";"via2",#N/A,TRUE,"general";"via3",#N/A,TRUE,"general"}</definedName>
    <definedName name="_h2" localSheetId="50" hidden="1">{"via1",#N/A,TRUE,"general";"via2",#N/A,TRUE,"general";"via3",#N/A,TRUE,"general"}</definedName>
    <definedName name="_h2" localSheetId="1" hidden="1">{"via1",#N/A,TRUE,"general";"via2",#N/A,TRUE,"general";"via3",#N/A,TRUE,"general"}</definedName>
    <definedName name="_h2" localSheetId="73" hidden="1">{"via1",#N/A,TRUE,"general";"via2",#N/A,TRUE,"general";"via3",#N/A,TRUE,"general"}</definedName>
    <definedName name="_h2" hidden="1">{"via1",#N/A,TRUE,"general";"via2",#N/A,TRUE,"general";"via3",#N/A,TRUE,"general"}</definedName>
    <definedName name="_h3" localSheetId="50" hidden="1">{"via1",#N/A,TRUE,"general";"via2",#N/A,TRUE,"general";"via3",#N/A,TRUE,"general"}</definedName>
    <definedName name="_h3" localSheetId="1" hidden="1">{"via1",#N/A,TRUE,"general";"via2",#N/A,TRUE,"general";"via3",#N/A,TRUE,"general"}</definedName>
    <definedName name="_h3" localSheetId="73" hidden="1">{"via1",#N/A,TRUE,"general";"via2",#N/A,TRUE,"general";"via3",#N/A,TRUE,"general"}</definedName>
    <definedName name="_h3" hidden="1">{"via1",#N/A,TRUE,"general";"via2",#N/A,TRUE,"general";"via3",#N/A,TRUE,"general"}</definedName>
    <definedName name="_h4" localSheetId="50" hidden="1">{"TAB1",#N/A,TRUE,"GENERAL";"TAB2",#N/A,TRUE,"GENERAL";"TAB3",#N/A,TRUE,"GENERAL";"TAB4",#N/A,TRUE,"GENERAL";"TAB5",#N/A,TRUE,"GENERAL"}</definedName>
    <definedName name="_h4" localSheetId="1" hidden="1">{"TAB1",#N/A,TRUE,"GENERAL";"TAB2",#N/A,TRUE,"GENERAL";"TAB3",#N/A,TRUE,"GENERAL";"TAB4",#N/A,TRUE,"GENERAL";"TAB5",#N/A,TRUE,"GENERAL"}</definedName>
    <definedName name="_h4" localSheetId="73" hidden="1">{"TAB1",#N/A,TRUE,"GENERAL";"TAB2",#N/A,TRUE,"GENERAL";"TAB3",#N/A,TRUE,"GENERAL";"TAB4",#N/A,TRUE,"GENERAL";"TAB5",#N/A,TRUE,"GENERAL"}</definedName>
    <definedName name="_h4" hidden="1">{"TAB1",#N/A,TRUE,"GENERAL";"TAB2",#N/A,TRUE,"GENERAL";"TAB3",#N/A,TRUE,"GENERAL";"TAB4",#N/A,TRUE,"GENERAL";"TAB5",#N/A,TRUE,"GENERAL"}</definedName>
    <definedName name="_h5" localSheetId="50" hidden="1">{"TAB1",#N/A,TRUE,"GENERAL";"TAB2",#N/A,TRUE,"GENERAL";"TAB3",#N/A,TRUE,"GENERAL";"TAB4",#N/A,TRUE,"GENERAL";"TAB5",#N/A,TRUE,"GENERAL"}</definedName>
    <definedName name="_h5" localSheetId="1" hidden="1">{"TAB1",#N/A,TRUE,"GENERAL";"TAB2",#N/A,TRUE,"GENERAL";"TAB3",#N/A,TRUE,"GENERAL";"TAB4",#N/A,TRUE,"GENERAL";"TAB5",#N/A,TRUE,"GENERAL"}</definedName>
    <definedName name="_h5" localSheetId="73" hidden="1">{"TAB1",#N/A,TRUE,"GENERAL";"TAB2",#N/A,TRUE,"GENERAL";"TAB3",#N/A,TRUE,"GENERAL";"TAB4",#N/A,TRUE,"GENERAL";"TAB5",#N/A,TRUE,"GENERAL"}</definedName>
    <definedName name="_h5" hidden="1">{"TAB1",#N/A,TRUE,"GENERAL";"TAB2",#N/A,TRUE,"GENERAL";"TAB3",#N/A,TRUE,"GENERAL";"TAB4",#N/A,TRUE,"GENERAL";"TAB5",#N/A,TRUE,"GENERAL"}</definedName>
    <definedName name="_h6" localSheetId="50" hidden="1">{"via1",#N/A,TRUE,"general";"via2",#N/A,TRUE,"general";"via3",#N/A,TRUE,"general"}</definedName>
    <definedName name="_h6" localSheetId="1" hidden="1">{"via1",#N/A,TRUE,"general";"via2",#N/A,TRUE,"general";"via3",#N/A,TRUE,"general"}</definedName>
    <definedName name="_h6" localSheetId="73" hidden="1">{"via1",#N/A,TRUE,"general";"via2",#N/A,TRUE,"general";"via3",#N/A,TRUE,"general"}</definedName>
    <definedName name="_h6" hidden="1">{"via1",#N/A,TRUE,"general";"via2",#N/A,TRUE,"general";"via3",#N/A,TRUE,"general"}</definedName>
    <definedName name="_h7" localSheetId="50" hidden="1">{"TAB1",#N/A,TRUE,"GENERAL";"TAB2",#N/A,TRUE,"GENERAL";"TAB3",#N/A,TRUE,"GENERAL";"TAB4",#N/A,TRUE,"GENERAL";"TAB5",#N/A,TRUE,"GENERAL"}</definedName>
    <definedName name="_h7" localSheetId="1" hidden="1">{"TAB1",#N/A,TRUE,"GENERAL";"TAB2",#N/A,TRUE,"GENERAL";"TAB3",#N/A,TRUE,"GENERAL";"TAB4",#N/A,TRUE,"GENERAL";"TAB5",#N/A,TRUE,"GENERAL"}</definedName>
    <definedName name="_h7" localSheetId="73" hidden="1">{"TAB1",#N/A,TRUE,"GENERAL";"TAB2",#N/A,TRUE,"GENERAL";"TAB3",#N/A,TRUE,"GENERAL";"TAB4",#N/A,TRUE,"GENERAL";"TAB5",#N/A,TRUE,"GENERAL"}</definedName>
    <definedName name="_h7" hidden="1">{"TAB1",#N/A,TRUE,"GENERAL";"TAB2",#N/A,TRUE,"GENERAL";"TAB3",#N/A,TRUE,"GENERAL";"TAB4",#N/A,TRUE,"GENERAL";"TAB5",#N/A,TRUE,"GENERAL"}</definedName>
    <definedName name="_h8" localSheetId="50" hidden="1">{"via1",#N/A,TRUE,"general";"via2",#N/A,TRUE,"general";"via3",#N/A,TRUE,"general"}</definedName>
    <definedName name="_h8" localSheetId="1" hidden="1">{"via1",#N/A,TRUE,"general";"via2",#N/A,TRUE,"general";"via3",#N/A,TRUE,"general"}</definedName>
    <definedName name="_h8" localSheetId="73" hidden="1">{"via1",#N/A,TRUE,"general";"via2",#N/A,TRUE,"general";"via3",#N/A,TRUE,"general"}</definedName>
    <definedName name="_h8" hidden="1">{"via1",#N/A,TRUE,"general";"via2",#N/A,TRUE,"general";"via3",#N/A,TRUE,"general"}</definedName>
    <definedName name="_hfh7" localSheetId="50" hidden="1">{"via1",#N/A,TRUE,"general";"via2",#N/A,TRUE,"general";"via3",#N/A,TRUE,"general"}</definedName>
    <definedName name="_hfh7" localSheetId="1" hidden="1">{"via1",#N/A,TRUE,"general";"via2",#N/A,TRUE,"general";"via3",#N/A,TRUE,"general"}</definedName>
    <definedName name="_hfh7" localSheetId="73" hidden="1">{"via1",#N/A,TRUE,"general";"via2",#N/A,TRUE,"general";"via3",#N/A,TRUE,"general"}</definedName>
    <definedName name="_hfh7" hidden="1">{"via1",#N/A,TRUE,"general";"via2",#N/A,TRUE,"general";"via3",#N/A,TRUE,"general"}</definedName>
    <definedName name="_hhg1" localSheetId="50" hidden="1">{#N/A,#N/A,TRUE,"1842CWN0"}</definedName>
    <definedName name="_hhg1" localSheetId="1" hidden="1">{#N/A,#N/A,TRUE,"1842CWN0"}</definedName>
    <definedName name="_hhg1" localSheetId="73" hidden="1">{#N/A,#N/A,TRUE,"1842CWN0"}</definedName>
    <definedName name="_hhg1" hidden="1">{#N/A,#N/A,TRUE,"1842CWN0"}</definedName>
    <definedName name="_i4" localSheetId="50" hidden="1">{"via1",#N/A,TRUE,"general";"via2",#N/A,TRUE,"general";"via3",#N/A,TRUE,"general"}</definedName>
    <definedName name="_i4" localSheetId="1" hidden="1">{"via1",#N/A,TRUE,"general";"via2",#N/A,TRUE,"general";"via3",#N/A,TRUE,"general"}</definedName>
    <definedName name="_i4" localSheetId="73" hidden="1">{"via1",#N/A,TRUE,"general";"via2",#N/A,TRUE,"general";"via3",#N/A,TRUE,"general"}</definedName>
    <definedName name="_i4" hidden="1">{"via1",#N/A,TRUE,"general";"via2",#N/A,TRUE,"general";"via3",#N/A,TRUE,"general"}</definedName>
    <definedName name="_i5" localSheetId="50" hidden="1">{"TAB1",#N/A,TRUE,"GENERAL";"TAB2",#N/A,TRUE,"GENERAL";"TAB3",#N/A,TRUE,"GENERAL";"TAB4",#N/A,TRUE,"GENERAL";"TAB5",#N/A,TRUE,"GENERAL"}</definedName>
    <definedName name="_i5" localSheetId="1" hidden="1">{"TAB1",#N/A,TRUE,"GENERAL";"TAB2",#N/A,TRUE,"GENERAL";"TAB3",#N/A,TRUE,"GENERAL";"TAB4",#N/A,TRUE,"GENERAL";"TAB5",#N/A,TRUE,"GENERAL"}</definedName>
    <definedName name="_i5" localSheetId="73" hidden="1">{"TAB1",#N/A,TRUE,"GENERAL";"TAB2",#N/A,TRUE,"GENERAL";"TAB3",#N/A,TRUE,"GENERAL";"TAB4",#N/A,TRUE,"GENERAL";"TAB5",#N/A,TRUE,"GENERAL"}</definedName>
    <definedName name="_i5" hidden="1">{"TAB1",#N/A,TRUE,"GENERAL";"TAB2",#N/A,TRUE,"GENERAL";"TAB3",#N/A,TRUE,"GENERAL";"TAB4",#N/A,TRUE,"GENERAL";"TAB5",#N/A,TRUE,"GENERAL"}</definedName>
    <definedName name="_i6" localSheetId="50" hidden="1">{"TAB1",#N/A,TRUE,"GENERAL";"TAB2",#N/A,TRUE,"GENERAL";"TAB3",#N/A,TRUE,"GENERAL";"TAB4",#N/A,TRUE,"GENERAL";"TAB5",#N/A,TRUE,"GENERAL"}</definedName>
    <definedName name="_i6" localSheetId="1" hidden="1">{"TAB1",#N/A,TRUE,"GENERAL";"TAB2",#N/A,TRUE,"GENERAL";"TAB3",#N/A,TRUE,"GENERAL";"TAB4",#N/A,TRUE,"GENERAL";"TAB5",#N/A,TRUE,"GENERAL"}</definedName>
    <definedName name="_i6" localSheetId="73" hidden="1">{"TAB1",#N/A,TRUE,"GENERAL";"TAB2",#N/A,TRUE,"GENERAL";"TAB3",#N/A,TRUE,"GENERAL";"TAB4",#N/A,TRUE,"GENERAL";"TAB5",#N/A,TRUE,"GENERAL"}</definedName>
    <definedName name="_i6" hidden="1">{"TAB1",#N/A,TRUE,"GENERAL";"TAB2",#N/A,TRUE,"GENERAL";"TAB3",#N/A,TRUE,"GENERAL";"TAB4",#N/A,TRUE,"GENERAL";"TAB5",#N/A,TRUE,"GENERAL"}</definedName>
    <definedName name="_i7" localSheetId="50" hidden="1">{"via1",#N/A,TRUE,"general";"via2",#N/A,TRUE,"general";"via3",#N/A,TRUE,"general"}</definedName>
    <definedName name="_i7" localSheetId="1" hidden="1">{"via1",#N/A,TRUE,"general";"via2",#N/A,TRUE,"general";"via3",#N/A,TRUE,"general"}</definedName>
    <definedName name="_i7" localSheetId="73" hidden="1">{"via1",#N/A,TRUE,"general";"via2",#N/A,TRUE,"general";"via3",#N/A,TRUE,"general"}</definedName>
    <definedName name="_i7" hidden="1">{"via1",#N/A,TRUE,"general";"via2",#N/A,TRUE,"general";"via3",#N/A,TRUE,"general"}</definedName>
    <definedName name="_i77" localSheetId="50" hidden="1">{"TAB1",#N/A,TRUE,"GENERAL";"TAB2",#N/A,TRUE,"GENERAL";"TAB3",#N/A,TRUE,"GENERAL";"TAB4",#N/A,TRUE,"GENERAL";"TAB5",#N/A,TRUE,"GENERAL"}</definedName>
    <definedName name="_i77" localSheetId="1" hidden="1">{"TAB1",#N/A,TRUE,"GENERAL";"TAB2",#N/A,TRUE,"GENERAL";"TAB3",#N/A,TRUE,"GENERAL";"TAB4",#N/A,TRUE,"GENERAL";"TAB5",#N/A,TRUE,"GENERAL"}</definedName>
    <definedName name="_i77" localSheetId="73" hidden="1">{"TAB1",#N/A,TRUE,"GENERAL";"TAB2",#N/A,TRUE,"GENERAL";"TAB3",#N/A,TRUE,"GENERAL";"TAB4",#N/A,TRUE,"GENERAL";"TAB5",#N/A,TRUE,"GENERAL"}</definedName>
    <definedName name="_i77" hidden="1">{"TAB1",#N/A,TRUE,"GENERAL";"TAB2",#N/A,TRUE,"GENERAL";"TAB3",#N/A,TRUE,"GENERAL";"TAB4",#N/A,TRUE,"GENERAL";"TAB5",#N/A,TRUE,"GENERAL"}</definedName>
    <definedName name="_i8" localSheetId="50" hidden="1">{"via1",#N/A,TRUE,"general";"via2",#N/A,TRUE,"general";"via3",#N/A,TRUE,"general"}</definedName>
    <definedName name="_i8" localSheetId="1" hidden="1">{"via1",#N/A,TRUE,"general";"via2",#N/A,TRUE,"general";"via3",#N/A,TRUE,"general"}</definedName>
    <definedName name="_i8" localSheetId="73" hidden="1">{"via1",#N/A,TRUE,"general";"via2",#N/A,TRUE,"general";"via3",#N/A,TRUE,"general"}</definedName>
    <definedName name="_i8" hidden="1">{"via1",#N/A,TRUE,"general";"via2",#N/A,TRUE,"general";"via3",#N/A,TRUE,"general"}</definedName>
    <definedName name="_i9" localSheetId="50" hidden="1">{"TAB1",#N/A,TRUE,"GENERAL";"TAB2",#N/A,TRUE,"GENERAL";"TAB3",#N/A,TRUE,"GENERAL";"TAB4",#N/A,TRUE,"GENERAL";"TAB5",#N/A,TRUE,"GENERAL"}</definedName>
    <definedName name="_i9" localSheetId="1" hidden="1">{"TAB1",#N/A,TRUE,"GENERAL";"TAB2",#N/A,TRUE,"GENERAL";"TAB3",#N/A,TRUE,"GENERAL";"TAB4",#N/A,TRUE,"GENERAL";"TAB5",#N/A,TRUE,"GENERAL"}</definedName>
    <definedName name="_i9" localSheetId="73" hidden="1">{"TAB1",#N/A,TRUE,"GENERAL";"TAB2",#N/A,TRUE,"GENERAL";"TAB3",#N/A,TRUE,"GENERAL";"TAB4",#N/A,TRUE,"GENERAL";"TAB5",#N/A,TRUE,"GENERAL"}</definedName>
    <definedName name="_i9" hidden="1">{"TAB1",#N/A,TRUE,"GENERAL";"TAB2",#N/A,TRUE,"GENERAL";"TAB3",#N/A,TRUE,"GENERAL";"TAB4",#N/A,TRUE,"GENERAL";"TAB5",#N/A,TRUE,"GENERAL"}</definedName>
    <definedName name="_INF1" localSheetId="1">#REF!</definedName>
    <definedName name="_INF1">#REF!</definedName>
    <definedName name="_k3" localSheetId="50" hidden="1">{"TAB1",#N/A,TRUE,"GENERAL";"TAB2",#N/A,TRUE,"GENERAL";"TAB3",#N/A,TRUE,"GENERAL";"TAB4",#N/A,TRUE,"GENERAL";"TAB5",#N/A,TRUE,"GENERAL"}</definedName>
    <definedName name="_k3" localSheetId="1" hidden="1">{"TAB1",#N/A,TRUE,"GENERAL";"TAB2",#N/A,TRUE,"GENERAL";"TAB3",#N/A,TRUE,"GENERAL";"TAB4",#N/A,TRUE,"GENERAL";"TAB5",#N/A,TRUE,"GENERAL"}</definedName>
    <definedName name="_k3" localSheetId="73" hidden="1">{"TAB1",#N/A,TRUE,"GENERAL";"TAB2",#N/A,TRUE,"GENERAL";"TAB3",#N/A,TRUE,"GENERAL";"TAB4",#N/A,TRUE,"GENERAL";"TAB5",#N/A,TRUE,"GENERAL"}</definedName>
    <definedName name="_k3" hidden="1">{"TAB1",#N/A,TRUE,"GENERAL";"TAB2",#N/A,TRUE,"GENERAL";"TAB3",#N/A,TRUE,"GENERAL";"TAB4",#N/A,TRUE,"GENERAL";"TAB5",#N/A,TRUE,"GENERAL"}</definedName>
    <definedName name="_k4" localSheetId="50" hidden="1">{"via1",#N/A,TRUE,"general";"via2",#N/A,TRUE,"general";"via3",#N/A,TRUE,"general"}</definedName>
    <definedName name="_k4" localSheetId="1" hidden="1">{"via1",#N/A,TRUE,"general";"via2",#N/A,TRUE,"general";"via3",#N/A,TRUE,"general"}</definedName>
    <definedName name="_k4" localSheetId="73" hidden="1">{"via1",#N/A,TRUE,"general";"via2",#N/A,TRUE,"general";"via3",#N/A,TRUE,"general"}</definedName>
    <definedName name="_k4" hidden="1">{"via1",#N/A,TRUE,"general";"via2",#N/A,TRUE,"general";"via3",#N/A,TRUE,"general"}</definedName>
    <definedName name="_k5" localSheetId="50" hidden="1">{"via1",#N/A,TRUE,"general";"via2",#N/A,TRUE,"general";"via3",#N/A,TRUE,"general"}</definedName>
    <definedName name="_k5" localSheetId="1" hidden="1">{"via1",#N/A,TRUE,"general";"via2",#N/A,TRUE,"general";"via3",#N/A,TRUE,"general"}</definedName>
    <definedName name="_k5" localSheetId="73" hidden="1">{"via1",#N/A,TRUE,"general";"via2",#N/A,TRUE,"general";"via3",#N/A,TRUE,"general"}</definedName>
    <definedName name="_k5" hidden="1">{"via1",#N/A,TRUE,"general";"via2",#N/A,TRUE,"general";"via3",#N/A,TRUE,"general"}</definedName>
    <definedName name="_k6" localSheetId="50" hidden="1">{"TAB1",#N/A,TRUE,"GENERAL";"TAB2",#N/A,TRUE,"GENERAL";"TAB3",#N/A,TRUE,"GENERAL";"TAB4",#N/A,TRUE,"GENERAL";"TAB5",#N/A,TRUE,"GENERAL"}</definedName>
    <definedName name="_k6" localSheetId="1" hidden="1">{"TAB1",#N/A,TRUE,"GENERAL";"TAB2",#N/A,TRUE,"GENERAL";"TAB3",#N/A,TRUE,"GENERAL";"TAB4",#N/A,TRUE,"GENERAL";"TAB5",#N/A,TRUE,"GENERAL"}</definedName>
    <definedName name="_k6" localSheetId="73" hidden="1">{"TAB1",#N/A,TRUE,"GENERAL";"TAB2",#N/A,TRUE,"GENERAL";"TAB3",#N/A,TRUE,"GENERAL";"TAB4",#N/A,TRUE,"GENERAL";"TAB5",#N/A,TRUE,"GENERAL"}</definedName>
    <definedName name="_k6" hidden="1">{"TAB1",#N/A,TRUE,"GENERAL";"TAB2",#N/A,TRUE,"GENERAL";"TAB3",#N/A,TRUE,"GENERAL";"TAB4",#N/A,TRUE,"GENERAL";"TAB5",#N/A,TRUE,"GENERAL"}</definedName>
    <definedName name="_k7" localSheetId="50" hidden="1">{"via1",#N/A,TRUE,"general";"via2",#N/A,TRUE,"general";"via3",#N/A,TRUE,"general"}</definedName>
    <definedName name="_k7" localSheetId="1" hidden="1">{"via1",#N/A,TRUE,"general";"via2",#N/A,TRUE,"general";"via3",#N/A,TRUE,"general"}</definedName>
    <definedName name="_k7" localSheetId="73" hidden="1">{"via1",#N/A,TRUE,"general";"via2",#N/A,TRUE,"general";"via3",#N/A,TRUE,"general"}</definedName>
    <definedName name="_k7" hidden="1">{"via1",#N/A,TRUE,"general";"via2",#N/A,TRUE,"general";"via3",#N/A,TRUE,"general"}</definedName>
    <definedName name="_k8" localSheetId="50" hidden="1">{"via1",#N/A,TRUE,"general";"via2",#N/A,TRUE,"general";"via3",#N/A,TRUE,"general"}</definedName>
    <definedName name="_k8" localSheetId="1" hidden="1">{"via1",#N/A,TRUE,"general";"via2",#N/A,TRUE,"general";"via3",#N/A,TRUE,"general"}</definedName>
    <definedName name="_k8" localSheetId="73" hidden="1">{"via1",#N/A,TRUE,"general";"via2",#N/A,TRUE,"general";"via3",#N/A,TRUE,"general"}</definedName>
    <definedName name="_k8" hidden="1">{"via1",#N/A,TRUE,"general";"via2",#N/A,TRUE,"general";"via3",#N/A,TRUE,"general"}</definedName>
    <definedName name="_k9" localSheetId="50" hidden="1">{"TAB1",#N/A,TRUE,"GENERAL";"TAB2",#N/A,TRUE,"GENERAL";"TAB3",#N/A,TRUE,"GENERAL";"TAB4",#N/A,TRUE,"GENERAL";"TAB5",#N/A,TRUE,"GENERAL"}</definedName>
    <definedName name="_k9" localSheetId="1" hidden="1">{"TAB1",#N/A,TRUE,"GENERAL";"TAB2",#N/A,TRUE,"GENERAL";"TAB3",#N/A,TRUE,"GENERAL";"TAB4",#N/A,TRUE,"GENERAL";"TAB5",#N/A,TRUE,"GENERAL"}</definedName>
    <definedName name="_k9" localSheetId="73" hidden="1">{"TAB1",#N/A,TRUE,"GENERAL";"TAB2",#N/A,TRUE,"GENERAL";"TAB3",#N/A,TRUE,"GENERAL";"TAB4",#N/A,TRUE,"GENERAL";"TAB5",#N/A,TRUE,"GENERAL"}</definedName>
    <definedName name="_k9" hidden="1">{"TAB1",#N/A,TRUE,"GENERAL";"TAB2",#N/A,TRUE,"GENERAL";"TAB3",#N/A,TRUE,"GENERAL";"TAB4",#N/A,TRUE,"GENERAL";"TAB5",#N/A,TRUE,"GENERAL"}</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50" hidden="1">{"TAB1",#N/A,TRUE,"GENERAL";"TAB2",#N/A,TRUE,"GENERAL";"TAB3",#N/A,TRUE,"GENERAL";"TAB4",#N/A,TRUE,"GENERAL";"TAB5",#N/A,TRUE,"GENERAL"}</definedName>
    <definedName name="_kjk6" localSheetId="1" hidden="1">{"TAB1",#N/A,TRUE,"GENERAL";"TAB2",#N/A,TRUE,"GENERAL";"TAB3",#N/A,TRUE,"GENERAL";"TAB4",#N/A,TRUE,"GENERAL";"TAB5",#N/A,TRUE,"GENERAL"}</definedName>
    <definedName name="_kjk6" localSheetId="73" hidden="1">{"TAB1",#N/A,TRUE,"GENERAL";"TAB2",#N/A,TRUE,"GENERAL";"TAB3",#N/A,TRUE,"GENERAL";"TAB4",#N/A,TRUE,"GENERAL";"TAB5",#N/A,TRUE,"GENERAL"}</definedName>
    <definedName name="_kjk6" hidden="1">{"TAB1",#N/A,TRUE,"GENERAL";"TAB2",#N/A,TRUE,"GENERAL";"TAB3",#N/A,TRUE,"GENERAL";"TAB4",#N/A,TRUE,"GENERAL";"TAB5",#N/A,TRUE,"GENERAL"}</definedName>
    <definedName name="_m3" localSheetId="50" hidden="1">{"via1",#N/A,TRUE,"general";"via2",#N/A,TRUE,"general";"via3",#N/A,TRUE,"general"}</definedName>
    <definedName name="_m3" localSheetId="1" hidden="1">{"via1",#N/A,TRUE,"general";"via2",#N/A,TRUE,"general";"via3",#N/A,TRUE,"general"}</definedName>
    <definedName name="_m3" localSheetId="73" hidden="1">{"via1",#N/A,TRUE,"general";"via2",#N/A,TRUE,"general";"via3",#N/A,TRUE,"general"}</definedName>
    <definedName name="_m3" hidden="1">{"via1",#N/A,TRUE,"general";"via2",#N/A,TRUE,"general";"via3",#N/A,TRUE,"general"}</definedName>
    <definedName name="_m4" localSheetId="50" hidden="1">{"TAB1",#N/A,TRUE,"GENERAL";"TAB2",#N/A,TRUE,"GENERAL";"TAB3",#N/A,TRUE,"GENERAL";"TAB4",#N/A,TRUE,"GENERAL";"TAB5",#N/A,TRUE,"GENERAL"}</definedName>
    <definedName name="_m4" localSheetId="1" hidden="1">{"TAB1",#N/A,TRUE,"GENERAL";"TAB2",#N/A,TRUE,"GENERAL";"TAB3",#N/A,TRUE,"GENERAL";"TAB4",#N/A,TRUE,"GENERAL";"TAB5",#N/A,TRUE,"GENERAL"}</definedName>
    <definedName name="_m4" localSheetId="73" hidden="1">{"TAB1",#N/A,TRUE,"GENERAL";"TAB2",#N/A,TRUE,"GENERAL";"TAB3",#N/A,TRUE,"GENERAL";"TAB4",#N/A,TRUE,"GENERAL";"TAB5",#N/A,TRUE,"GENERAL"}</definedName>
    <definedName name="_m4" hidden="1">{"TAB1",#N/A,TRUE,"GENERAL";"TAB2",#N/A,TRUE,"GENERAL";"TAB3",#N/A,TRUE,"GENERAL";"TAB4",#N/A,TRUE,"GENERAL";"TAB5",#N/A,TRUE,"GENERAL"}</definedName>
    <definedName name="_m5" localSheetId="50" hidden="1">{"via1",#N/A,TRUE,"general";"via2",#N/A,TRUE,"general";"via3",#N/A,TRUE,"general"}</definedName>
    <definedName name="_m5" localSheetId="1" hidden="1">{"via1",#N/A,TRUE,"general";"via2",#N/A,TRUE,"general";"via3",#N/A,TRUE,"general"}</definedName>
    <definedName name="_m5" localSheetId="73" hidden="1">{"via1",#N/A,TRUE,"general";"via2",#N/A,TRUE,"general";"via3",#N/A,TRUE,"general"}</definedName>
    <definedName name="_m5" hidden="1">{"via1",#N/A,TRUE,"general";"via2",#N/A,TRUE,"general";"via3",#N/A,TRUE,"general"}</definedName>
    <definedName name="_m6" localSheetId="50" hidden="1">{"TAB1",#N/A,TRUE,"GENERAL";"TAB2",#N/A,TRUE,"GENERAL";"TAB3",#N/A,TRUE,"GENERAL";"TAB4",#N/A,TRUE,"GENERAL";"TAB5",#N/A,TRUE,"GENERAL"}</definedName>
    <definedName name="_m6" localSheetId="1" hidden="1">{"TAB1",#N/A,TRUE,"GENERAL";"TAB2",#N/A,TRUE,"GENERAL";"TAB3",#N/A,TRUE,"GENERAL";"TAB4",#N/A,TRUE,"GENERAL";"TAB5",#N/A,TRUE,"GENERAL"}</definedName>
    <definedName name="_m6" localSheetId="73" hidden="1">{"TAB1",#N/A,TRUE,"GENERAL";"TAB2",#N/A,TRUE,"GENERAL";"TAB3",#N/A,TRUE,"GENERAL";"TAB4",#N/A,TRUE,"GENERAL";"TAB5",#N/A,TRUE,"GENERAL"}</definedName>
    <definedName name="_m6" hidden="1">{"TAB1",#N/A,TRUE,"GENERAL";"TAB2",#N/A,TRUE,"GENERAL";"TAB3",#N/A,TRUE,"GENERAL";"TAB4",#N/A,TRUE,"GENERAL";"TAB5",#N/A,TRUE,"GENERAL"}</definedName>
    <definedName name="_m7" localSheetId="50" hidden="1">{"TAB1",#N/A,TRUE,"GENERAL";"TAB2",#N/A,TRUE,"GENERAL";"TAB3",#N/A,TRUE,"GENERAL";"TAB4",#N/A,TRUE,"GENERAL";"TAB5",#N/A,TRUE,"GENERAL"}</definedName>
    <definedName name="_m7" localSheetId="1" hidden="1">{"TAB1",#N/A,TRUE,"GENERAL";"TAB2",#N/A,TRUE,"GENERAL";"TAB3",#N/A,TRUE,"GENERAL";"TAB4",#N/A,TRUE,"GENERAL";"TAB5",#N/A,TRUE,"GENERAL"}</definedName>
    <definedName name="_m7" localSheetId="73" hidden="1">{"TAB1",#N/A,TRUE,"GENERAL";"TAB2",#N/A,TRUE,"GENERAL";"TAB3",#N/A,TRUE,"GENERAL";"TAB4",#N/A,TRUE,"GENERAL";"TAB5",#N/A,TRUE,"GENERAL"}</definedName>
    <definedName name="_m7" hidden="1">{"TAB1",#N/A,TRUE,"GENERAL";"TAB2",#N/A,TRUE,"GENERAL";"TAB3",#N/A,TRUE,"GENERAL";"TAB4",#N/A,TRUE,"GENERAL";"TAB5",#N/A,TRUE,"GENERAL"}</definedName>
    <definedName name="_m8" localSheetId="50" hidden="1">{"via1",#N/A,TRUE,"general";"via2",#N/A,TRUE,"general";"via3",#N/A,TRUE,"general"}</definedName>
    <definedName name="_m8" localSheetId="1" hidden="1">{"via1",#N/A,TRUE,"general";"via2",#N/A,TRUE,"general";"via3",#N/A,TRUE,"general"}</definedName>
    <definedName name="_m8" localSheetId="73" hidden="1">{"via1",#N/A,TRUE,"general";"via2",#N/A,TRUE,"general";"via3",#N/A,TRUE,"general"}</definedName>
    <definedName name="_m8" hidden="1">{"via1",#N/A,TRUE,"general";"via2",#N/A,TRUE,"general";"via3",#N/A,TRUE,"general"}</definedName>
    <definedName name="_m9" localSheetId="50" hidden="1">{"via1",#N/A,TRUE,"general";"via2",#N/A,TRUE,"general";"via3",#N/A,TRUE,"general"}</definedName>
    <definedName name="_m9" localSheetId="1" hidden="1">{"via1",#N/A,TRUE,"general";"via2",#N/A,TRUE,"general";"via3",#N/A,TRUE,"general"}</definedName>
    <definedName name="_m9" localSheetId="73" hidden="1">{"via1",#N/A,TRUE,"general";"via2",#N/A,TRUE,"general";"via3",#N/A,TRUE,"general"}</definedName>
    <definedName name="_m9" hidden="1">{"via1",#N/A,TRUE,"general";"via2",#N/A,TRUE,"general";"via3",#N/A,TRUE,"general"}</definedName>
    <definedName name="_MAT1" localSheetId="1">#REF!</definedName>
    <definedName name="_MAT1">#REF!</definedName>
    <definedName name="_min2" localSheetId="1">#REF!</definedName>
    <definedName name="_min2">#REF!</definedName>
    <definedName name="_mor15" localSheetId="1">#REF!</definedName>
    <definedName name="_mor15">#REF!</definedName>
    <definedName name="_n3" localSheetId="50" hidden="1">{"TAB1",#N/A,TRUE,"GENERAL";"TAB2",#N/A,TRUE,"GENERAL";"TAB3",#N/A,TRUE,"GENERAL";"TAB4",#N/A,TRUE,"GENERAL";"TAB5",#N/A,TRUE,"GENERAL"}</definedName>
    <definedName name="_n3" localSheetId="1" hidden="1">{"TAB1",#N/A,TRUE,"GENERAL";"TAB2",#N/A,TRUE,"GENERAL";"TAB3",#N/A,TRUE,"GENERAL";"TAB4",#N/A,TRUE,"GENERAL";"TAB5",#N/A,TRUE,"GENERAL"}</definedName>
    <definedName name="_n3" localSheetId="73" hidden="1">{"TAB1",#N/A,TRUE,"GENERAL";"TAB2",#N/A,TRUE,"GENERAL";"TAB3",#N/A,TRUE,"GENERAL";"TAB4",#N/A,TRUE,"GENERAL";"TAB5",#N/A,TRUE,"GENERAL"}</definedName>
    <definedName name="_n3" hidden="1">{"TAB1",#N/A,TRUE,"GENERAL";"TAB2",#N/A,TRUE,"GENERAL";"TAB3",#N/A,TRUE,"GENERAL";"TAB4",#N/A,TRUE,"GENERAL";"TAB5",#N/A,TRUE,"GENERAL"}</definedName>
    <definedName name="_n4" localSheetId="50" hidden="1">{"via1",#N/A,TRUE,"general";"via2",#N/A,TRUE,"general";"via3",#N/A,TRUE,"general"}</definedName>
    <definedName name="_n4" localSheetId="1" hidden="1">{"via1",#N/A,TRUE,"general";"via2",#N/A,TRUE,"general";"via3",#N/A,TRUE,"general"}</definedName>
    <definedName name="_n4" localSheetId="73" hidden="1">{"via1",#N/A,TRUE,"general";"via2",#N/A,TRUE,"general";"via3",#N/A,TRUE,"general"}</definedName>
    <definedName name="_n4" hidden="1">{"via1",#N/A,TRUE,"general";"via2",#N/A,TRUE,"general";"via3",#N/A,TRUE,"general"}</definedName>
    <definedName name="_n5" localSheetId="50" hidden="1">{"TAB1",#N/A,TRUE,"GENERAL";"TAB2",#N/A,TRUE,"GENERAL";"TAB3",#N/A,TRUE,"GENERAL";"TAB4",#N/A,TRUE,"GENERAL";"TAB5",#N/A,TRUE,"GENERAL"}</definedName>
    <definedName name="_n5" localSheetId="1" hidden="1">{"TAB1",#N/A,TRUE,"GENERAL";"TAB2",#N/A,TRUE,"GENERAL";"TAB3",#N/A,TRUE,"GENERAL";"TAB4",#N/A,TRUE,"GENERAL";"TAB5",#N/A,TRUE,"GENERAL"}</definedName>
    <definedName name="_n5" localSheetId="73" hidden="1">{"TAB1",#N/A,TRUE,"GENERAL";"TAB2",#N/A,TRUE,"GENERAL";"TAB3",#N/A,TRUE,"GENERAL";"TAB4",#N/A,TRUE,"GENERAL";"TAB5",#N/A,TRUE,"GENERAL"}</definedName>
    <definedName name="_n5" hidden="1">{"TAB1",#N/A,TRUE,"GENERAL";"TAB2",#N/A,TRUE,"GENERAL";"TAB3",#N/A,TRUE,"GENERAL";"TAB4",#N/A,TRUE,"GENERAL";"TAB5",#N/A,TRUE,"GENERAL"}</definedName>
    <definedName name="_nyn7" localSheetId="50" hidden="1">{"via1",#N/A,TRUE,"general";"via2",#N/A,TRUE,"general";"via3",#N/A,TRUE,"general"}</definedName>
    <definedName name="_nyn7" localSheetId="1" hidden="1">{"via1",#N/A,TRUE,"general";"via2",#N/A,TRUE,"general";"via3",#N/A,TRUE,"general"}</definedName>
    <definedName name="_nyn7" localSheetId="73" hidden="1">{"via1",#N/A,TRUE,"general";"via2",#N/A,TRUE,"general";"via3",#N/A,TRUE,"general"}</definedName>
    <definedName name="_nyn7" hidden="1">{"via1",#N/A,TRUE,"general";"via2",#N/A,TRUE,"general";"via3",#N/A,TRUE,"general"}</definedName>
    <definedName name="_o4" localSheetId="50" hidden="1">{"via1",#N/A,TRUE,"general";"via2",#N/A,TRUE,"general";"via3",#N/A,TRUE,"general"}</definedName>
    <definedName name="_o4" localSheetId="1" hidden="1">{"via1",#N/A,TRUE,"general";"via2",#N/A,TRUE,"general";"via3",#N/A,TRUE,"general"}</definedName>
    <definedName name="_o4" localSheetId="73" hidden="1">{"via1",#N/A,TRUE,"general";"via2",#N/A,TRUE,"general";"via3",#N/A,TRUE,"general"}</definedName>
    <definedName name="_o4" hidden="1">{"via1",#N/A,TRUE,"general";"via2",#N/A,TRUE,"general";"via3",#N/A,TRUE,"general"}</definedName>
    <definedName name="_o5" localSheetId="50" hidden="1">{"TAB1",#N/A,TRUE,"GENERAL";"TAB2",#N/A,TRUE,"GENERAL";"TAB3",#N/A,TRUE,"GENERAL";"TAB4",#N/A,TRUE,"GENERAL";"TAB5",#N/A,TRUE,"GENERAL"}</definedName>
    <definedName name="_o5" localSheetId="1" hidden="1">{"TAB1",#N/A,TRUE,"GENERAL";"TAB2",#N/A,TRUE,"GENERAL";"TAB3",#N/A,TRUE,"GENERAL";"TAB4",#N/A,TRUE,"GENERAL";"TAB5",#N/A,TRUE,"GENERAL"}</definedName>
    <definedName name="_o5" localSheetId="73" hidden="1">{"TAB1",#N/A,TRUE,"GENERAL";"TAB2",#N/A,TRUE,"GENERAL";"TAB3",#N/A,TRUE,"GENERAL";"TAB4",#N/A,TRUE,"GENERAL";"TAB5",#N/A,TRUE,"GENERAL"}</definedName>
    <definedName name="_o5" hidden="1">{"TAB1",#N/A,TRUE,"GENERAL";"TAB2",#N/A,TRUE,"GENERAL";"TAB3",#N/A,TRUE,"GENERAL";"TAB4",#N/A,TRUE,"GENERAL";"TAB5",#N/A,TRUE,"GENERAL"}</definedName>
    <definedName name="_o6" localSheetId="50" hidden="1">{"TAB1",#N/A,TRUE,"GENERAL";"TAB2",#N/A,TRUE,"GENERAL";"TAB3",#N/A,TRUE,"GENERAL";"TAB4",#N/A,TRUE,"GENERAL";"TAB5",#N/A,TRUE,"GENERAL"}</definedName>
    <definedName name="_o6" localSheetId="1" hidden="1">{"TAB1",#N/A,TRUE,"GENERAL";"TAB2",#N/A,TRUE,"GENERAL";"TAB3",#N/A,TRUE,"GENERAL";"TAB4",#N/A,TRUE,"GENERAL";"TAB5",#N/A,TRUE,"GENERAL"}</definedName>
    <definedName name="_o6" localSheetId="73" hidden="1">{"TAB1",#N/A,TRUE,"GENERAL";"TAB2",#N/A,TRUE,"GENERAL";"TAB3",#N/A,TRUE,"GENERAL";"TAB4",#N/A,TRUE,"GENERAL";"TAB5",#N/A,TRUE,"GENERAL"}</definedName>
    <definedName name="_o6" hidden="1">{"TAB1",#N/A,TRUE,"GENERAL";"TAB2",#N/A,TRUE,"GENERAL";"TAB3",#N/A,TRUE,"GENERAL";"TAB4",#N/A,TRUE,"GENERAL";"TAB5",#N/A,TRUE,"GENERAL"}</definedName>
    <definedName name="_o7" localSheetId="50" hidden="1">{"TAB1",#N/A,TRUE,"GENERAL";"TAB2",#N/A,TRUE,"GENERAL";"TAB3",#N/A,TRUE,"GENERAL";"TAB4",#N/A,TRUE,"GENERAL";"TAB5",#N/A,TRUE,"GENERAL"}</definedName>
    <definedName name="_o7" localSheetId="1" hidden="1">{"TAB1",#N/A,TRUE,"GENERAL";"TAB2",#N/A,TRUE,"GENERAL";"TAB3",#N/A,TRUE,"GENERAL";"TAB4",#N/A,TRUE,"GENERAL";"TAB5",#N/A,TRUE,"GENERAL"}</definedName>
    <definedName name="_o7" localSheetId="73" hidden="1">{"TAB1",#N/A,TRUE,"GENERAL";"TAB2",#N/A,TRUE,"GENERAL";"TAB3",#N/A,TRUE,"GENERAL";"TAB4",#N/A,TRUE,"GENERAL";"TAB5",#N/A,TRUE,"GENERAL"}</definedName>
    <definedName name="_o7" hidden="1">{"TAB1",#N/A,TRUE,"GENERAL";"TAB2",#N/A,TRUE,"GENERAL";"TAB3",#N/A,TRUE,"GENERAL";"TAB4",#N/A,TRUE,"GENERAL";"TAB5",#N/A,TRUE,"GENERAL"}</definedName>
    <definedName name="_o8" localSheetId="50" hidden="1">{"via1",#N/A,TRUE,"general";"via2",#N/A,TRUE,"general";"via3",#N/A,TRUE,"general"}</definedName>
    <definedName name="_o8" localSheetId="1" hidden="1">{"via1",#N/A,TRUE,"general";"via2",#N/A,TRUE,"general";"via3",#N/A,TRUE,"general"}</definedName>
    <definedName name="_o8" localSheetId="73" hidden="1">{"via1",#N/A,TRUE,"general";"via2",#N/A,TRUE,"general";"via3",#N/A,TRUE,"general"}</definedName>
    <definedName name="_o8" hidden="1">{"via1",#N/A,TRUE,"general";"via2",#N/A,TRUE,"general";"via3",#N/A,TRUE,"general"}</definedName>
    <definedName name="_o9" localSheetId="50" hidden="1">{"TAB1",#N/A,TRUE,"GENERAL";"TAB2",#N/A,TRUE,"GENERAL";"TAB3",#N/A,TRUE,"GENERAL";"TAB4",#N/A,TRUE,"GENERAL";"TAB5",#N/A,TRUE,"GENERAL"}</definedName>
    <definedName name="_o9" localSheetId="1" hidden="1">{"TAB1",#N/A,TRUE,"GENERAL";"TAB2",#N/A,TRUE,"GENERAL";"TAB3",#N/A,TRUE,"GENERAL";"TAB4",#N/A,TRUE,"GENERAL";"TAB5",#N/A,TRUE,"GENERAL"}</definedName>
    <definedName name="_o9" localSheetId="73" hidden="1">{"TAB1",#N/A,TRUE,"GENERAL";"TAB2",#N/A,TRUE,"GENERAL";"TAB3",#N/A,TRUE,"GENERAL";"TAB4",#N/A,TRUE,"GENERAL";"TAB5",#N/A,TRUE,"GENERAL"}</definedName>
    <definedName name="_o9" hidden="1">{"TAB1",#N/A,TRUE,"GENERAL";"TAB2",#N/A,TRUE,"GENERAL";"TAB3",#N/A,TRUE,"GENERAL";"TAB4",#N/A,TRUE,"GENERAL";"TAB5",#N/A,TRUE,"GENERAL"}</definedName>
    <definedName name="_oa55" localSheetId="1">#REF!</definedName>
    <definedName name="_oa55">#REF!</definedName>
    <definedName name="_Order1" hidden="1">255</definedName>
    <definedName name="_Order2" hidden="1">255</definedName>
    <definedName name="_p6" localSheetId="50" hidden="1">{"via1",#N/A,TRUE,"general";"via2",#N/A,TRUE,"general";"via3",#N/A,TRUE,"general"}</definedName>
    <definedName name="_p6" localSheetId="1" hidden="1">{"via1",#N/A,TRUE,"general";"via2",#N/A,TRUE,"general";"via3",#N/A,TRUE,"general"}</definedName>
    <definedName name="_p6" localSheetId="73" hidden="1">{"via1",#N/A,TRUE,"general";"via2",#N/A,TRUE,"general";"via3",#N/A,TRUE,"general"}</definedName>
    <definedName name="_p6" hidden="1">{"via1",#N/A,TRUE,"general";"via2",#N/A,TRUE,"general";"via3",#N/A,TRUE,"general"}</definedName>
    <definedName name="_p7" localSheetId="50" hidden="1">{"via1",#N/A,TRUE,"general";"via2",#N/A,TRUE,"general";"via3",#N/A,TRUE,"general"}</definedName>
    <definedName name="_p7" localSheetId="1" hidden="1">{"via1",#N/A,TRUE,"general";"via2",#N/A,TRUE,"general";"via3",#N/A,TRUE,"general"}</definedName>
    <definedName name="_p7" localSheetId="73" hidden="1">{"via1",#N/A,TRUE,"general";"via2",#N/A,TRUE,"general";"via3",#N/A,TRUE,"general"}</definedName>
    <definedName name="_p7" hidden="1">{"via1",#N/A,TRUE,"general";"via2",#N/A,TRUE,"general";"via3",#N/A,TRUE,"general"}</definedName>
    <definedName name="_p8" localSheetId="50" hidden="1">{"TAB1",#N/A,TRUE,"GENERAL";"TAB2",#N/A,TRUE,"GENERAL";"TAB3",#N/A,TRUE,"GENERAL";"TAB4",#N/A,TRUE,"GENERAL";"TAB5",#N/A,TRUE,"GENERAL"}</definedName>
    <definedName name="_p8" localSheetId="1" hidden="1">{"TAB1",#N/A,TRUE,"GENERAL";"TAB2",#N/A,TRUE,"GENERAL";"TAB3",#N/A,TRUE,"GENERAL";"TAB4",#N/A,TRUE,"GENERAL";"TAB5",#N/A,TRUE,"GENERAL"}</definedName>
    <definedName name="_p8" localSheetId="73" hidden="1">{"TAB1",#N/A,TRUE,"GENERAL";"TAB2",#N/A,TRUE,"GENERAL";"TAB3",#N/A,TRUE,"GENERAL";"TAB4",#N/A,TRUE,"GENERAL";"TAB5",#N/A,TRUE,"GENERAL"}</definedName>
    <definedName name="_p8" hidden="1">{"TAB1",#N/A,TRUE,"GENERAL";"TAB2",#N/A,TRUE,"GENERAL";"TAB3",#N/A,TRUE,"GENERAL";"TAB4",#N/A,TRUE,"GENERAL";"TAB5",#N/A,TRUE,"GENERAL"}</definedName>
    <definedName name="_Pag10" localSheetId="1">#REF!</definedName>
    <definedName name="_Pag10">#REF!</definedName>
    <definedName name="_Parse_Out" localSheetId="1" hidden="1">#REF!</definedName>
    <definedName name="_Parse_Out" hidden="1">#REF!</definedName>
    <definedName name="_PJ50" localSheetId="1">#REF!</definedName>
    <definedName name="_PJ50">#REF!</definedName>
    <definedName name="_pj51" localSheetId="1">#REF!</definedName>
    <definedName name="_pj51">#REF!</definedName>
    <definedName name="_PRE12" localSheetId="1">#REF!</definedName>
    <definedName name="_PRE12">#REF!</definedName>
    <definedName name="_R" localSheetId="1">#REF!</definedName>
    <definedName name="_r" localSheetId="71" hidden="1">{"TAB1",#N/A,TRUE,"GENERAL";"TAB2",#N/A,TRUE,"GENERAL";"TAB3",#N/A,TRUE,"GENERAL";"TAB4",#N/A,TRUE,"GENERAL";"TAB5",#N/A,TRUE,"GENERAL"}</definedName>
    <definedName name="_r" localSheetId="73" hidden="1">{"TAB1",#N/A,TRUE,"GENERAL";"TAB2",#N/A,TRUE,"GENERAL";"TAB3",#N/A,TRUE,"GENERAL";"TAB4",#N/A,TRUE,"GENERAL";"TAB5",#N/A,TRUE,"GENERAL"}</definedName>
    <definedName name="_R">#REF!</definedName>
    <definedName name="_r4r" localSheetId="50" hidden="1">{"via1",#N/A,TRUE,"general";"via2",#N/A,TRUE,"general";"via3",#N/A,TRUE,"general"}</definedName>
    <definedName name="_r4r" localSheetId="1" hidden="1">{"via1",#N/A,TRUE,"general";"via2",#N/A,TRUE,"general";"via3",#N/A,TRUE,"general"}</definedName>
    <definedName name="_r4r" localSheetId="73" hidden="1">{"via1",#N/A,TRUE,"general";"via2",#N/A,TRUE,"general";"via3",#N/A,TRUE,"general"}</definedName>
    <definedName name="_r4r" hidden="1">{"via1",#N/A,TRUE,"general";"via2",#N/A,TRUE,"general";"via3",#N/A,TRUE,"general"}</definedName>
    <definedName name="_Rc" localSheetId="1">#REF!</definedName>
    <definedName name="_Rc">#REF!</definedName>
    <definedName name="_rtu6" localSheetId="50" hidden="1">{"via1",#N/A,TRUE,"general";"via2",#N/A,TRUE,"general";"via3",#N/A,TRUE,"general"}</definedName>
    <definedName name="_rtu6" localSheetId="1" hidden="1">{"via1",#N/A,TRUE,"general";"via2",#N/A,TRUE,"general";"via3",#N/A,TRUE,"general"}</definedName>
    <definedName name="_rtu6" localSheetId="73" hidden="1">{"via1",#N/A,TRUE,"general";"via2",#N/A,TRUE,"general";"via3",#N/A,TRUE,"general"}</definedName>
    <definedName name="_rtu6" hidden="1">{"via1",#N/A,TRUE,"general";"via2",#N/A,TRUE,"general";"via3",#N/A,TRUE,"general"}</definedName>
    <definedName name="_s1" localSheetId="50" hidden="1">{"via1",#N/A,TRUE,"general";"via2",#N/A,TRUE,"general";"via3",#N/A,TRUE,"general"}</definedName>
    <definedName name="_s1" localSheetId="1" hidden="1">{"via1",#N/A,TRUE,"general";"via2",#N/A,TRUE,"general";"via3",#N/A,TRUE,"general"}</definedName>
    <definedName name="_s1" localSheetId="73" hidden="1">{"via1",#N/A,TRUE,"general";"via2",#N/A,TRUE,"general";"via3",#N/A,TRUE,"general"}</definedName>
    <definedName name="_s1" hidden="1">{"via1",#N/A,TRUE,"general";"via2",#N/A,TRUE,"general";"via3",#N/A,TRUE,"general"}</definedName>
    <definedName name="_s2" localSheetId="50" hidden="1">{"TAB1",#N/A,TRUE,"GENERAL";"TAB2",#N/A,TRUE,"GENERAL";"TAB3",#N/A,TRUE,"GENERAL";"TAB4",#N/A,TRUE,"GENERAL";"TAB5",#N/A,TRUE,"GENERAL"}</definedName>
    <definedName name="_s2" localSheetId="1" hidden="1">{"TAB1",#N/A,TRUE,"GENERAL";"TAB2",#N/A,TRUE,"GENERAL";"TAB3",#N/A,TRUE,"GENERAL";"TAB4",#N/A,TRUE,"GENERAL";"TAB5",#N/A,TRUE,"GENERAL"}</definedName>
    <definedName name="_s2" localSheetId="73" hidden="1">{"TAB1",#N/A,TRUE,"GENERAL";"TAB2",#N/A,TRUE,"GENERAL";"TAB3",#N/A,TRUE,"GENERAL";"TAB4",#N/A,TRUE,"GENERAL";"TAB5",#N/A,TRUE,"GENERAL"}</definedName>
    <definedName name="_s2" hidden="1">{"TAB1",#N/A,TRUE,"GENERAL";"TAB2",#N/A,TRUE,"GENERAL";"TAB3",#N/A,TRUE,"GENERAL";"TAB4",#N/A,TRUE,"GENERAL";"TAB5",#N/A,TRUE,"GENERAL"}</definedName>
    <definedName name="_s3" localSheetId="50" hidden="1">{"TAB1",#N/A,TRUE,"GENERAL";"TAB2",#N/A,TRUE,"GENERAL";"TAB3",#N/A,TRUE,"GENERAL";"TAB4",#N/A,TRUE,"GENERAL";"TAB5",#N/A,TRUE,"GENERAL"}</definedName>
    <definedName name="_s3" localSheetId="1" hidden="1">{"TAB1",#N/A,TRUE,"GENERAL";"TAB2",#N/A,TRUE,"GENERAL";"TAB3",#N/A,TRUE,"GENERAL";"TAB4",#N/A,TRUE,"GENERAL";"TAB5",#N/A,TRUE,"GENERAL"}</definedName>
    <definedName name="_s3" localSheetId="73" hidden="1">{"TAB1",#N/A,TRUE,"GENERAL";"TAB2",#N/A,TRUE,"GENERAL";"TAB3",#N/A,TRUE,"GENERAL";"TAB4",#N/A,TRUE,"GENERAL";"TAB5",#N/A,TRUE,"GENERAL"}</definedName>
    <definedName name="_s3" hidden="1">{"TAB1",#N/A,TRUE,"GENERAL";"TAB2",#N/A,TRUE,"GENERAL";"TAB3",#N/A,TRUE,"GENERAL";"TAB4",#N/A,TRUE,"GENERAL";"TAB5",#N/A,TRUE,"GENERAL"}</definedName>
    <definedName name="_s4" localSheetId="50" hidden="1">{"via1",#N/A,TRUE,"general";"via2",#N/A,TRUE,"general";"via3",#N/A,TRUE,"general"}</definedName>
    <definedName name="_s4" localSheetId="1" hidden="1">{"via1",#N/A,TRUE,"general";"via2",#N/A,TRUE,"general";"via3",#N/A,TRUE,"general"}</definedName>
    <definedName name="_s4" localSheetId="73" hidden="1">{"via1",#N/A,TRUE,"general";"via2",#N/A,TRUE,"general";"via3",#N/A,TRUE,"general"}</definedName>
    <definedName name="_s4" hidden="1">{"via1",#N/A,TRUE,"general";"via2",#N/A,TRUE,"general";"via3",#N/A,TRUE,"general"}</definedName>
    <definedName name="_s5" localSheetId="50" hidden="1">{"via1",#N/A,TRUE,"general";"via2",#N/A,TRUE,"general";"via3",#N/A,TRUE,"general"}</definedName>
    <definedName name="_s5" localSheetId="1" hidden="1">{"via1",#N/A,TRUE,"general";"via2",#N/A,TRUE,"general";"via3",#N/A,TRUE,"general"}</definedName>
    <definedName name="_s5" localSheetId="73" hidden="1">{"via1",#N/A,TRUE,"general";"via2",#N/A,TRUE,"general";"via3",#N/A,TRUE,"general"}</definedName>
    <definedName name="_s5" hidden="1">{"via1",#N/A,TRUE,"general";"via2",#N/A,TRUE,"general";"via3",#N/A,TRUE,"general"}</definedName>
    <definedName name="_s6" localSheetId="50" hidden="1">{"TAB1",#N/A,TRUE,"GENERAL";"TAB2",#N/A,TRUE,"GENERAL";"TAB3",#N/A,TRUE,"GENERAL";"TAB4",#N/A,TRUE,"GENERAL";"TAB5",#N/A,TRUE,"GENERAL"}</definedName>
    <definedName name="_s6" localSheetId="1" hidden="1">{"TAB1",#N/A,TRUE,"GENERAL";"TAB2",#N/A,TRUE,"GENERAL";"TAB3",#N/A,TRUE,"GENERAL";"TAB4",#N/A,TRUE,"GENERAL";"TAB5",#N/A,TRUE,"GENERAL"}</definedName>
    <definedName name="_s6" localSheetId="73" hidden="1">{"TAB1",#N/A,TRUE,"GENERAL";"TAB2",#N/A,TRUE,"GENERAL";"TAB3",#N/A,TRUE,"GENERAL";"TAB4",#N/A,TRUE,"GENERAL";"TAB5",#N/A,TRUE,"GENERAL"}</definedName>
    <definedName name="_s6" hidden="1">{"TAB1",#N/A,TRUE,"GENERAL";"TAB2",#N/A,TRUE,"GENERAL";"TAB3",#N/A,TRUE,"GENERAL";"TAB4",#N/A,TRUE,"GENERAL";"TAB5",#N/A,TRUE,"GENERAL"}</definedName>
    <definedName name="_s7" localSheetId="50" hidden="1">{"via1",#N/A,TRUE,"general";"via2",#N/A,TRUE,"general";"via3",#N/A,TRUE,"general"}</definedName>
    <definedName name="_s7" localSheetId="1" hidden="1">{"via1",#N/A,TRUE,"general";"via2",#N/A,TRUE,"general";"via3",#N/A,TRUE,"general"}</definedName>
    <definedName name="_s7" localSheetId="73" hidden="1">{"via1",#N/A,TRUE,"general";"via2",#N/A,TRUE,"general";"via3",#N/A,TRUE,"general"}</definedName>
    <definedName name="_s7" hidden="1">{"via1",#N/A,TRUE,"general";"via2",#N/A,TRUE,"general";"via3",#N/A,TRUE,"general"}</definedName>
    <definedName name="_t3" localSheetId="50" hidden="1">{"TAB1",#N/A,TRUE,"GENERAL";"TAB2",#N/A,TRUE,"GENERAL";"TAB3",#N/A,TRUE,"GENERAL";"TAB4",#N/A,TRUE,"GENERAL";"TAB5",#N/A,TRUE,"GENERAL"}</definedName>
    <definedName name="_t3" localSheetId="1" hidden="1">{"TAB1",#N/A,TRUE,"GENERAL";"TAB2",#N/A,TRUE,"GENERAL";"TAB3",#N/A,TRUE,"GENERAL";"TAB4",#N/A,TRUE,"GENERAL";"TAB5",#N/A,TRUE,"GENERAL"}</definedName>
    <definedName name="_t3" localSheetId="73" hidden="1">{"TAB1",#N/A,TRUE,"GENERAL";"TAB2",#N/A,TRUE,"GENERAL";"TAB3",#N/A,TRUE,"GENERAL";"TAB4",#N/A,TRUE,"GENERAL";"TAB5",#N/A,TRUE,"GENERAL"}</definedName>
    <definedName name="_t3" hidden="1">{"TAB1",#N/A,TRUE,"GENERAL";"TAB2",#N/A,TRUE,"GENERAL";"TAB3",#N/A,TRUE,"GENERAL";"TAB4",#N/A,TRUE,"GENERAL";"TAB5",#N/A,TRUE,"GENERAL"}</definedName>
    <definedName name="_t4" localSheetId="50" hidden="1">{"via1",#N/A,TRUE,"general";"via2",#N/A,TRUE,"general";"via3",#N/A,TRUE,"general"}</definedName>
    <definedName name="_t4" localSheetId="1" hidden="1">{"via1",#N/A,TRUE,"general";"via2",#N/A,TRUE,"general";"via3",#N/A,TRUE,"general"}</definedName>
    <definedName name="_t4" localSheetId="73" hidden="1">{"via1",#N/A,TRUE,"general";"via2",#N/A,TRUE,"general";"via3",#N/A,TRUE,"general"}</definedName>
    <definedName name="_t4" hidden="1">{"via1",#N/A,TRUE,"general";"via2",#N/A,TRUE,"general";"via3",#N/A,TRUE,"general"}</definedName>
    <definedName name="_t5" localSheetId="50" hidden="1">{"TAB1",#N/A,TRUE,"GENERAL";"TAB2",#N/A,TRUE,"GENERAL";"TAB3",#N/A,TRUE,"GENERAL";"TAB4",#N/A,TRUE,"GENERAL";"TAB5",#N/A,TRUE,"GENERAL"}</definedName>
    <definedName name="_t5" localSheetId="1" hidden="1">{"TAB1",#N/A,TRUE,"GENERAL";"TAB2",#N/A,TRUE,"GENERAL";"TAB3",#N/A,TRUE,"GENERAL";"TAB4",#N/A,TRUE,"GENERAL";"TAB5",#N/A,TRUE,"GENERAL"}</definedName>
    <definedName name="_t5" localSheetId="73" hidden="1">{"TAB1",#N/A,TRUE,"GENERAL";"TAB2",#N/A,TRUE,"GENERAL";"TAB3",#N/A,TRUE,"GENERAL";"TAB4",#N/A,TRUE,"GENERAL";"TAB5",#N/A,TRUE,"GENERAL"}</definedName>
    <definedName name="_t5" hidden="1">{"TAB1",#N/A,TRUE,"GENERAL";"TAB2",#N/A,TRUE,"GENERAL";"TAB3",#N/A,TRUE,"GENERAL";"TAB4",#N/A,TRUE,"GENERAL";"TAB5",#N/A,TRUE,"GENERAL"}</definedName>
    <definedName name="_t6" localSheetId="50" hidden="1">{"via1",#N/A,TRUE,"general";"via2",#N/A,TRUE,"general";"via3",#N/A,TRUE,"general"}</definedName>
    <definedName name="_t6" localSheetId="1" hidden="1">{"via1",#N/A,TRUE,"general";"via2",#N/A,TRUE,"general";"via3",#N/A,TRUE,"general"}</definedName>
    <definedName name="_t6" localSheetId="73" hidden="1">{"via1",#N/A,TRUE,"general";"via2",#N/A,TRUE,"general";"via3",#N/A,TRUE,"general"}</definedName>
    <definedName name="_t6" hidden="1">{"via1",#N/A,TRUE,"general";"via2",#N/A,TRUE,"general";"via3",#N/A,TRUE,"general"}</definedName>
    <definedName name="_t66" localSheetId="50" hidden="1">{"TAB1",#N/A,TRUE,"GENERAL";"TAB2",#N/A,TRUE,"GENERAL";"TAB3",#N/A,TRUE,"GENERAL";"TAB4",#N/A,TRUE,"GENERAL";"TAB5",#N/A,TRUE,"GENERAL"}</definedName>
    <definedName name="_t66" localSheetId="1" hidden="1">{"TAB1",#N/A,TRUE,"GENERAL";"TAB2",#N/A,TRUE,"GENERAL";"TAB3",#N/A,TRUE,"GENERAL";"TAB4",#N/A,TRUE,"GENERAL";"TAB5",#N/A,TRUE,"GENERAL"}</definedName>
    <definedName name="_t66" localSheetId="73" hidden="1">{"TAB1",#N/A,TRUE,"GENERAL";"TAB2",#N/A,TRUE,"GENERAL";"TAB3",#N/A,TRUE,"GENERAL";"TAB4",#N/A,TRUE,"GENERAL";"TAB5",#N/A,TRUE,"GENERAL"}</definedName>
    <definedName name="_t66" hidden="1">{"TAB1",#N/A,TRUE,"GENERAL";"TAB2",#N/A,TRUE,"GENERAL";"TAB3",#N/A,TRUE,"GENERAL";"TAB4",#N/A,TRUE,"GENERAL";"TAB5",#N/A,TRUE,"GENERAL"}</definedName>
    <definedName name="_t7" localSheetId="50" hidden="1">{"via1",#N/A,TRUE,"general";"via2",#N/A,TRUE,"general";"via3",#N/A,TRUE,"general"}</definedName>
    <definedName name="_t7" localSheetId="1" hidden="1">{"via1",#N/A,TRUE,"general";"via2",#N/A,TRUE,"general";"via3",#N/A,TRUE,"general"}</definedName>
    <definedName name="_t7" localSheetId="73" hidden="1">{"via1",#N/A,TRUE,"general";"via2",#N/A,TRUE,"general";"via3",#N/A,TRUE,"general"}</definedName>
    <definedName name="_t7" hidden="1">{"via1",#N/A,TRUE,"general";"via2",#N/A,TRUE,"general";"via3",#N/A,TRUE,"general"}</definedName>
    <definedName name="_t77" localSheetId="50" hidden="1">{"TAB1",#N/A,TRUE,"GENERAL";"TAB2",#N/A,TRUE,"GENERAL";"TAB3",#N/A,TRUE,"GENERAL";"TAB4",#N/A,TRUE,"GENERAL";"TAB5",#N/A,TRUE,"GENERAL"}</definedName>
    <definedName name="_t77" localSheetId="1" hidden="1">{"TAB1",#N/A,TRUE,"GENERAL";"TAB2",#N/A,TRUE,"GENERAL";"TAB3",#N/A,TRUE,"GENERAL";"TAB4",#N/A,TRUE,"GENERAL";"TAB5",#N/A,TRUE,"GENERAL"}</definedName>
    <definedName name="_t77" localSheetId="73" hidden="1">{"TAB1",#N/A,TRUE,"GENERAL";"TAB2",#N/A,TRUE,"GENERAL";"TAB3",#N/A,TRUE,"GENERAL";"TAB4",#N/A,TRUE,"GENERAL";"TAB5",#N/A,TRUE,"GENERAL"}</definedName>
    <definedName name="_t77" hidden="1">{"TAB1",#N/A,TRUE,"GENERAL";"TAB2",#N/A,TRUE,"GENERAL";"TAB3",#N/A,TRUE,"GENERAL";"TAB4",#N/A,TRUE,"GENERAL";"TAB5",#N/A,TRUE,"GENERAL"}</definedName>
    <definedName name="_t8" localSheetId="50" hidden="1">{"TAB1",#N/A,TRUE,"GENERAL";"TAB2",#N/A,TRUE,"GENERAL";"TAB3",#N/A,TRUE,"GENERAL";"TAB4",#N/A,TRUE,"GENERAL";"TAB5",#N/A,TRUE,"GENERAL"}</definedName>
    <definedName name="_t8" localSheetId="1" hidden="1">{"TAB1",#N/A,TRUE,"GENERAL";"TAB2",#N/A,TRUE,"GENERAL";"TAB3",#N/A,TRUE,"GENERAL";"TAB4",#N/A,TRUE,"GENERAL";"TAB5",#N/A,TRUE,"GENERAL"}</definedName>
    <definedName name="_t8" localSheetId="73" hidden="1">{"TAB1",#N/A,TRUE,"GENERAL";"TAB2",#N/A,TRUE,"GENERAL";"TAB3",#N/A,TRUE,"GENERAL";"TAB4",#N/A,TRUE,"GENERAL";"TAB5",#N/A,TRUE,"GENERAL"}</definedName>
    <definedName name="_t8" hidden="1">{"TAB1",#N/A,TRUE,"GENERAL";"TAB2",#N/A,TRUE,"GENERAL";"TAB3",#N/A,TRUE,"GENERAL";"TAB4",#N/A,TRUE,"GENERAL";"TAB5",#N/A,TRUE,"GENERAL"}</definedName>
    <definedName name="_t88" localSheetId="50" hidden="1">{"via1",#N/A,TRUE,"general";"via2",#N/A,TRUE,"general";"via3",#N/A,TRUE,"general"}</definedName>
    <definedName name="_t88" localSheetId="1" hidden="1">{"via1",#N/A,TRUE,"general";"via2",#N/A,TRUE,"general";"via3",#N/A,TRUE,"general"}</definedName>
    <definedName name="_t88" localSheetId="73" hidden="1">{"via1",#N/A,TRUE,"general";"via2",#N/A,TRUE,"general";"via3",#N/A,TRUE,"general"}</definedName>
    <definedName name="_t88" hidden="1">{"via1",#N/A,TRUE,"general";"via2",#N/A,TRUE,"general";"via3",#N/A,TRUE,"general"}</definedName>
    <definedName name="_t9" localSheetId="50" hidden="1">{"TAB1",#N/A,TRUE,"GENERAL";"TAB2",#N/A,TRUE,"GENERAL";"TAB3",#N/A,TRUE,"GENERAL";"TAB4",#N/A,TRUE,"GENERAL";"TAB5",#N/A,TRUE,"GENERAL"}</definedName>
    <definedName name="_t9" localSheetId="1" hidden="1">{"TAB1",#N/A,TRUE,"GENERAL";"TAB2",#N/A,TRUE,"GENERAL";"TAB3",#N/A,TRUE,"GENERAL";"TAB4",#N/A,TRUE,"GENERAL";"TAB5",#N/A,TRUE,"GENERAL"}</definedName>
    <definedName name="_t9" localSheetId="73" hidden="1">{"TAB1",#N/A,TRUE,"GENERAL";"TAB2",#N/A,TRUE,"GENERAL";"TAB3",#N/A,TRUE,"GENERAL";"TAB4",#N/A,TRUE,"GENERAL";"TAB5",#N/A,TRUE,"GENERAL"}</definedName>
    <definedName name="_t9" hidden="1">{"TAB1",#N/A,TRUE,"GENERAL";"TAB2",#N/A,TRUE,"GENERAL";"TAB3",#N/A,TRUE,"GENERAL";"TAB4",#N/A,TRUE,"GENERAL";"TAB5",#N/A,TRUE,"GENERAL"}</definedName>
    <definedName name="_t99" localSheetId="50" hidden="1">{"via1",#N/A,TRUE,"general";"via2",#N/A,TRUE,"general";"via3",#N/A,TRUE,"general"}</definedName>
    <definedName name="_t99" localSheetId="1" hidden="1">{"via1",#N/A,TRUE,"general";"via2",#N/A,TRUE,"general";"via3",#N/A,TRUE,"general"}</definedName>
    <definedName name="_t99" localSheetId="73" hidden="1">{"via1",#N/A,TRUE,"general";"via2",#N/A,TRUE,"general";"via3",#N/A,TRUE,"general"}</definedName>
    <definedName name="_t99" hidden="1">{"via1",#N/A,TRUE,"general";"via2",#N/A,TRUE,"general";"via3",#N/A,TRUE,"general"}</definedName>
    <definedName name="_Table2_Out" localSheetId="1" hidden="1">#REF!</definedName>
    <definedName name="_Table2_Out" hidden="1">#REF!</definedName>
    <definedName name="_TLL3" localSheetId="1">#REF!</definedName>
    <definedName name="_TLL3">#REF!</definedName>
    <definedName name="_TP1" localSheetId="1">#REF!</definedName>
    <definedName name="_TP1">#REF!</definedName>
    <definedName name="_u4" localSheetId="50" hidden="1">{"TAB1",#N/A,TRUE,"GENERAL";"TAB2",#N/A,TRUE,"GENERAL";"TAB3",#N/A,TRUE,"GENERAL";"TAB4",#N/A,TRUE,"GENERAL";"TAB5",#N/A,TRUE,"GENERAL"}</definedName>
    <definedName name="_u4" localSheetId="1" hidden="1">{"TAB1",#N/A,TRUE,"GENERAL";"TAB2",#N/A,TRUE,"GENERAL";"TAB3",#N/A,TRUE,"GENERAL";"TAB4",#N/A,TRUE,"GENERAL";"TAB5",#N/A,TRUE,"GENERAL"}</definedName>
    <definedName name="_u4" localSheetId="73" hidden="1">{"TAB1",#N/A,TRUE,"GENERAL";"TAB2",#N/A,TRUE,"GENERAL";"TAB3",#N/A,TRUE,"GENERAL";"TAB4",#N/A,TRUE,"GENERAL";"TAB5",#N/A,TRUE,"GENERAL"}</definedName>
    <definedName name="_u4" hidden="1">{"TAB1",#N/A,TRUE,"GENERAL";"TAB2",#N/A,TRUE,"GENERAL";"TAB3",#N/A,TRUE,"GENERAL";"TAB4",#N/A,TRUE,"GENERAL";"TAB5",#N/A,TRUE,"GENERAL"}</definedName>
    <definedName name="_u5" localSheetId="50" hidden="1">{"TAB1",#N/A,TRUE,"GENERAL";"TAB2",#N/A,TRUE,"GENERAL";"TAB3",#N/A,TRUE,"GENERAL";"TAB4",#N/A,TRUE,"GENERAL";"TAB5",#N/A,TRUE,"GENERAL"}</definedName>
    <definedName name="_u5" localSheetId="1" hidden="1">{"TAB1",#N/A,TRUE,"GENERAL";"TAB2",#N/A,TRUE,"GENERAL";"TAB3",#N/A,TRUE,"GENERAL";"TAB4",#N/A,TRUE,"GENERAL";"TAB5",#N/A,TRUE,"GENERAL"}</definedName>
    <definedName name="_u5" localSheetId="73" hidden="1">{"TAB1",#N/A,TRUE,"GENERAL";"TAB2",#N/A,TRUE,"GENERAL";"TAB3",#N/A,TRUE,"GENERAL";"TAB4",#N/A,TRUE,"GENERAL";"TAB5",#N/A,TRUE,"GENERAL"}</definedName>
    <definedName name="_u5" hidden="1">{"TAB1",#N/A,TRUE,"GENERAL";"TAB2",#N/A,TRUE,"GENERAL";"TAB3",#N/A,TRUE,"GENERAL";"TAB4",#N/A,TRUE,"GENERAL";"TAB5",#N/A,TRUE,"GENERAL"}</definedName>
    <definedName name="_u6" localSheetId="50" hidden="1">{"TAB1",#N/A,TRUE,"GENERAL";"TAB2",#N/A,TRUE,"GENERAL";"TAB3",#N/A,TRUE,"GENERAL";"TAB4",#N/A,TRUE,"GENERAL";"TAB5",#N/A,TRUE,"GENERAL"}</definedName>
    <definedName name="_u6" localSheetId="1" hidden="1">{"TAB1",#N/A,TRUE,"GENERAL";"TAB2",#N/A,TRUE,"GENERAL";"TAB3",#N/A,TRUE,"GENERAL";"TAB4",#N/A,TRUE,"GENERAL";"TAB5",#N/A,TRUE,"GENERAL"}</definedName>
    <definedName name="_u6" localSheetId="73" hidden="1">{"TAB1",#N/A,TRUE,"GENERAL";"TAB2",#N/A,TRUE,"GENERAL";"TAB3",#N/A,TRUE,"GENERAL";"TAB4",#N/A,TRUE,"GENERAL";"TAB5",#N/A,TRUE,"GENERAL"}</definedName>
    <definedName name="_u6" hidden="1">{"TAB1",#N/A,TRUE,"GENERAL";"TAB2",#N/A,TRUE,"GENERAL";"TAB3",#N/A,TRUE,"GENERAL";"TAB4",#N/A,TRUE,"GENERAL";"TAB5",#N/A,TRUE,"GENERAL"}</definedName>
    <definedName name="_u7" localSheetId="50" hidden="1">{"via1",#N/A,TRUE,"general";"via2",#N/A,TRUE,"general";"via3",#N/A,TRUE,"general"}</definedName>
    <definedName name="_u7" localSheetId="1" hidden="1">{"via1",#N/A,TRUE,"general";"via2",#N/A,TRUE,"general";"via3",#N/A,TRUE,"general"}</definedName>
    <definedName name="_u7" localSheetId="73" hidden="1">{"via1",#N/A,TRUE,"general";"via2",#N/A,TRUE,"general";"via3",#N/A,TRUE,"general"}</definedName>
    <definedName name="_u7" hidden="1">{"via1",#N/A,TRUE,"general";"via2",#N/A,TRUE,"general";"via3",#N/A,TRUE,"general"}</definedName>
    <definedName name="_u8" localSheetId="50" hidden="1">{"TAB1",#N/A,TRUE,"GENERAL";"TAB2",#N/A,TRUE,"GENERAL";"TAB3",#N/A,TRUE,"GENERAL";"TAB4",#N/A,TRUE,"GENERAL";"TAB5",#N/A,TRUE,"GENERAL"}</definedName>
    <definedName name="_u8" localSheetId="1" hidden="1">{"TAB1",#N/A,TRUE,"GENERAL";"TAB2",#N/A,TRUE,"GENERAL";"TAB3",#N/A,TRUE,"GENERAL";"TAB4",#N/A,TRUE,"GENERAL";"TAB5",#N/A,TRUE,"GENERAL"}</definedName>
    <definedName name="_u8" localSheetId="73" hidden="1">{"TAB1",#N/A,TRUE,"GENERAL";"TAB2",#N/A,TRUE,"GENERAL";"TAB3",#N/A,TRUE,"GENERAL";"TAB4",#N/A,TRUE,"GENERAL";"TAB5",#N/A,TRUE,"GENERAL"}</definedName>
    <definedName name="_u8" hidden="1">{"TAB1",#N/A,TRUE,"GENERAL";"TAB2",#N/A,TRUE,"GENERAL";"TAB3",#N/A,TRUE,"GENERAL";"TAB4",#N/A,TRUE,"GENERAL";"TAB5",#N/A,TRUE,"GENERAL"}</definedName>
    <definedName name="_u9" localSheetId="50" hidden="1">{"TAB1",#N/A,TRUE,"GENERAL";"TAB2",#N/A,TRUE,"GENERAL";"TAB3",#N/A,TRUE,"GENERAL";"TAB4",#N/A,TRUE,"GENERAL";"TAB5",#N/A,TRUE,"GENERAL"}</definedName>
    <definedName name="_u9" localSheetId="1" hidden="1">{"TAB1",#N/A,TRUE,"GENERAL";"TAB2",#N/A,TRUE,"GENERAL";"TAB3",#N/A,TRUE,"GENERAL";"TAB4",#N/A,TRUE,"GENERAL";"TAB5",#N/A,TRUE,"GENERAL"}</definedName>
    <definedName name="_u9" localSheetId="73" hidden="1">{"TAB1",#N/A,TRUE,"GENERAL";"TAB2",#N/A,TRUE,"GENERAL";"TAB3",#N/A,TRUE,"GENERAL";"TAB4",#N/A,TRUE,"GENERAL";"TAB5",#N/A,TRUE,"GENERAL"}</definedName>
    <definedName name="_u9" hidden="1">{"TAB1",#N/A,TRUE,"GENERAL";"TAB2",#N/A,TRUE,"GENERAL";"TAB3",#N/A,TRUE,"GENERAL";"TAB4",#N/A,TRUE,"GENERAL";"TAB5",#N/A,TRUE,"GENERAL"}</definedName>
    <definedName name="_ur7" localSheetId="50" hidden="1">{"TAB1",#N/A,TRUE,"GENERAL";"TAB2",#N/A,TRUE,"GENERAL";"TAB3",#N/A,TRUE,"GENERAL";"TAB4",#N/A,TRUE,"GENERAL";"TAB5",#N/A,TRUE,"GENERAL"}</definedName>
    <definedName name="_ur7" localSheetId="1" hidden="1">{"TAB1",#N/A,TRUE,"GENERAL";"TAB2",#N/A,TRUE,"GENERAL";"TAB3",#N/A,TRUE,"GENERAL";"TAB4",#N/A,TRUE,"GENERAL";"TAB5",#N/A,TRUE,"GENERAL"}</definedName>
    <definedName name="_ur7" localSheetId="73" hidden="1">{"TAB1",#N/A,TRUE,"GENERAL";"TAB2",#N/A,TRUE,"GENERAL";"TAB3",#N/A,TRUE,"GENERAL";"TAB4",#N/A,TRUE,"GENERAL";"TAB5",#N/A,TRUE,"GENERAL"}</definedName>
    <definedName name="_ur7" hidden="1">{"TAB1",#N/A,TRUE,"GENERAL";"TAB2",#N/A,TRUE,"GENERAL";"TAB3",#N/A,TRUE,"GENERAL";"TAB4",#N/A,TRUE,"GENERAL";"TAB5",#N/A,TRUE,"GENERAL"}</definedName>
    <definedName name="_v2" localSheetId="50" hidden="1">{"via1",#N/A,TRUE,"general";"via2",#N/A,TRUE,"general";"via3",#N/A,TRUE,"general"}</definedName>
    <definedName name="_v2" localSheetId="1" hidden="1">{"via1",#N/A,TRUE,"general";"via2",#N/A,TRUE,"general";"via3",#N/A,TRUE,"general"}</definedName>
    <definedName name="_v2" localSheetId="73" hidden="1">{"via1",#N/A,TRUE,"general";"via2",#N/A,TRUE,"general";"via3",#N/A,TRUE,"general"}</definedName>
    <definedName name="_v2" hidden="1">{"via1",#N/A,TRUE,"general";"via2",#N/A,TRUE,"general";"via3",#N/A,TRUE,"general"}</definedName>
    <definedName name="_v3" localSheetId="50" hidden="1">{"TAB1",#N/A,TRUE,"GENERAL";"TAB2",#N/A,TRUE,"GENERAL";"TAB3",#N/A,TRUE,"GENERAL";"TAB4",#N/A,TRUE,"GENERAL";"TAB5",#N/A,TRUE,"GENERAL"}</definedName>
    <definedName name="_v3" localSheetId="1" hidden="1">{"TAB1",#N/A,TRUE,"GENERAL";"TAB2",#N/A,TRUE,"GENERAL";"TAB3",#N/A,TRUE,"GENERAL";"TAB4",#N/A,TRUE,"GENERAL";"TAB5",#N/A,TRUE,"GENERAL"}</definedName>
    <definedName name="_v3" localSheetId="73" hidden="1">{"TAB1",#N/A,TRUE,"GENERAL";"TAB2",#N/A,TRUE,"GENERAL";"TAB3",#N/A,TRUE,"GENERAL";"TAB4",#N/A,TRUE,"GENERAL";"TAB5",#N/A,TRUE,"GENERAL"}</definedName>
    <definedName name="_v3" hidden="1">{"TAB1",#N/A,TRUE,"GENERAL";"TAB2",#N/A,TRUE,"GENERAL";"TAB3",#N/A,TRUE,"GENERAL";"TAB4",#N/A,TRUE,"GENERAL";"TAB5",#N/A,TRUE,"GENERAL"}</definedName>
    <definedName name="_v4" localSheetId="50" hidden="1">{"TAB1",#N/A,TRUE,"GENERAL";"TAB2",#N/A,TRUE,"GENERAL";"TAB3",#N/A,TRUE,"GENERAL";"TAB4",#N/A,TRUE,"GENERAL";"TAB5",#N/A,TRUE,"GENERAL"}</definedName>
    <definedName name="_v4" localSheetId="1" hidden="1">{"TAB1",#N/A,TRUE,"GENERAL";"TAB2",#N/A,TRUE,"GENERAL";"TAB3",#N/A,TRUE,"GENERAL";"TAB4",#N/A,TRUE,"GENERAL";"TAB5",#N/A,TRUE,"GENERAL"}</definedName>
    <definedName name="_v4" localSheetId="73" hidden="1">{"TAB1",#N/A,TRUE,"GENERAL";"TAB2",#N/A,TRUE,"GENERAL";"TAB3",#N/A,TRUE,"GENERAL";"TAB4",#N/A,TRUE,"GENERAL";"TAB5",#N/A,TRUE,"GENERAL"}</definedName>
    <definedName name="_v4" hidden="1">{"TAB1",#N/A,TRUE,"GENERAL";"TAB2",#N/A,TRUE,"GENERAL";"TAB3",#N/A,TRUE,"GENERAL";"TAB4",#N/A,TRUE,"GENERAL";"TAB5",#N/A,TRUE,"GENERAL"}</definedName>
    <definedName name="_v5" localSheetId="50" hidden="1">{"TAB1",#N/A,TRUE,"GENERAL";"TAB2",#N/A,TRUE,"GENERAL";"TAB3",#N/A,TRUE,"GENERAL";"TAB4",#N/A,TRUE,"GENERAL";"TAB5",#N/A,TRUE,"GENERAL"}</definedName>
    <definedName name="_v5" localSheetId="1" hidden="1">{"TAB1",#N/A,TRUE,"GENERAL";"TAB2",#N/A,TRUE,"GENERAL";"TAB3",#N/A,TRUE,"GENERAL";"TAB4",#N/A,TRUE,"GENERAL";"TAB5",#N/A,TRUE,"GENERAL"}</definedName>
    <definedName name="_v5" localSheetId="73" hidden="1">{"TAB1",#N/A,TRUE,"GENERAL";"TAB2",#N/A,TRUE,"GENERAL";"TAB3",#N/A,TRUE,"GENERAL";"TAB4",#N/A,TRUE,"GENERAL";"TAB5",#N/A,TRUE,"GENERAL"}</definedName>
    <definedName name="_v5" hidden="1">{"TAB1",#N/A,TRUE,"GENERAL";"TAB2",#N/A,TRUE,"GENERAL";"TAB3",#N/A,TRUE,"GENERAL";"TAB4",#N/A,TRUE,"GENERAL";"TAB5",#N/A,TRUE,"GENERAL"}</definedName>
    <definedName name="_v6" localSheetId="50" hidden="1">{"TAB1",#N/A,TRUE,"GENERAL";"TAB2",#N/A,TRUE,"GENERAL";"TAB3",#N/A,TRUE,"GENERAL";"TAB4",#N/A,TRUE,"GENERAL";"TAB5",#N/A,TRUE,"GENERAL"}</definedName>
    <definedName name="_v6" localSheetId="1" hidden="1">{"TAB1",#N/A,TRUE,"GENERAL";"TAB2",#N/A,TRUE,"GENERAL";"TAB3",#N/A,TRUE,"GENERAL";"TAB4",#N/A,TRUE,"GENERAL";"TAB5",#N/A,TRUE,"GENERAL"}</definedName>
    <definedName name="_v6" localSheetId="73" hidden="1">{"TAB1",#N/A,TRUE,"GENERAL";"TAB2",#N/A,TRUE,"GENERAL";"TAB3",#N/A,TRUE,"GENERAL";"TAB4",#N/A,TRUE,"GENERAL";"TAB5",#N/A,TRUE,"GENERAL"}</definedName>
    <definedName name="_v6" hidden="1">{"TAB1",#N/A,TRUE,"GENERAL";"TAB2",#N/A,TRUE,"GENERAL";"TAB3",#N/A,TRUE,"GENERAL";"TAB4",#N/A,TRUE,"GENERAL";"TAB5",#N/A,TRUE,"GENERAL"}</definedName>
    <definedName name="_v7" localSheetId="50" hidden="1">{"via1",#N/A,TRUE,"general";"via2",#N/A,TRUE,"general";"via3",#N/A,TRUE,"general"}</definedName>
    <definedName name="_v7" localSheetId="1" hidden="1">{"via1",#N/A,TRUE,"general";"via2",#N/A,TRUE,"general";"via3",#N/A,TRUE,"general"}</definedName>
    <definedName name="_v7" localSheetId="73" hidden="1">{"via1",#N/A,TRUE,"general";"via2",#N/A,TRUE,"general";"via3",#N/A,TRUE,"general"}</definedName>
    <definedName name="_v7" hidden="1">{"via1",#N/A,TRUE,"general";"via2",#N/A,TRUE,"general";"via3",#N/A,TRUE,"general"}</definedName>
    <definedName name="_v8" localSheetId="50" hidden="1">{"TAB1",#N/A,TRUE,"GENERAL";"TAB2",#N/A,TRUE,"GENERAL";"TAB3",#N/A,TRUE,"GENERAL";"TAB4",#N/A,TRUE,"GENERAL";"TAB5",#N/A,TRUE,"GENERAL"}</definedName>
    <definedName name="_v8" localSheetId="1" hidden="1">{"TAB1",#N/A,TRUE,"GENERAL";"TAB2",#N/A,TRUE,"GENERAL";"TAB3",#N/A,TRUE,"GENERAL";"TAB4",#N/A,TRUE,"GENERAL";"TAB5",#N/A,TRUE,"GENERAL"}</definedName>
    <definedName name="_v8" localSheetId="73" hidden="1">{"TAB1",#N/A,TRUE,"GENERAL";"TAB2",#N/A,TRUE,"GENERAL";"TAB3",#N/A,TRUE,"GENERAL";"TAB4",#N/A,TRUE,"GENERAL";"TAB5",#N/A,TRUE,"GENERAL"}</definedName>
    <definedName name="_v8" hidden="1">{"TAB1",#N/A,TRUE,"GENERAL";"TAB2",#N/A,TRUE,"GENERAL";"TAB3",#N/A,TRUE,"GENERAL";"TAB4",#N/A,TRUE,"GENERAL";"TAB5",#N/A,TRUE,"GENERAL"}</definedName>
    <definedName name="_v9" localSheetId="50" hidden="1">{"TAB1",#N/A,TRUE,"GENERAL";"TAB2",#N/A,TRUE,"GENERAL";"TAB3",#N/A,TRUE,"GENERAL";"TAB4",#N/A,TRUE,"GENERAL";"TAB5",#N/A,TRUE,"GENERAL"}</definedName>
    <definedName name="_v9" localSheetId="1" hidden="1">{"TAB1",#N/A,TRUE,"GENERAL";"TAB2",#N/A,TRUE,"GENERAL";"TAB3",#N/A,TRUE,"GENERAL";"TAB4",#N/A,TRUE,"GENERAL";"TAB5",#N/A,TRUE,"GENERAL"}</definedName>
    <definedName name="_v9" localSheetId="73" hidden="1">{"TAB1",#N/A,TRUE,"GENERAL";"TAB2",#N/A,TRUE,"GENERAL";"TAB3",#N/A,TRUE,"GENERAL";"TAB4",#N/A,TRUE,"GENERAL";"TAB5",#N/A,TRUE,"GENERAL"}</definedName>
    <definedName name="_v9" hidden="1">{"TAB1",#N/A,TRUE,"GENERAL";"TAB2",#N/A,TRUE,"GENERAL";"TAB3",#N/A,TRUE,"GENERAL";"TAB4",#N/A,TRUE,"GENERAL";"TAB5",#N/A,TRUE,"GENERAL"}</definedName>
    <definedName name="_vfv4" localSheetId="50" hidden="1">{"via1",#N/A,TRUE,"general";"via2",#N/A,TRUE,"general";"via3",#N/A,TRUE,"general"}</definedName>
    <definedName name="_vfv4" localSheetId="1" hidden="1">{"via1",#N/A,TRUE,"general";"via2",#N/A,TRUE,"general";"via3",#N/A,TRUE,"general"}</definedName>
    <definedName name="_vfv4" localSheetId="73" hidden="1">{"via1",#N/A,TRUE,"general";"via2",#N/A,TRUE,"general";"via3",#N/A,TRUE,"general"}</definedName>
    <definedName name="_vfv4" hidden="1">{"via1",#N/A,TRUE,"general";"via2",#N/A,TRUE,"general";"via3",#N/A,TRUE,"general"}</definedName>
    <definedName name="_WEE" localSheetId="1">#REF!</definedName>
    <definedName name="_WEE">#REF!</definedName>
    <definedName name="_x1" localSheetId="50" hidden="1">{"TAB1",#N/A,TRUE,"GENERAL";"TAB2",#N/A,TRUE,"GENERAL";"TAB3",#N/A,TRUE,"GENERAL";"TAB4",#N/A,TRUE,"GENERAL";"TAB5",#N/A,TRUE,"GENERAL"}</definedName>
    <definedName name="_x1" localSheetId="1" hidden="1">{"TAB1",#N/A,TRUE,"GENERAL";"TAB2",#N/A,TRUE,"GENERAL";"TAB3",#N/A,TRUE,"GENERAL";"TAB4",#N/A,TRUE,"GENERAL";"TAB5",#N/A,TRUE,"GENERAL"}</definedName>
    <definedName name="_x1" localSheetId="73" hidden="1">{"TAB1",#N/A,TRUE,"GENERAL";"TAB2",#N/A,TRUE,"GENERAL";"TAB3",#N/A,TRUE,"GENERAL";"TAB4",#N/A,TRUE,"GENERAL";"TAB5",#N/A,TRUE,"GENERAL"}</definedName>
    <definedName name="_x1" hidden="1">{"TAB1",#N/A,TRUE,"GENERAL";"TAB2",#N/A,TRUE,"GENERAL";"TAB3",#N/A,TRUE,"GENERAL";"TAB4",#N/A,TRUE,"GENERAL";"TAB5",#N/A,TRUE,"GENERAL"}</definedName>
    <definedName name="_x2" localSheetId="50" hidden="1">{"via1",#N/A,TRUE,"general";"via2",#N/A,TRUE,"general";"via3",#N/A,TRUE,"general"}</definedName>
    <definedName name="_x2" localSheetId="1" hidden="1">{"via1",#N/A,TRUE,"general";"via2",#N/A,TRUE,"general";"via3",#N/A,TRUE,"general"}</definedName>
    <definedName name="_x2" localSheetId="73" hidden="1">{"via1",#N/A,TRUE,"general";"via2",#N/A,TRUE,"general";"via3",#N/A,TRUE,"general"}</definedName>
    <definedName name="_x2" hidden="1">{"via1",#N/A,TRUE,"general";"via2",#N/A,TRUE,"general";"via3",#N/A,TRUE,"general"}</definedName>
    <definedName name="_x3" localSheetId="50" hidden="1">{"via1",#N/A,TRUE,"general";"via2",#N/A,TRUE,"general";"via3",#N/A,TRUE,"general"}</definedName>
    <definedName name="_x3" localSheetId="1" hidden="1">{"via1",#N/A,TRUE,"general";"via2",#N/A,TRUE,"general";"via3",#N/A,TRUE,"general"}</definedName>
    <definedName name="_x3" localSheetId="73" hidden="1">{"via1",#N/A,TRUE,"general";"via2",#N/A,TRUE,"general";"via3",#N/A,TRUE,"general"}</definedName>
    <definedName name="_x3" hidden="1">{"via1",#N/A,TRUE,"general";"via2",#N/A,TRUE,"general";"via3",#N/A,TRUE,"general"}</definedName>
    <definedName name="_x4" localSheetId="50" hidden="1">{"via1",#N/A,TRUE,"general";"via2",#N/A,TRUE,"general";"via3",#N/A,TRUE,"general"}</definedName>
    <definedName name="_x4" localSheetId="1" hidden="1">{"via1",#N/A,TRUE,"general";"via2",#N/A,TRUE,"general";"via3",#N/A,TRUE,"general"}</definedName>
    <definedName name="_x4" localSheetId="73" hidden="1">{"via1",#N/A,TRUE,"general";"via2",#N/A,TRUE,"general";"via3",#N/A,TRUE,"general"}</definedName>
    <definedName name="_x4" hidden="1">{"via1",#N/A,TRUE,"general";"via2",#N/A,TRUE,"general";"via3",#N/A,TRUE,"general"}</definedName>
    <definedName name="_x5" localSheetId="50" hidden="1">{"TAB1",#N/A,TRUE,"GENERAL";"TAB2",#N/A,TRUE,"GENERAL";"TAB3",#N/A,TRUE,"GENERAL";"TAB4",#N/A,TRUE,"GENERAL";"TAB5",#N/A,TRUE,"GENERAL"}</definedName>
    <definedName name="_x5" localSheetId="1" hidden="1">{"TAB1",#N/A,TRUE,"GENERAL";"TAB2",#N/A,TRUE,"GENERAL";"TAB3",#N/A,TRUE,"GENERAL";"TAB4",#N/A,TRUE,"GENERAL";"TAB5",#N/A,TRUE,"GENERAL"}</definedName>
    <definedName name="_x5" localSheetId="73" hidden="1">{"TAB1",#N/A,TRUE,"GENERAL";"TAB2",#N/A,TRUE,"GENERAL";"TAB3",#N/A,TRUE,"GENERAL";"TAB4",#N/A,TRUE,"GENERAL";"TAB5",#N/A,TRUE,"GENERAL"}</definedName>
    <definedName name="_x5" hidden="1">{"TAB1",#N/A,TRUE,"GENERAL";"TAB2",#N/A,TRUE,"GENERAL";"TAB3",#N/A,TRUE,"GENERAL";"TAB4",#N/A,TRUE,"GENERAL";"TAB5",#N/A,TRUE,"GENERAL"}</definedName>
    <definedName name="_x6" localSheetId="50" hidden="1">{"TAB1",#N/A,TRUE,"GENERAL";"TAB2",#N/A,TRUE,"GENERAL";"TAB3",#N/A,TRUE,"GENERAL";"TAB4",#N/A,TRUE,"GENERAL";"TAB5",#N/A,TRUE,"GENERAL"}</definedName>
    <definedName name="_x6" localSheetId="1" hidden="1">{"TAB1",#N/A,TRUE,"GENERAL";"TAB2",#N/A,TRUE,"GENERAL";"TAB3",#N/A,TRUE,"GENERAL";"TAB4",#N/A,TRUE,"GENERAL";"TAB5",#N/A,TRUE,"GENERAL"}</definedName>
    <definedName name="_x6" localSheetId="73" hidden="1">{"TAB1",#N/A,TRUE,"GENERAL";"TAB2",#N/A,TRUE,"GENERAL";"TAB3",#N/A,TRUE,"GENERAL";"TAB4",#N/A,TRUE,"GENERAL";"TAB5",#N/A,TRUE,"GENERAL"}</definedName>
    <definedName name="_x6" hidden="1">{"TAB1",#N/A,TRUE,"GENERAL";"TAB2",#N/A,TRUE,"GENERAL";"TAB3",#N/A,TRUE,"GENERAL";"TAB4",#N/A,TRUE,"GENERAL";"TAB5",#N/A,TRUE,"GENERAL"}</definedName>
    <definedName name="_x7" localSheetId="50" hidden="1">{"TAB1",#N/A,TRUE,"GENERAL";"TAB2",#N/A,TRUE,"GENERAL";"TAB3",#N/A,TRUE,"GENERAL";"TAB4",#N/A,TRUE,"GENERAL";"TAB5",#N/A,TRUE,"GENERAL"}</definedName>
    <definedName name="_x7" localSheetId="1" hidden="1">{"TAB1",#N/A,TRUE,"GENERAL";"TAB2",#N/A,TRUE,"GENERAL";"TAB3",#N/A,TRUE,"GENERAL";"TAB4",#N/A,TRUE,"GENERAL";"TAB5",#N/A,TRUE,"GENERAL"}</definedName>
    <definedName name="_x7" localSheetId="73" hidden="1">{"TAB1",#N/A,TRUE,"GENERAL";"TAB2",#N/A,TRUE,"GENERAL";"TAB3",#N/A,TRUE,"GENERAL";"TAB4",#N/A,TRUE,"GENERAL";"TAB5",#N/A,TRUE,"GENERAL"}</definedName>
    <definedName name="_x7" hidden="1">{"TAB1",#N/A,TRUE,"GENERAL";"TAB2",#N/A,TRUE,"GENERAL";"TAB3",#N/A,TRUE,"GENERAL";"TAB4",#N/A,TRUE,"GENERAL";"TAB5",#N/A,TRUE,"GENERAL"}</definedName>
    <definedName name="_x8" localSheetId="50" hidden="1">{"via1",#N/A,TRUE,"general";"via2",#N/A,TRUE,"general";"via3",#N/A,TRUE,"general"}</definedName>
    <definedName name="_x8" localSheetId="1" hidden="1">{"via1",#N/A,TRUE,"general";"via2",#N/A,TRUE,"general";"via3",#N/A,TRUE,"general"}</definedName>
    <definedName name="_x8" localSheetId="73" hidden="1">{"via1",#N/A,TRUE,"general";"via2",#N/A,TRUE,"general";"via3",#N/A,TRUE,"general"}</definedName>
    <definedName name="_x8" hidden="1">{"via1",#N/A,TRUE,"general";"via2",#N/A,TRUE,"general";"via3",#N/A,TRUE,"general"}</definedName>
    <definedName name="_x9" localSheetId="50" hidden="1">{"TAB1",#N/A,TRUE,"GENERAL";"TAB2",#N/A,TRUE,"GENERAL";"TAB3",#N/A,TRUE,"GENERAL";"TAB4",#N/A,TRUE,"GENERAL";"TAB5",#N/A,TRUE,"GENERAL"}</definedName>
    <definedName name="_x9" localSheetId="1" hidden="1">{"TAB1",#N/A,TRUE,"GENERAL";"TAB2",#N/A,TRUE,"GENERAL";"TAB3",#N/A,TRUE,"GENERAL";"TAB4",#N/A,TRUE,"GENERAL";"TAB5",#N/A,TRUE,"GENERAL"}</definedName>
    <definedName name="_x9" localSheetId="73" hidden="1">{"TAB1",#N/A,TRUE,"GENERAL";"TAB2",#N/A,TRUE,"GENERAL";"TAB3",#N/A,TRUE,"GENERAL";"TAB4",#N/A,TRUE,"GENERAL";"TAB5",#N/A,TRUE,"GENERAL"}</definedName>
    <definedName name="_x9" hidden="1">{"TAB1",#N/A,TRUE,"GENERAL";"TAB2",#N/A,TRUE,"GENERAL";"TAB3",#N/A,TRUE,"GENERAL";"TAB4",#N/A,TRUE,"GENERAL";"TAB5",#N/A,TRUE,"GENERAL"}</definedName>
    <definedName name="_y2" localSheetId="50" hidden="1">{"TAB1",#N/A,TRUE,"GENERAL";"TAB2",#N/A,TRUE,"GENERAL";"TAB3",#N/A,TRUE,"GENERAL";"TAB4",#N/A,TRUE,"GENERAL";"TAB5",#N/A,TRUE,"GENERAL"}</definedName>
    <definedName name="_y2" localSheetId="1" hidden="1">{"TAB1",#N/A,TRUE,"GENERAL";"TAB2",#N/A,TRUE,"GENERAL";"TAB3",#N/A,TRUE,"GENERAL";"TAB4",#N/A,TRUE,"GENERAL";"TAB5",#N/A,TRUE,"GENERAL"}</definedName>
    <definedName name="_y2" localSheetId="73" hidden="1">{"TAB1",#N/A,TRUE,"GENERAL";"TAB2",#N/A,TRUE,"GENERAL";"TAB3",#N/A,TRUE,"GENERAL";"TAB4",#N/A,TRUE,"GENERAL";"TAB5",#N/A,TRUE,"GENERAL"}</definedName>
    <definedName name="_y2" hidden="1">{"TAB1",#N/A,TRUE,"GENERAL";"TAB2",#N/A,TRUE,"GENERAL";"TAB3",#N/A,TRUE,"GENERAL";"TAB4",#N/A,TRUE,"GENERAL";"TAB5",#N/A,TRUE,"GENERAL"}</definedName>
    <definedName name="_y3" localSheetId="50" hidden="1">{"via1",#N/A,TRUE,"general";"via2",#N/A,TRUE,"general";"via3",#N/A,TRUE,"general"}</definedName>
    <definedName name="_y3" localSheetId="1" hidden="1">{"via1",#N/A,TRUE,"general";"via2",#N/A,TRUE,"general";"via3",#N/A,TRUE,"general"}</definedName>
    <definedName name="_y3" localSheetId="73" hidden="1">{"via1",#N/A,TRUE,"general";"via2",#N/A,TRUE,"general";"via3",#N/A,TRUE,"general"}</definedName>
    <definedName name="_y3" hidden="1">{"via1",#N/A,TRUE,"general";"via2",#N/A,TRUE,"general";"via3",#N/A,TRUE,"general"}</definedName>
    <definedName name="_y4" localSheetId="50" hidden="1">{"via1",#N/A,TRUE,"general";"via2",#N/A,TRUE,"general";"via3",#N/A,TRUE,"general"}</definedName>
    <definedName name="_y4" localSheetId="1" hidden="1">{"via1",#N/A,TRUE,"general";"via2",#N/A,TRUE,"general";"via3",#N/A,TRUE,"general"}</definedName>
    <definedName name="_y4" localSheetId="73" hidden="1">{"via1",#N/A,TRUE,"general";"via2",#N/A,TRUE,"general";"via3",#N/A,TRUE,"general"}</definedName>
    <definedName name="_y4" hidden="1">{"via1",#N/A,TRUE,"general";"via2",#N/A,TRUE,"general";"via3",#N/A,TRUE,"general"}</definedName>
    <definedName name="_y5" localSheetId="50" hidden="1">{"TAB1",#N/A,TRUE,"GENERAL";"TAB2",#N/A,TRUE,"GENERAL";"TAB3",#N/A,TRUE,"GENERAL";"TAB4",#N/A,TRUE,"GENERAL";"TAB5",#N/A,TRUE,"GENERAL"}</definedName>
    <definedName name="_y5" localSheetId="1" hidden="1">{"TAB1",#N/A,TRUE,"GENERAL";"TAB2",#N/A,TRUE,"GENERAL";"TAB3",#N/A,TRUE,"GENERAL";"TAB4",#N/A,TRUE,"GENERAL";"TAB5",#N/A,TRUE,"GENERAL"}</definedName>
    <definedName name="_y5" localSheetId="73" hidden="1">{"TAB1",#N/A,TRUE,"GENERAL";"TAB2",#N/A,TRUE,"GENERAL";"TAB3",#N/A,TRUE,"GENERAL";"TAB4",#N/A,TRUE,"GENERAL";"TAB5",#N/A,TRUE,"GENERAL"}</definedName>
    <definedName name="_y5" hidden="1">{"TAB1",#N/A,TRUE,"GENERAL";"TAB2",#N/A,TRUE,"GENERAL";"TAB3",#N/A,TRUE,"GENERAL";"TAB4",#N/A,TRUE,"GENERAL";"TAB5",#N/A,TRUE,"GENERAL"}</definedName>
    <definedName name="_y6" localSheetId="50" hidden="1">{"via1",#N/A,TRUE,"general";"via2",#N/A,TRUE,"general";"via3",#N/A,TRUE,"general"}</definedName>
    <definedName name="_y6" localSheetId="1" hidden="1">{"via1",#N/A,TRUE,"general";"via2",#N/A,TRUE,"general";"via3",#N/A,TRUE,"general"}</definedName>
    <definedName name="_y6" localSheetId="73" hidden="1">{"via1",#N/A,TRUE,"general";"via2",#N/A,TRUE,"general";"via3",#N/A,TRUE,"general"}</definedName>
    <definedName name="_y6" hidden="1">{"via1",#N/A,TRUE,"general";"via2",#N/A,TRUE,"general";"via3",#N/A,TRUE,"general"}</definedName>
    <definedName name="_y7" localSheetId="50" hidden="1">{"via1",#N/A,TRUE,"general";"via2",#N/A,TRUE,"general";"via3",#N/A,TRUE,"general"}</definedName>
    <definedName name="_y7" localSheetId="1" hidden="1">{"via1",#N/A,TRUE,"general";"via2",#N/A,TRUE,"general";"via3",#N/A,TRUE,"general"}</definedName>
    <definedName name="_y7" localSheetId="73" hidden="1">{"via1",#N/A,TRUE,"general";"via2",#N/A,TRUE,"general";"via3",#N/A,TRUE,"general"}</definedName>
    <definedName name="_y7" hidden="1">{"via1",#N/A,TRUE,"general";"via2",#N/A,TRUE,"general";"via3",#N/A,TRUE,"general"}</definedName>
    <definedName name="_y8" localSheetId="50" hidden="1">{"via1",#N/A,TRUE,"general";"via2",#N/A,TRUE,"general";"via3",#N/A,TRUE,"general"}</definedName>
    <definedName name="_y8" localSheetId="1" hidden="1">{"via1",#N/A,TRUE,"general";"via2",#N/A,TRUE,"general";"via3",#N/A,TRUE,"general"}</definedName>
    <definedName name="_y8" localSheetId="73" hidden="1">{"via1",#N/A,TRUE,"general";"via2",#N/A,TRUE,"general";"via3",#N/A,TRUE,"general"}</definedName>
    <definedName name="_y8" hidden="1">{"via1",#N/A,TRUE,"general";"via2",#N/A,TRUE,"general";"via3",#N/A,TRUE,"general"}</definedName>
    <definedName name="_y9" localSheetId="50" hidden="1">{"TAB1",#N/A,TRUE,"GENERAL";"TAB2",#N/A,TRUE,"GENERAL";"TAB3",#N/A,TRUE,"GENERAL";"TAB4",#N/A,TRUE,"GENERAL";"TAB5",#N/A,TRUE,"GENERAL"}</definedName>
    <definedName name="_y9" localSheetId="1" hidden="1">{"TAB1",#N/A,TRUE,"GENERAL";"TAB2",#N/A,TRUE,"GENERAL";"TAB3",#N/A,TRUE,"GENERAL";"TAB4",#N/A,TRUE,"GENERAL";"TAB5",#N/A,TRUE,"GENERAL"}</definedName>
    <definedName name="_y9" localSheetId="73" hidden="1">{"TAB1",#N/A,TRUE,"GENERAL";"TAB2",#N/A,TRUE,"GENERAL";"TAB3",#N/A,TRUE,"GENERAL";"TAB4",#N/A,TRUE,"GENERAL";"TAB5",#N/A,TRUE,"GENERAL"}</definedName>
    <definedName name="_y9" hidden="1">{"TAB1",#N/A,TRUE,"GENERAL";"TAB2",#N/A,TRUE,"GENERAL";"TAB3",#N/A,TRUE,"GENERAL";"TAB4",#N/A,TRUE,"GENERAL";"TAB5",#N/A,TRUE,"GENERAL"}</definedName>
    <definedName name="_z1" localSheetId="50" hidden="1">{"TAB1",#N/A,TRUE,"GENERAL";"TAB2",#N/A,TRUE,"GENERAL";"TAB3",#N/A,TRUE,"GENERAL";"TAB4",#N/A,TRUE,"GENERAL";"TAB5",#N/A,TRUE,"GENERAL"}</definedName>
    <definedName name="_z1" localSheetId="1" hidden="1">{"TAB1",#N/A,TRUE,"GENERAL";"TAB2",#N/A,TRUE,"GENERAL";"TAB3",#N/A,TRUE,"GENERAL";"TAB4",#N/A,TRUE,"GENERAL";"TAB5",#N/A,TRUE,"GENERAL"}</definedName>
    <definedName name="_z1" localSheetId="73" hidden="1">{"TAB1",#N/A,TRUE,"GENERAL";"TAB2",#N/A,TRUE,"GENERAL";"TAB3",#N/A,TRUE,"GENERAL";"TAB4",#N/A,TRUE,"GENERAL";"TAB5",#N/A,TRUE,"GENERAL"}</definedName>
    <definedName name="_z1" hidden="1">{"TAB1",#N/A,TRUE,"GENERAL";"TAB2",#N/A,TRUE,"GENERAL";"TAB3",#N/A,TRUE,"GENERAL";"TAB4",#N/A,TRUE,"GENERAL";"TAB5",#N/A,TRUE,"GENERAL"}</definedName>
    <definedName name="_z2" localSheetId="50" hidden="1">{"via1",#N/A,TRUE,"general";"via2",#N/A,TRUE,"general";"via3",#N/A,TRUE,"general"}</definedName>
    <definedName name="_z2" localSheetId="1" hidden="1">{"via1",#N/A,TRUE,"general";"via2",#N/A,TRUE,"general";"via3",#N/A,TRUE,"general"}</definedName>
    <definedName name="_z2" localSheetId="73" hidden="1">{"via1",#N/A,TRUE,"general";"via2",#N/A,TRUE,"general";"via3",#N/A,TRUE,"general"}</definedName>
    <definedName name="_z2" hidden="1">{"via1",#N/A,TRUE,"general";"via2",#N/A,TRUE,"general";"via3",#N/A,TRUE,"general"}</definedName>
    <definedName name="_z3" localSheetId="50" hidden="1">{"via1",#N/A,TRUE,"general";"via2",#N/A,TRUE,"general";"via3",#N/A,TRUE,"general"}</definedName>
    <definedName name="_z3" localSheetId="1" hidden="1">{"via1",#N/A,TRUE,"general";"via2",#N/A,TRUE,"general";"via3",#N/A,TRUE,"general"}</definedName>
    <definedName name="_z3" localSheetId="73" hidden="1">{"via1",#N/A,TRUE,"general";"via2",#N/A,TRUE,"general";"via3",#N/A,TRUE,"general"}</definedName>
    <definedName name="_z3" hidden="1">{"via1",#N/A,TRUE,"general";"via2",#N/A,TRUE,"general";"via3",#N/A,TRUE,"general"}</definedName>
    <definedName name="_z4" localSheetId="50" hidden="1">{"TAB1",#N/A,TRUE,"GENERAL";"TAB2",#N/A,TRUE,"GENERAL";"TAB3",#N/A,TRUE,"GENERAL";"TAB4",#N/A,TRUE,"GENERAL";"TAB5",#N/A,TRUE,"GENERAL"}</definedName>
    <definedName name="_z4" localSheetId="1" hidden="1">{"TAB1",#N/A,TRUE,"GENERAL";"TAB2",#N/A,TRUE,"GENERAL";"TAB3",#N/A,TRUE,"GENERAL";"TAB4",#N/A,TRUE,"GENERAL";"TAB5",#N/A,TRUE,"GENERAL"}</definedName>
    <definedName name="_z4" localSheetId="73" hidden="1">{"TAB1",#N/A,TRUE,"GENERAL";"TAB2",#N/A,TRUE,"GENERAL";"TAB3",#N/A,TRUE,"GENERAL";"TAB4",#N/A,TRUE,"GENERAL";"TAB5",#N/A,TRUE,"GENERAL"}</definedName>
    <definedName name="_z4" hidden="1">{"TAB1",#N/A,TRUE,"GENERAL";"TAB2",#N/A,TRUE,"GENERAL";"TAB3",#N/A,TRUE,"GENERAL";"TAB4",#N/A,TRUE,"GENERAL";"TAB5",#N/A,TRUE,"GENERAL"}</definedName>
    <definedName name="_z5" localSheetId="50" hidden="1">{"via1",#N/A,TRUE,"general";"via2",#N/A,TRUE,"general";"via3",#N/A,TRUE,"general"}</definedName>
    <definedName name="_z5" localSheetId="1" hidden="1">{"via1",#N/A,TRUE,"general";"via2",#N/A,TRUE,"general";"via3",#N/A,TRUE,"general"}</definedName>
    <definedName name="_z5" localSheetId="73" hidden="1">{"via1",#N/A,TRUE,"general";"via2",#N/A,TRUE,"general";"via3",#N/A,TRUE,"general"}</definedName>
    <definedName name="_z5" hidden="1">{"via1",#N/A,TRUE,"general";"via2",#N/A,TRUE,"general";"via3",#N/A,TRUE,"general"}</definedName>
    <definedName name="_z6" localSheetId="50" hidden="1">{"TAB1",#N/A,TRUE,"GENERAL";"TAB2",#N/A,TRUE,"GENERAL";"TAB3",#N/A,TRUE,"GENERAL";"TAB4",#N/A,TRUE,"GENERAL";"TAB5",#N/A,TRUE,"GENERAL"}</definedName>
    <definedName name="_z6" localSheetId="1" hidden="1">{"TAB1",#N/A,TRUE,"GENERAL";"TAB2",#N/A,TRUE,"GENERAL";"TAB3",#N/A,TRUE,"GENERAL";"TAB4",#N/A,TRUE,"GENERAL";"TAB5",#N/A,TRUE,"GENERAL"}</definedName>
    <definedName name="_z6" localSheetId="73" hidden="1">{"TAB1",#N/A,TRUE,"GENERAL";"TAB2",#N/A,TRUE,"GENERAL";"TAB3",#N/A,TRUE,"GENERAL";"TAB4",#N/A,TRUE,"GENERAL";"TAB5",#N/A,TRUE,"GENERAL"}</definedName>
    <definedName name="_z6" hidden="1">{"TAB1",#N/A,TRUE,"GENERAL";"TAB2",#N/A,TRUE,"GENERAL";"TAB3",#N/A,TRUE,"GENERAL";"TAB4",#N/A,TRUE,"GENERAL";"TAB5",#N/A,TRUE,"GENERAL"}</definedName>
    <definedName name="A0" localSheetId="1">#REF!</definedName>
    <definedName name="A0">#REF!</definedName>
    <definedName name="A1.01" localSheetId="1">#REF!</definedName>
    <definedName name="A1.01">#REF!</definedName>
    <definedName name="a2a" localSheetId="50" hidden="1">{"TAB1",#N/A,TRUE,"GENERAL";"TAB2",#N/A,TRUE,"GENERAL";"TAB3",#N/A,TRUE,"GENERAL";"TAB4",#N/A,TRUE,"GENERAL";"TAB5",#N/A,TRUE,"GENERAL"}</definedName>
    <definedName name="a2a" localSheetId="1" hidden="1">{"TAB1",#N/A,TRUE,"GENERAL";"TAB2",#N/A,TRUE,"GENERAL";"TAB3",#N/A,TRUE,"GENERAL";"TAB4",#N/A,TRUE,"GENERAL";"TAB5",#N/A,TRUE,"GENERAL"}</definedName>
    <definedName name="a2a" localSheetId="73" hidden="1">{"TAB1",#N/A,TRUE,"GENERAL";"TAB2",#N/A,TRUE,"GENERAL";"TAB3",#N/A,TRUE,"GENERAL";"TAB4",#N/A,TRUE,"GENERAL";"TAB5",#N/A,TRUE,"GENERAL"}</definedName>
    <definedName name="a2a" hidden="1">{"TAB1",#N/A,TRUE,"GENERAL";"TAB2",#N/A,TRUE,"GENERAL";"TAB3",#N/A,TRUE,"GENERAL";"TAB4",#N/A,TRUE,"GENERAL";"TAB5",#N/A,TRUE,"GENERAL"}</definedName>
    <definedName name="AA" localSheetId="71">{#N/A,#N/A,TRUE,"INGENIERIA";#N/A,#N/A,TRUE,"COMPRAS";#N/A,#N/A,TRUE,"DIRECCION";#N/A,#N/A,TRUE,"RESUMEN"}</definedName>
    <definedName name="AA" localSheetId="73">{#N/A,#N/A,TRUE,"INGENIERIA";#N/A,#N/A,TRUE,"COMPRAS";#N/A,#N/A,TRUE,"DIRECCION";#N/A,#N/A,TRUE,"RESUMEN"}</definedName>
    <definedName name="aaaaas" localSheetId="50"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73" hidden="1">{"TAB1",#N/A,TRUE,"GENERAL";"TAB2",#N/A,TRUE,"GENERAL";"TAB3",#N/A,TRUE,"GENERAL";"TAB4",#N/A,TRUE,"GENERAL";"TAB5",#N/A,TRUE,"GENERAL"}</definedName>
    <definedName name="aaaaas" hidden="1">{"TAB1",#N/A,TRUE,"GENERAL";"TAB2",#N/A,TRUE,"GENERAL";"TAB3",#N/A,TRUE,"GENERAL";"TAB4",#N/A,TRUE,"GENERAL";"TAB5",#N/A,TRUE,"GENERAL"}</definedName>
    <definedName name="aas" localSheetId="50" hidden="1">{"TAB1",#N/A,TRUE,"GENERAL";"TAB2",#N/A,TRUE,"GENERAL";"TAB3",#N/A,TRUE,"GENERAL";"TAB4",#N/A,TRUE,"GENERAL";"TAB5",#N/A,TRUE,"GENERAL"}</definedName>
    <definedName name="aas" localSheetId="1" hidden="1">{"TAB1",#N/A,TRUE,"GENERAL";"TAB2",#N/A,TRUE,"GENERAL";"TAB3",#N/A,TRUE,"GENERAL";"TAB4",#N/A,TRUE,"GENERAL";"TAB5",#N/A,TRUE,"GENERAL"}</definedName>
    <definedName name="aas" localSheetId="73" hidden="1">{"TAB1",#N/A,TRUE,"GENERAL";"TAB2",#N/A,TRUE,"GENERAL";"TAB3",#N/A,TRUE,"GENERAL";"TAB4",#N/A,TRUE,"GENERAL";"TAB5",#N/A,TRUE,"GENERAL"}</definedName>
    <definedName name="aas" hidden="1">{"TAB1",#N/A,TRUE,"GENERAL";"TAB2",#N/A,TRUE,"GENERAL";"TAB3",#N/A,TRUE,"GENERAL";"TAB4",#N/A,TRUE,"GENERAL";"TAB5",#N/A,TRUE,"GENERAL"}</definedName>
    <definedName name="aasas" localSheetId="1">#REF!</definedName>
    <definedName name="aasas">#REF!</definedName>
    <definedName name="Ab" localSheetId="1">#REF!</definedName>
    <definedName name="Ab">#REF!</definedName>
    <definedName name="ABCD" localSheetId="1" hidden="1">#REF!</definedName>
    <definedName name="ABCD" hidden="1">#REF!</definedName>
    <definedName name="ABCDE" localSheetId="1" hidden="1">#REF!</definedName>
    <definedName name="ABCDE" hidden="1">#REF!</definedName>
    <definedName name="Ac" localSheetId="1">#REF!</definedName>
    <definedName name="Ac">#REF!</definedName>
    <definedName name="ACCE2" localSheetId="1">#REF!</definedName>
    <definedName name="ACCE2">#REF!</definedName>
    <definedName name="ACCE4" localSheetId="1">#REF!</definedName>
    <definedName name="ACCE4">#REF!</definedName>
    <definedName name="ACCE6" localSheetId="1">#REF!</definedName>
    <definedName name="ACCE6">#REF!</definedName>
    <definedName name="AccessDatabase" hidden="1">"A:\SAIN.mdb"</definedName>
    <definedName name="ACER" localSheetId="1">#REF!</definedName>
    <definedName name="ACER">#REF!</definedName>
    <definedName name="ACERO" localSheetId="1">#REF!</definedName>
    <definedName name="ACERO">#REF!</definedName>
    <definedName name="ACERO2" localSheetId="1">#REF!</definedName>
    <definedName name="ACERO2">#REF!</definedName>
    <definedName name="ACERO37" localSheetId="1">#REF!</definedName>
    <definedName name="ACERO37">#REF!</definedName>
    <definedName name="ACERO6" localSheetId="1">#REF!</definedName>
    <definedName name="ACERO6">#REF!</definedName>
    <definedName name="acero60" localSheetId="1">#REF!</definedName>
    <definedName name="acero60">#REF!</definedName>
    <definedName name="ACEROCO" localSheetId="1">#REF!</definedName>
    <definedName name="ACEROCO">#REF!</definedName>
    <definedName name="ACEROLI" localSheetId="1">#REF!</definedName>
    <definedName name="ACEROLI">#REF!</definedName>
    <definedName name="Acondicionador_pvc" localSheetId="1">#REF!</definedName>
    <definedName name="Acondicionador_pvc">#REF!</definedName>
    <definedName name="acondicionamientopozo" localSheetId="1">#REF!</definedName>
    <definedName name="acondicionamientopozo">#REF!</definedName>
    <definedName name="Ad" localSheetId="1">#REF!</definedName>
    <definedName name="Ad">#REF!</definedName>
    <definedName name="ADAPTADOR_HEMBRA_P.V.C_1_2" localSheetId="1">#REF!</definedName>
    <definedName name="ADAPTADOR_HEMBRA_P.V.C_1_2">#REF!</definedName>
    <definedName name="ADAPTADOR_MACHO_P.V.C_1_2" localSheetId="1">#REF!</definedName>
    <definedName name="ADAPTADOR_MACHO_P.V.C_1_2">#REF!</definedName>
    <definedName name="Adaptador_pvc_3_4" localSheetId="1">#REF!</definedName>
    <definedName name="Adaptador_pvc_3_4">#REF!</definedName>
    <definedName name="ADFGSDB" localSheetId="50" hidden="1">{"via1",#N/A,TRUE,"general";"via2",#N/A,TRUE,"general";"via3",#N/A,TRUE,"general"}</definedName>
    <definedName name="ADFGSDB" localSheetId="1" hidden="1">{"via1",#N/A,TRUE,"general";"via2",#N/A,TRUE,"general";"via3",#N/A,TRUE,"general"}</definedName>
    <definedName name="ADFGSDB" localSheetId="73" hidden="1">{"via1",#N/A,TRUE,"general";"via2",#N/A,TRUE,"general";"via3",#N/A,TRUE,"general"}</definedName>
    <definedName name="ADFGSDB" hidden="1">{"via1",#N/A,TRUE,"general";"via2",#N/A,TRUE,"general";"via3",#N/A,TRUE,"general"}</definedName>
    <definedName name="ADOIQUIN" localSheetId="1">#REF!</definedName>
    <definedName name="ADOIQUIN">#REF!</definedName>
    <definedName name="ADOQ2" localSheetId="1">#REF!</definedName>
    <definedName name="ADOQ2">#REF!</definedName>
    <definedName name="ADSAD" localSheetId="50" hidden="1">{"TAB1",#N/A,TRUE,"GENERAL";"TAB2",#N/A,TRUE,"GENERAL";"TAB3",#N/A,TRUE,"GENERAL";"TAB4",#N/A,TRUE,"GENERAL";"TAB5",#N/A,TRUE,"GENERAL"}</definedName>
    <definedName name="ADSAD" localSheetId="1" hidden="1">{"TAB1",#N/A,TRUE,"GENERAL";"TAB2",#N/A,TRUE,"GENERAL";"TAB3",#N/A,TRUE,"GENERAL";"TAB4",#N/A,TRUE,"GENERAL";"TAB5",#N/A,TRUE,"GENERAL"}</definedName>
    <definedName name="ADSAD" localSheetId="73" hidden="1">{"TAB1",#N/A,TRUE,"GENERAL";"TAB2",#N/A,TRUE,"GENERAL";"TAB3",#N/A,TRUE,"GENERAL";"TAB4",#N/A,TRUE,"GENERAL";"TAB5",#N/A,TRUE,"GENERAL"}</definedName>
    <definedName name="ADSAD" hidden="1">{"TAB1",#N/A,TRUE,"GENERAL";"TAB2",#N/A,TRUE,"GENERAL";"TAB3",#N/A,TRUE,"GENERAL";"TAB4",#N/A,TRUE,"GENERAL";"TAB5",#N/A,TRUE,"GENERAL"}</definedName>
    <definedName name="adsdfg" localSheetId="50">#REF!,#REF!</definedName>
    <definedName name="adsdfg" localSheetId="1">#REF!,#REF!</definedName>
    <definedName name="adsdfg">#REF!,#REF!</definedName>
    <definedName name="Ae" localSheetId="50">#REF!</definedName>
    <definedName name="Ae" localSheetId="1">#REF!</definedName>
    <definedName name="Ae">#REF!</definedName>
    <definedName name="aefa" localSheetId="50" hidden="1">{"via1",#N/A,TRUE,"general";"via2",#N/A,TRUE,"general";"via3",#N/A,TRUE,"general"}</definedName>
    <definedName name="aefa" localSheetId="1" hidden="1">{"via1",#N/A,TRUE,"general";"via2",#N/A,TRUE,"general";"via3",#N/A,TRUE,"general"}</definedName>
    <definedName name="aefa" localSheetId="73" hidden="1">{"via1",#N/A,TRUE,"general";"via2",#N/A,TRUE,"general";"via3",#N/A,TRUE,"general"}</definedName>
    <definedName name="aefa" hidden="1">{"via1",#N/A,TRUE,"general";"via2",#N/A,TRUE,"general";"via3",#N/A,TRUE,"general"}</definedName>
    <definedName name="AEFAEF" localSheetId="1">#REF!</definedName>
    <definedName name="AEFAEF">#REF!</definedName>
    <definedName name="Af" localSheetId="1">#REF!</definedName>
    <definedName name="Af">#REF!</definedName>
    <definedName name="afdsw" localSheetId="50" hidden="1">{"TAB1",#N/A,TRUE,"GENERAL";"TAB2",#N/A,TRUE,"GENERAL";"TAB3",#N/A,TRUE,"GENERAL";"TAB4",#N/A,TRUE,"GENERAL";"TAB5",#N/A,TRUE,"GENERAL"}</definedName>
    <definedName name="afdsw" localSheetId="1" hidden="1">{"TAB1",#N/A,TRUE,"GENERAL";"TAB2",#N/A,TRUE,"GENERAL";"TAB3",#N/A,TRUE,"GENERAL";"TAB4",#N/A,TRUE,"GENERAL";"TAB5",#N/A,TRUE,"GENERAL"}</definedName>
    <definedName name="afdsw" localSheetId="73" hidden="1">{"TAB1",#N/A,TRUE,"GENERAL";"TAB2",#N/A,TRUE,"GENERAL";"TAB3",#N/A,TRUE,"GENERAL";"TAB4",#N/A,TRUE,"GENERAL";"TAB5",#N/A,TRUE,"GENERAL"}</definedName>
    <definedName name="afdsw" hidden="1">{"TAB1",#N/A,TRUE,"GENERAL";"TAB2",#N/A,TRUE,"GENERAL";"TAB3",#N/A,TRUE,"GENERAL";"TAB4",#N/A,TRUE,"GENERAL";"TAB5",#N/A,TRUE,"GENERAL"}</definedName>
    <definedName name="AFIG" localSheetId="1">#REF!</definedName>
    <definedName name="AFIG">#REF!</definedName>
    <definedName name="AFINADOCUBIERTA" localSheetId="1">#REF!</definedName>
    <definedName name="AFINADOCUBIERTA">#REF!</definedName>
    <definedName name="Ag" localSheetId="1">#REF!</definedName>
    <definedName name="Ag">#REF!</definedName>
    <definedName name="agdsgg" localSheetId="50" hidden="1">{"via1",#N/A,TRUE,"general";"via2",#N/A,TRUE,"general";"via3",#N/A,TRUE,"general"}</definedName>
    <definedName name="agdsgg" localSheetId="1" hidden="1">{"via1",#N/A,TRUE,"general";"via2",#N/A,TRUE,"general";"via3",#N/A,TRUE,"general"}</definedName>
    <definedName name="agdsgg" localSheetId="73" hidden="1">{"via1",#N/A,TRUE,"general";"via2",#N/A,TRUE,"general";"via3",#N/A,TRUE,"general"}</definedName>
    <definedName name="agdsgg" hidden="1">{"via1",#N/A,TRUE,"general";"via2",#N/A,TRUE,"general";"via3",#N/A,TRUE,"general"}</definedName>
    <definedName name="AGUA" localSheetId="1">#REF!</definedName>
    <definedName name="AGUA">#REF!</definedName>
    <definedName name="Ah" localSheetId="1">#REF!</definedName>
    <definedName name="Ah">#REF!</definedName>
    <definedName name="ahe" localSheetId="1">#REF!</definedName>
    <definedName name="ahe">#REF!</definedName>
    <definedName name="Ai" localSheetId="1">#REF!</definedName>
    <definedName name="Ai">#REF!</definedName>
    <definedName name="Aires_acondicionados" localSheetId="1">#REF!</definedName>
    <definedName name="Aires_acondicionados">#REF!</definedName>
    <definedName name="Aisaldores_line_post" localSheetId="1">#REF!</definedName>
    <definedName name="Aisaldores_line_post">#REF!</definedName>
    <definedName name="aj" localSheetId="1">#REF!</definedName>
    <definedName name="aj">#REF!</definedName>
    <definedName name="Ak" localSheetId="1">#REF!</definedName>
    <definedName name="Ak">#REF!</definedName>
    <definedName name="ALAM" localSheetId="1">#REF!</definedName>
    <definedName name="ALAM">#REF!</definedName>
    <definedName name="ALAMBRE" localSheetId="1">#REF!</definedName>
    <definedName name="ALAMBRE">#REF!</definedName>
    <definedName name="ALAMBRE_" localSheetId="1">#REF!</definedName>
    <definedName name="ALAMBRE_">#REF!</definedName>
    <definedName name="Alambre_N_10" localSheetId="1">#REF!</definedName>
    <definedName name="Alambre_N_10">#REF!</definedName>
    <definedName name="ALFAGIAS" localSheetId="1">#REF!</definedName>
    <definedName name="ALFAGIAS">#REF!</definedName>
    <definedName name="ALNEGRO" localSheetId="1">#REF!</definedName>
    <definedName name="ALNEGRO">#REF!</definedName>
    <definedName name="ALUMTE" localSheetId="1">#REF!</definedName>
    <definedName name="ALUMTE">#REF!</definedName>
    <definedName name="Am" localSheetId="1">#REF!</definedName>
    <definedName name="Am">#REF!</definedName>
    <definedName name="An" localSheetId="1">#REF!</definedName>
    <definedName name="An">#REF!</definedName>
    <definedName name="Analyst" localSheetId="1" hidden="1">#REF!</definedName>
    <definedName name="Analyst" hidden="1">#REF!</definedName>
    <definedName name="ANDEN" localSheetId="1">#REF!</definedName>
    <definedName name="ANDEN">#REF!</definedName>
    <definedName name="andenes" localSheetId="1">#REF!</definedName>
    <definedName name="andenes">#REF!</definedName>
    <definedName name="anscount" hidden="1">1</definedName>
    <definedName name="ANSOL" localSheetId="1">#REF!</definedName>
    <definedName name="ANSOL">#REF!</definedName>
    <definedName name="ANTONIA">#N/A</definedName>
    <definedName name="Añ" localSheetId="1">#REF!</definedName>
    <definedName name="Añ">#REF!</definedName>
    <definedName name="Ao" localSheetId="1">#REF!</definedName>
    <definedName name="Ao">#REF!</definedName>
    <definedName name="Ap" localSheetId="1">#REF!</definedName>
    <definedName name="Ap">#REF!</definedName>
    <definedName name="APU221.1" localSheetId="1">#REF!</definedName>
    <definedName name="APU221.1">#REF!</definedName>
    <definedName name="APU221.2" localSheetId="1">#REF!</definedName>
    <definedName name="APU221.2">#REF!</definedName>
    <definedName name="aq" localSheetId="1">#REF!</definedName>
    <definedName name="aq">#REF!</definedName>
    <definedName name="aqaq" localSheetId="50" hidden="1">{"TAB1",#N/A,TRUE,"GENERAL";"TAB2",#N/A,TRUE,"GENERAL";"TAB3",#N/A,TRUE,"GENERAL";"TAB4",#N/A,TRUE,"GENERAL";"TAB5",#N/A,TRUE,"GENERAL"}</definedName>
    <definedName name="aqaq" localSheetId="1" hidden="1">{"TAB1",#N/A,TRUE,"GENERAL";"TAB2",#N/A,TRUE,"GENERAL";"TAB3",#N/A,TRUE,"GENERAL";"TAB4",#N/A,TRUE,"GENERAL";"TAB5",#N/A,TRUE,"GENERAL"}</definedName>
    <definedName name="aqaq" localSheetId="73" hidden="1">{"TAB1",#N/A,TRUE,"GENERAL";"TAB2",#N/A,TRUE,"GENERAL";"TAB3",#N/A,TRUE,"GENERAL";"TAB4",#N/A,TRUE,"GENERAL";"TAB5",#N/A,TRUE,"GENERAL"}</definedName>
    <definedName name="aqaq" hidden="1">{"TAB1",#N/A,TRUE,"GENERAL";"TAB2",#N/A,TRUE,"GENERAL";"TAB3",#N/A,TRUE,"GENERAL";"TAB4",#N/A,TRUE,"GENERAL";"TAB5",#N/A,TRUE,"GENERAL"}</definedName>
    <definedName name="Ar" localSheetId="1">#REF!</definedName>
    <definedName name="Ar">#REF!</definedName>
    <definedName name="_xlnm.Extract" localSheetId="1">#REF!</definedName>
    <definedName name="_xlnm.Extract">#REF!</definedName>
    <definedName name="_xlnm.Print_Area" localSheetId="3">'1.02'!$A$1:$V$80</definedName>
    <definedName name="_xlnm.Print_Area" localSheetId="4">'1.03'!$A$1:$U$81</definedName>
    <definedName name="_xlnm.Print_Area" localSheetId="12">'2.07'!$A$1:$V$88</definedName>
    <definedName name="_xlnm.Print_Area" localSheetId="13">'2.08'!$A$1:$U$81</definedName>
    <definedName name="_xlnm.Print_Area" localSheetId="26">'4.07'!$A$1:$U$81</definedName>
    <definedName name="_xlnm.Print_Area" localSheetId="27">'4.08'!$A$1:$U$71</definedName>
    <definedName name="_xlnm.Print_Area" localSheetId="28">'4.09'!$A$1:$U$56</definedName>
    <definedName name="_xlnm.Print_Area" localSheetId="33">'5.05'!$A$1:$U$79</definedName>
    <definedName name="_xlnm.Print_Area" localSheetId="34">'5.06'!$A$1:$U$82</definedName>
    <definedName name="_xlnm.Print_Area" localSheetId="36">'5.08'!$A$1:$U$42</definedName>
    <definedName name="_xlnm.Print_Area" localSheetId="38">'5.10'!$A$1:$U$52</definedName>
    <definedName name="_xlnm.Print_Area" localSheetId="40">'6.02'!$A$1:$U$52</definedName>
    <definedName name="_xlnm.Print_Area" localSheetId="41">'6.03'!$A$1:$J$52</definedName>
    <definedName name="_xlnm.Print_Area" localSheetId="42">'6.04'!$A$1:$J$52</definedName>
    <definedName name="_xlnm.Print_Area" localSheetId="43">'6.05'!$A$1:$J$52</definedName>
    <definedName name="_xlnm.Print_Area" localSheetId="44">'6.06'!$A$1:$J$52</definedName>
    <definedName name="_xlnm.Print_Area" localSheetId="45">'6.07'!$A$1:$J$52</definedName>
    <definedName name="_xlnm.Print_Area" localSheetId="46">'6.08'!$A$1:$J$52</definedName>
    <definedName name="_xlnm.Print_Area" localSheetId="47">'6.09'!$A$1:$J$52</definedName>
    <definedName name="_xlnm.Print_Area" localSheetId="48">'6.10'!$A$1:$U$51</definedName>
    <definedName name="_xlnm.Print_Area" localSheetId="56">'7.04'!$A$1:$J$61</definedName>
    <definedName name="_xlnm.Print_Area" localSheetId="1">'AU + PGIO'!$A$2:$H$180</definedName>
    <definedName name="_xlnm.Print_Area" localSheetId="71">CUADRILLAS!$A$1:$I$52</definedName>
    <definedName name="_xlnm.Print_Area" localSheetId="73">EQUIPOS!$A$4:$F$51</definedName>
    <definedName name="_xlnm.Print_Area" localSheetId="0">'PPTO HOJA'!$A$1:$F$101</definedName>
    <definedName name="_xlnm.Print_Area">#REF!,#REF!</definedName>
    <definedName name="ARELAV" localSheetId="1">#REF!</definedName>
    <definedName name="ARELAV">#REF!</definedName>
    <definedName name="ARELAV2" localSheetId="1">#REF!</definedName>
    <definedName name="ARELAV2">#REF!</definedName>
    <definedName name="arial" localSheetId="50">#REF!</definedName>
    <definedName name="arial" localSheetId="1">#REF!</definedName>
    <definedName name="arial">#REF!</definedName>
    <definedName name="As" localSheetId="50">#REF!</definedName>
    <definedName name="As" localSheetId="1">#REF!</definedName>
    <definedName name="As">#REF!</definedName>
    <definedName name="ASD" localSheetId="50" hidden="1">{"via1",#N/A,TRUE,"general";"via2",#N/A,TRUE,"general";"via3",#N/A,TRUE,"general"}</definedName>
    <definedName name="ASD" localSheetId="1" hidden="1">{"via1",#N/A,TRUE,"general";"via2",#N/A,TRUE,"general";"via3",#N/A,TRUE,"general"}</definedName>
    <definedName name="ASD" localSheetId="73" hidden="1">{"via1",#N/A,TRUE,"general";"via2",#N/A,TRUE,"general";"via3",#N/A,TRUE,"general"}</definedName>
    <definedName name="ASD" hidden="1">{"via1",#N/A,TRUE,"general";"via2",#N/A,TRUE,"general";"via3",#N/A,TRUE,"general"}</definedName>
    <definedName name="ASDA" localSheetId="50" hidden="1">{"via1",#N/A,TRUE,"general";"via2",#N/A,TRUE,"general";"via3",#N/A,TRUE,"general"}</definedName>
    <definedName name="ASDA" localSheetId="1" hidden="1">{"via1",#N/A,TRUE,"general";"via2",#N/A,TRUE,"general";"via3",#N/A,TRUE,"general"}</definedName>
    <definedName name="ASDA" localSheetId="73" hidden="1">{"via1",#N/A,TRUE,"general";"via2",#N/A,TRUE,"general";"via3",#N/A,TRUE,"general"}</definedName>
    <definedName name="ASDA" hidden="1">{"via1",#N/A,TRUE,"general";"via2",#N/A,TRUE,"general";"via3",#N/A,TRUE,"general"}</definedName>
    <definedName name="asdasd" localSheetId="50"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73" hidden="1">{"TAB1",#N/A,TRUE,"GENERAL";"TAB2",#N/A,TRUE,"GENERAL";"TAB3",#N/A,TRUE,"GENERAL";"TAB4",#N/A,TRUE,"GENERAL";"TAB5",#N/A,TRUE,"GENERAL"}</definedName>
    <definedName name="asdasd" hidden="1">{"TAB1",#N/A,TRUE,"GENERAL";"TAB2",#N/A,TRUE,"GENERAL";"TAB3",#N/A,TRUE,"GENERAL";"TAB4",#N/A,TRUE,"GENERAL";"TAB5",#N/A,TRUE,"GENERAL"}</definedName>
    <definedName name="asdf" localSheetId="50" hidden="1">{"via1",#N/A,TRUE,"general";"via2",#N/A,TRUE,"general";"via3",#N/A,TRUE,"general"}</definedName>
    <definedName name="asdf" localSheetId="1" hidden="1">{"via1",#N/A,TRUE,"general";"via2",#N/A,TRUE,"general";"via3",#N/A,TRUE,"general"}</definedName>
    <definedName name="asdf" localSheetId="73" hidden="1">{"via1",#N/A,TRUE,"general";"via2",#N/A,TRUE,"general";"via3",#N/A,TRUE,"general"}</definedName>
    <definedName name="asdf" hidden="1">{"via1",#N/A,TRUE,"general";"via2",#N/A,TRUE,"general";"via3",#N/A,TRUE,"general"}</definedName>
    <definedName name="asdfa" localSheetId="50" hidden="1">{"via1",#N/A,TRUE,"general";"via2",#N/A,TRUE,"general";"via3",#N/A,TRUE,"general"}</definedName>
    <definedName name="asdfa" localSheetId="1" hidden="1">{"via1",#N/A,TRUE,"general";"via2",#N/A,TRUE,"general";"via3",#N/A,TRUE,"general"}</definedName>
    <definedName name="asdfa" localSheetId="73" hidden="1">{"via1",#N/A,TRUE,"general";"via2",#N/A,TRUE,"general";"via3",#N/A,TRUE,"general"}</definedName>
    <definedName name="asdfa" hidden="1">{"via1",#N/A,TRUE,"general";"via2",#N/A,TRUE,"general";"via3",#N/A,TRUE,"general"}</definedName>
    <definedName name="asfasd" localSheetId="50" hidden="1">{"via1",#N/A,TRUE,"general";"via2",#N/A,TRUE,"general";"via3",#N/A,TRUE,"general"}</definedName>
    <definedName name="asfasd" localSheetId="1" hidden="1">{"via1",#N/A,TRUE,"general";"via2",#N/A,TRUE,"general";"via3",#N/A,TRUE,"general"}</definedName>
    <definedName name="asfasd" localSheetId="73" hidden="1">{"via1",#N/A,TRUE,"general";"via2",#N/A,TRUE,"general";"via3",#N/A,TRUE,"general"}</definedName>
    <definedName name="asfasd" hidden="1">{"via1",#N/A,TRUE,"general";"via2",#N/A,TRUE,"general";"via3",#N/A,TRUE,"general"}</definedName>
    <definedName name="asfasdl" localSheetId="50" hidden="1">{"via1",#N/A,TRUE,"general";"via2",#N/A,TRUE,"general";"via3",#N/A,TRUE,"general"}</definedName>
    <definedName name="asfasdl" localSheetId="1" hidden="1">{"via1",#N/A,TRUE,"general";"via2",#N/A,TRUE,"general";"via3",#N/A,TRUE,"general"}</definedName>
    <definedName name="asfasdl" localSheetId="73" hidden="1">{"via1",#N/A,TRUE,"general";"via2",#N/A,TRUE,"general";"via3",#N/A,TRUE,"general"}</definedName>
    <definedName name="asfasdl" hidden="1">{"via1",#N/A,TRUE,"general";"via2",#N/A,TRUE,"general";"via3",#N/A,TRUE,"general"}</definedName>
    <definedName name="asfdfe" localSheetId="50" hidden="1">{#N/A,#N/A,TRUE,"INGENIERIA";#N/A,#N/A,TRUE,"COMPRAS";#N/A,#N/A,TRUE,"DIRECCION";#N/A,#N/A,TRUE,"RESUMEN"}</definedName>
    <definedName name="asfdfe" localSheetId="1" hidden="1">{#N/A,#N/A,TRUE,"INGENIERIA";#N/A,#N/A,TRUE,"COMPRAS";#N/A,#N/A,TRUE,"DIRECCION";#N/A,#N/A,TRUE,"RESUMEN"}</definedName>
    <definedName name="asfdfe" localSheetId="73" hidden="1">{#N/A,#N/A,TRUE,"INGENIERIA";#N/A,#N/A,TRUE,"COMPRAS";#N/A,#N/A,TRUE,"DIRECCION";#N/A,#N/A,TRUE,"RESUMEN"}</definedName>
    <definedName name="asfdfe" hidden="1">{#N/A,#N/A,TRUE,"INGENIERIA";#N/A,#N/A,TRUE,"COMPRAS";#N/A,#N/A,TRUE,"DIRECCION";#N/A,#N/A,TRUE,"RESUMEN"}</definedName>
    <definedName name="asff" localSheetId="50" hidden="1">{"TAB1",#N/A,TRUE,"GENERAL";"TAB2",#N/A,TRUE,"GENERAL";"TAB3",#N/A,TRUE,"GENERAL";"TAB4",#N/A,TRUE,"GENERAL";"TAB5",#N/A,TRUE,"GENERAL"}</definedName>
    <definedName name="asff" localSheetId="1" hidden="1">{"TAB1",#N/A,TRUE,"GENERAL";"TAB2",#N/A,TRUE,"GENERAL";"TAB3",#N/A,TRUE,"GENERAL";"TAB4",#N/A,TRUE,"GENERAL";"TAB5",#N/A,TRUE,"GENERAL"}</definedName>
    <definedName name="asff" localSheetId="73" hidden="1">{"TAB1",#N/A,TRUE,"GENERAL";"TAB2",#N/A,TRUE,"GENERAL";"TAB3",#N/A,TRUE,"GENERAL";"TAB4",#N/A,TRUE,"GENERAL";"TAB5",#N/A,TRUE,"GENERAL"}</definedName>
    <definedName name="asff" hidden="1">{"TAB1",#N/A,TRUE,"GENERAL";"TAB2",#N/A,TRUE,"GENERAL";"TAB3",#N/A,TRUE,"GENERAL";"TAB4",#N/A,TRUE,"GENERAL";"TAB5",#N/A,TRUE,"GENERAL"}</definedName>
    <definedName name="asfghjoi" localSheetId="50" hidden="1">{"via1",#N/A,TRUE,"general";"via2",#N/A,TRUE,"general";"via3",#N/A,TRUE,"general"}</definedName>
    <definedName name="asfghjoi" localSheetId="1" hidden="1">{"via1",#N/A,TRUE,"general";"via2",#N/A,TRUE,"general";"via3",#N/A,TRUE,"general"}</definedName>
    <definedName name="asfghjoi" localSheetId="73" hidden="1">{"via1",#N/A,TRUE,"general";"via2",#N/A,TRUE,"general";"via3",#N/A,TRUE,"general"}</definedName>
    <definedName name="asfghjoi" hidden="1">{"via1",#N/A,TRUE,"general";"via2",#N/A,TRUE,"general";"via3",#N/A,TRUE,"general"}</definedName>
    <definedName name="asojkdr" localSheetId="50"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73" hidden="1">{"TAB1",#N/A,TRUE,"GENERAL";"TAB2",#N/A,TRUE,"GENERAL";"TAB3",#N/A,TRUE,"GENERAL";"TAB4",#N/A,TRUE,"GENERAL";"TAB5",#N/A,TRUE,"GENERAL"}</definedName>
    <definedName name="asojkdr" hidden="1">{"TAB1",#N/A,TRUE,"GENERAL";"TAB2",#N/A,TRUE,"GENERAL";"TAB3",#N/A,TRUE,"GENERAL";"TAB4",#N/A,TRUE,"GENERAL";"TAB5",#N/A,TRUE,"GENERAL"}</definedName>
    <definedName name="At" localSheetId="1">#REF!</definedName>
    <definedName name="At">#REF!</definedName>
    <definedName name="Au" localSheetId="1">#REF!</definedName>
    <definedName name="Au">#REF!</definedName>
    <definedName name="aur" localSheetId="50">#REF!</definedName>
    <definedName name="aur" localSheetId="1">#REF!</definedName>
    <definedName name="aur">#REF!</definedName>
    <definedName name="av" localSheetId="50">#REF!</definedName>
    <definedName name="av" localSheetId="1">#REF!</definedName>
    <definedName name="av">#REF!</definedName>
    <definedName name="Ax" localSheetId="50">#REF!</definedName>
    <definedName name="Ax" localSheetId="1">#REF!</definedName>
    <definedName name="Ax">#REF!</definedName>
    <definedName name="Ay" localSheetId="1">#REF!</definedName>
    <definedName name="Ay">#REF!</definedName>
    <definedName name="AYUD" localSheetId="1">#REF!</definedName>
    <definedName name="AYUD">#REF!</definedName>
    <definedName name="azaz" localSheetId="50" hidden="1">{"TAB1",#N/A,TRUE,"GENERAL";"TAB2",#N/A,TRUE,"GENERAL";"TAB3",#N/A,TRUE,"GENERAL";"TAB4",#N/A,TRUE,"GENERAL";"TAB5",#N/A,TRUE,"GENERAL"}</definedName>
    <definedName name="azaz" localSheetId="1" hidden="1">{"TAB1",#N/A,TRUE,"GENERAL";"TAB2",#N/A,TRUE,"GENERAL";"TAB3",#N/A,TRUE,"GENERAL";"TAB4",#N/A,TRUE,"GENERAL";"TAB5",#N/A,TRUE,"GENERAL"}</definedName>
    <definedName name="azaz" localSheetId="73" hidden="1">{"TAB1",#N/A,TRUE,"GENERAL";"TAB2",#N/A,TRUE,"GENERAL";"TAB3",#N/A,TRUE,"GENERAL";"TAB4",#N/A,TRUE,"GENERAL";"TAB5",#N/A,TRUE,"GENERAL"}</definedName>
    <definedName name="azaz" hidden="1">{"TAB1",#N/A,TRUE,"GENERAL";"TAB2",#N/A,TRUE,"GENERAL";"TAB3",#N/A,TRUE,"GENERAL";"TAB4",#N/A,TRUE,"GENERAL";"TAB5",#N/A,TRUE,"GENERAL"}</definedName>
    <definedName name="Azimut" localSheetId="1">#REF!</definedName>
    <definedName name="Azimut">#REF!</definedName>
    <definedName name="B" localSheetId="50" hidden="1">{"via1",#N/A,TRUE,"general";"via2",#N/A,TRUE,"general";"via3",#N/A,TRUE,"general"}</definedName>
    <definedName name="B" localSheetId="1" hidden="1">{"via1",#N/A,TRUE,"general";"via2",#N/A,TRUE,"general";"via3",#N/A,TRUE,"general"}</definedName>
    <definedName name="B" localSheetId="73" hidden="1">{"via1",#N/A,TRUE,"general";"via2",#N/A,TRUE,"general";"via3",#N/A,TRUE,"general"}</definedName>
    <definedName name="B" hidden="1">{"via1",#N/A,TRUE,"general";"via2",#N/A,TRUE,"general";"via3",#N/A,TRUE,"general"}</definedName>
    <definedName name="Ba" localSheetId="1">#REF!</definedName>
    <definedName name="Ba">#REF!</definedName>
    <definedName name="BALASTO" localSheetId="1">#REF!</definedName>
    <definedName name="BALASTO">#REF!</definedName>
    <definedName name="BALDOSIN" localSheetId="1">#REF!</definedName>
    <definedName name="BALDOSIN">#REF!</definedName>
    <definedName name="BARNIZTOT" localSheetId="50">#REF!</definedName>
    <definedName name="BARNIZTOT" localSheetId="1">#REF!</definedName>
    <definedName name="BARNIZTOT">#REF!</definedName>
    <definedName name="Barraje_400_amp" localSheetId="50">#REF!</definedName>
    <definedName name="Barraje_400_amp" localSheetId="1">#REF!</definedName>
    <definedName name="Barraje_400_amp">#REF!</definedName>
    <definedName name="BASE" localSheetId="50">#REF!</definedName>
    <definedName name="BASE" localSheetId="1">#REF!</definedName>
    <definedName name="BASE">#REF!</definedName>
    <definedName name="Base_datos_IM" localSheetId="1">#REF!</definedName>
    <definedName name="Base_datos_IM">#REF!</definedName>
    <definedName name="base2" localSheetId="1">#REF!</definedName>
    <definedName name="base2">#REF!</definedName>
    <definedName name="BASEDATOS" localSheetId="1">#REF!</definedName>
    <definedName name="BASEDATOS">#REF!</definedName>
    <definedName name="_xlnm.Database" localSheetId="1">#REF!</definedName>
    <definedName name="_xlnm.Database">#REF!</definedName>
    <definedName name="Bb" localSheetId="1">#REF!</definedName>
    <definedName name="Bb">#REF!</definedName>
    <definedName name="bbbbbb" localSheetId="50" hidden="1">{"via1",#N/A,TRUE,"general";"via2",#N/A,TRUE,"general";"via3",#N/A,TRUE,"general"}</definedName>
    <definedName name="bbbbbb" localSheetId="1" hidden="1">{"via1",#N/A,TRUE,"general";"via2",#N/A,TRUE,"general";"via3",#N/A,TRUE,"general"}</definedName>
    <definedName name="bbbbbb" localSheetId="73" hidden="1">{"via1",#N/A,TRUE,"general";"via2",#N/A,TRUE,"general";"via3",#N/A,TRUE,"general"}</definedName>
    <definedName name="bbbbbb" hidden="1">{"via1",#N/A,TRUE,"general";"via2",#N/A,TRUE,"general";"via3",#N/A,TRUE,"general"}</definedName>
    <definedName name="bbbbbh" localSheetId="50"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73" hidden="1">{"TAB1",#N/A,TRUE,"GENERAL";"TAB2",#N/A,TRUE,"GENERAL";"TAB3",#N/A,TRUE,"GENERAL";"TAB4",#N/A,TRUE,"GENERAL";"TAB5",#N/A,TRUE,"GENERAL"}</definedName>
    <definedName name="bbbbbh" hidden="1">{"TAB1",#N/A,TRUE,"GENERAL";"TAB2",#N/A,TRUE,"GENERAL";"TAB3",#N/A,TRUE,"GENERAL";"TAB4",#N/A,TRUE,"GENERAL";"TAB5",#N/A,TRUE,"GENERAL"}</definedName>
    <definedName name="bbd" localSheetId="50" hidden="1">{"TAB1",#N/A,TRUE,"GENERAL";"TAB2",#N/A,TRUE,"GENERAL";"TAB3",#N/A,TRUE,"GENERAL";"TAB4",#N/A,TRUE,"GENERAL";"TAB5",#N/A,TRUE,"GENERAL"}</definedName>
    <definedName name="bbd" localSheetId="1" hidden="1">{"TAB1",#N/A,TRUE,"GENERAL";"TAB2",#N/A,TRUE,"GENERAL";"TAB3",#N/A,TRUE,"GENERAL";"TAB4",#N/A,TRUE,"GENERAL";"TAB5",#N/A,TRUE,"GENERAL"}</definedName>
    <definedName name="bbd" localSheetId="73"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#REF!</definedName>
    <definedName name="BCXBDFG" localSheetId="50"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73"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localSheetId="50" hidden="1">{"via1",#N/A,TRUE,"general";"via2",#N/A,TRUE,"general";"via3",#N/A,TRUE,"general"}</definedName>
    <definedName name="BDFB" localSheetId="1" hidden="1">{"via1",#N/A,TRUE,"general";"via2",#N/A,TRUE,"general";"via3",#N/A,TRUE,"general"}</definedName>
    <definedName name="BDFB" localSheetId="73" hidden="1">{"via1",#N/A,TRUE,"general";"via2",#N/A,TRUE,"general";"via3",#N/A,TRUE,"general"}</definedName>
    <definedName name="BDFB" hidden="1">{"via1",#N/A,TRUE,"general";"via2",#N/A,TRUE,"general";"via3",#N/A,TRUE,"general"}</definedName>
    <definedName name="BDFGDG" localSheetId="50"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73" hidden="1">{"TAB1",#N/A,TRUE,"GENERAL";"TAB2",#N/A,TRUE,"GENERAL";"TAB3",#N/A,TRUE,"GENERAL";"TAB4",#N/A,TRUE,"GENERAL";"TAB5",#N/A,TRUE,"GENERAL"}</definedName>
    <definedName name="BDFGDG" hidden="1">{"TAB1",#N/A,TRUE,"GENERAL";"TAB2",#N/A,TRUE,"GENERAL";"TAB3",#N/A,TRUE,"GENERAL";"TAB4",#N/A,TRUE,"GENERAL";"TAB5",#N/A,TRUE,"GENERAL"}</definedName>
    <definedName name="Be" localSheetId="1">#REF!</definedName>
    <definedName name="be" localSheetId="71" hidden="1">{"TAB1",#N/A,TRUE,"GENERAL";"TAB2",#N/A,TRUE,"GENERAL";"TAB3",#N/A,TRUE,"GENERAL";"TAB4",#N/A,TRUE,"GENERAL";"TAB5",#N/A,TRUE,"GENERAL"}</definedName>
    <definedName name="be" localSheetId="73" hidden="1">{"TAB1",#N/A,TRUE,"GENERAL";"TAB2",#N/A,TRUE,"GENERAL";"TAB3",#N/A,TRUE,"GENERAL";"TAB4",#N/A,TRUE,"GENERAL";"TAB5",#N/A,TRUE,"GENERAL"}</definedName>
    <definedName name="Be">#REF!</definedName>
    <definedName name="Beg_Bal" localSheetId="1">#REF!</definedName>
    <definedName name="Beg_Bal">#REF!</definedName>
    <definedName name="Bf" localSheetId="1">#REF!</definedName>
    <definedName name="Bf">#REF!</definedName>
    <definedName name="bfnfv" localSheetId="50" hidden="1">{"TAB1",#N/A,TRUE,"GENERAL";"TAB2",#N/A,TRUE,"GENERAL";"TAB3",#N/A,TRUE,"GENERAL";"TAB4",#N/A,TRUE,"GENERAL";"TAB5",#N/A,TRUE,"GENERAL"}</definedName>
    <definedName name="bfnfv" localSheetId="1" hidden="1">{"TAB1",#N/A,TRUE,"GENERAL";"TAB2",#N/A,TRUE,"GENERAL";"TAB3",#N/A,TRUE,"GENERAL";"TAB4",#N/A,TRUE,"GENERAL";"TAB5",#N/A,TRUE,"GENERAL"}</definedName>
    <definedName name="bfnfv" localSheetId="73" hidden="1">{"TAB1",#N/A,TRUE,"GENERAL";"TAB2",#N/A,TRUE,"GENERAL";"TAB3",#N/A,TRUE,"GENERAL";"TAB4",#N/A,TRUE,"GENERAL";"TAB5",#N/A,TRUE,"GENERAL"}</definedName>
    <definedName name="bfnfv" hidden="1">{"TAB1",#N/A,TRUE,"GENERAL";"TAB2",#N/A,TRUE,"GENERAL";"TAB3",#N/A,TRUE,"GENERAL";"TAB4",#N/A,TRUE,"GENERAL";"TAB5",#N/A,TRUE,"GENERAL"}</definedName>
    <definedName name="Bg" localSheetId="1">#REF!</definedName>
    <definedName name="Bg">#REF!</definedName>
    <definedName name="bgb" localSheetId="50" hidden="1">{"TAB1",#N/A,TRUE,"GENERAL";"TAB2",#N/A,TRUE,"GENERAL";"TAB3",#N/A,TRUE,"GENERAL";"TAB4",#N/A,TRUE,"GENERAL";"TAB5",#N/A,TRUE,"GENERAL"}</definedName>
    <definedName name="bgb" localSheetId="1" hidden="1">{"TAB1",#N/A,TRUE,"GENERAL";"TAB2",#N/A,TRUE,"GENERAL";"TAB3",#N/A,TRUE,"GENERAL";"TAB4",#N/A,TRUE,"GENERAL";"TAB5",#N/A,TRUE,"GENERAL"}</definedName>
    <definedName name="bgb" localSheetId="73" hidden="1">{"TAB1",#N/A,TRUE,"GENERAL";"TAB2",#N/A,TRUE,"GENERAL";"TAB3",#N/A,TRUE,"GENERAL";"TAB4",#N/A,TRUE,"GENERAL";"TAB5",#N/A,TRUE,"GENERAL"}</definedName>
    <definedName name="bgb" hidden="1">{"TAB1",#N/A,TRUE,"GENERAL";"TAB2",#N/A,TRUE,"GENERAL";"TAB3",#N/A,TRUE,"GENERAL";"TAB4",#N/A,TRUE,"GENERAL";"TAB5",#N/A,TRUE,"GENERAL"}</definedName>
    <definedName name="BGDGFRT" localSheetId="50" hidden="1">{"via1",#N/A,TRUE,"general";"via2",#N/A,TRUE,"general";"via3",#N/A,TRUE,"general"}</definedName>
    <definedName name="BGDGFRT" localSheetId="1" hidden="1">{"via1",#N/A,TRUE,"general";"via2",#N/A,TRUE,"general";"via3",#N/A,TRUE,"general"}</definedName>
    <definedName name="BGDGFRT" localSheetId="73" hidden="1">{"via1",#N/A,TRUE,"general";"via2",#N/A,TRUE,"general";"via3",#N/A,TRUE,"general"}</definedName>
    <definedName name="BGDGFRT" hidden="1">{"via1",#N/A,TRUE,"general";"via2",#N/A,TRUE,"general";"via3",#N/A,TRUE,"general"}</definedName>
    <definedName name="BGFBFH" localSheetId="50" hidden="1">{"via1",#N/A,TRUE,"general";"via2",#N/A,TRUE,"general";"via3",#N/A,TRUE,"general"}</definedName>
    <definedName name="BGFBFH" localSheetId="1" hidden="1">{"via1",#N/A,TRUE,"general";"via2",#N/A,TRUE,"general";"via3",#N/A,TRUE,"general"}</definedName>
    <definedName name="BGFBFH" localSheetId="73" hidden="1">{"via1",#N/A,TRUE,"general";"via2",#N/A,TRUE,"general";"via3",#N/A,TRUE,"general"}</definedName>
    <definedName name="BGFBFH" hidden="1">{"via1",#N/A,TRUE,"general";"via2",#N/A,TRUE,"general";"via3",#N/A,TRUE,"general"}</definedName>
    <definedName name="bgh" localSheetId="1">#REF!</definedName>
    <definedName name="bgh">#REF!</definedName>
    <definedName name="bgvfcdx" localSheetId="50" hidden="1">{"via1",#N/A,TRUE,"general";"via2",#N/A,TRUE,"general";"via3",#N/A,TRUE,"general"}</definedName>
    <definedName name="bgvfcdx" localSheetId="1" hidden="1">{"via1",#N/A,TRUE,"general";"via2",#N/A,TRUE,"general";"via3",#N/A,TRUE,"general"}</definedName>
    <definedName name="bgvfcdx" localSheetId="73" hidden="1">{"via1",#N/A,TRUE,"general";"via2",#N/A,TRUE,"general";"via3",#N/A,TRUE,"general"}</definedName>
    <definedName name="bgvfcdx" hidden="1">{"via1",#N/A,TRUE,"general";"via2",#N/A,TRUE,"general";"via3",#N/A,TRUE,"general"}</definedName>
    <definedName name="Bh" localSheetId="1">#REF!</definedName>
    <definedName name="Bh">#REF!</definedName>
    <definedName name="BHT" localSheetId="1">#REF!</definedName>
    <definedName name="BHT">#REF!</definedName>
    <definedName name="Bi" localSheetId="1">#REF!</definedName>
    <definedName name="Bi">#REF!</definedName>
    <definedName name="BJHVVHGH">#N/A</definedName>
    <definedName name="Bk" localSheetId="1">#REF!</definedName>
    <definedName name="Bk">#REF!</definedName>
    <definedName name="bl" localSheetId="1">#REF!</definedName>
    <definedName name="bl">#REF!</definedName>
    <definedName name="BLOQCEMEN" localSheetId="1">#REF!</definedName>
    <definedName name="BLOQCEMEN">#REF!</definedName>
    <definedName name="BLOQUE" localSheetId="1">#REF!</definedName>
    <definedName name="BLOQUE">#REF!</definedName>
    <definedName name="Bloque_calado" localSheetId="1">#REF!</definedName>
    <definedName name="Bloque_calado">#REF!</definedName>
    <definedName name="BLPH1" localSheetId="1" hidden="1">#REF!</definedName>
    <definedName name="BLPH1" hidden="1">#REF!</definedName>
    <definedName name="Bm" localSheetId="1">#REF!</definedName>
    <definedName name="Bm">#REF!</definedName>
    <definedName name="Bn" localSheetId="1">#REF!</definedName>
    <definedName name="Bn">#REF!</definedName>
    <definedName name="bnm" localSheetId="1">#REF!</definedName>
    <definedName name="bnm">#REF!</definedName>
    <definedName name="BOLARD" localSheetId="1">#REF!</definedName>
    <definedName name="BOLARD">#REF!</definedName>
    <definedName name="Bomba_electrica_3_4" localSheetId="1">#REF!</definedName>
    <definedName name="Bomba_electrica_3_4">#REF!</definedName>
    <definedName name="Bombillo_ahorrador_20_w" localSheetId="1">#REF!</definedName>
    <definedName name="Bombillo_ahorrador_20_w">#REF!</definedName>
    <definedName name="BORD" localSheetId="1">#REF!</definedName>
    <definedName name="BORD">#REF!</definedName>
    <definedName name="bordillo" localSheetId="1">#REF!</definedName>
    <definedName name="bordillo">#REF!</definedName>
    <definedName name="BORDILLOS" localSheetId="1">#REF!</definedName>
    <definedName name="BORDILLOS">#REF!</definedName>
    <definedName name="br" localSheetId="50" hidden="1">{"TAB1",#N/A,TRUE,"GENERAL";"TAB2",#N/A,TRUE,"GENERAL";"TAB3",#N/A,TRUE,"GENERAL";"TAB4",#N/A,TRUE,"GENERAL";"TAB5",#N/A,TRUE,"GENERAL"}</definedName>
    <definedName name="br" localSheetId="1" hidden="1">{"TAB1",#N/A,TRUE,"GENERAL";"TAB2",#N/A,TRUE,"GENERAL";"TAB3",#N/A,TRUE,"GENERAL";"TAB4",#N/A,TRUE,"GENERAL";"TAB5",#N/A,TRUE,"GENERAL"}</definedName>
    <definedName name="br" localSheetId="73" hidden="1">{"TAB1",#N/A,TRUE,"GENERAL";"TAB2",#N/A,TRUE,"GENERAL";"TAB3",#N/A,TRUE,"GENERAL";"TAB4",#N/A,TRUE,"GENERAL";"TAB5",#N/A,TRUE,"GENERAL"}</definedName>
    <definedName name="br" hidden="1">{"TAB1",#N/A,TRUE,"GENERAL";"TAB2",#N/A,TRUE,"GENERAL";"TAB3",#N/A,TRUE,"GENERAL";"TAB4",#N/A,TRUE,"GENERAL";"TAB5",#N/A,TRUE,"GENERAL"}</definedName>
    <definedName name="BREA" localSheetId="1">#REF!</definedName>
    <definedName name="BREA">#REF!</definedName>
    <definedName name="Breaker_15_amp" localSheetId="1">#REF!</definedName>
    <definedName name="Breaker_15_amp">#REF!</definedName>
    <definedName name="Breaker_30_amp" localSheetId="1">#REF!</definedName>
    <definedName name="Breaker_30_amp">#REF!</definedName>
    <definedName name="Breaker_50_amp" localSheetId="1">#REF!</definedName>
    <definedName name="Breaker_50_amp">#REF!</definedName>
    <definedName name="Breaker_totalizador_3_100_amp" localSheetId="1">#REF!</definedName>
    <definedName name="Breaker_totalizador_3_100_amp">#REF!</definedName>
    <definedName name="Breaker_totalizador_3_200_amp" localSheetId="1">#REF!</definedName>
    <definedName name="Breaker_totalizador_3_200_amp">#REF!</definedName>
    <definedName name="BS_Data_Col" localSheetId="1" hidden="1">#REF!</definedName>
    <definedName name="BS_Data_Col" hidden="1">#REF!</definedName>
    <definedName name="bsb" localSheetId="50" hidden="1">{"via1",#N/A,TRUE,"general";"via2",#N/A,TRUE,"general";"via3",#N/A,TRUE,"general"}</definedName>
    <definedName name="bsb" localSheetId="1" hidden="1">{"via1",#N/A,TRUE,"general";"via2",#N/A,TRUE,"general";"via3",#N/A,TRUE,"general"}</definedName>
    <definedName name="bsb" localSheetId="73" hidden="1">{"via1",#N/A,TRUE,"general";"via2",#N/A,TRUE,"general";"via3",#N/A,TRUE,"general"}</definedName>
    <definedName name="bsb" hidden="1">{"via1",#N/A,TRUE,"general";"via2",#N/A,TRUE,"general";"via3",#N/A,TRUE,"general"}</definedName>
    <definedName name="BSpb" localSheetId="1" hidden="1">#REF!</definedName>
    <definedName name="BSpb" hidden="1">#REF!</definedName>
    <definedName name="bspoi" localSheetId="50" hidden="1">{"TAB1",#N/A,TRUE,"GENERAL";"TAB2",#N/A,TRUE,"GENERAL";"TAB3",#N/A,TRUE,"GENERAL";"TAB4",#N/A,TRUE,"GENERAL";"TAB5",#N/A,TRUE,"GENERAL"}</definedName>
    <definedName name="bspoi" localSheetId="1" hidden="1">{"TAB1",#N/A,TRUE,"GENERAL";"TAB2",#N/A,TRUE,"GENERAL";"TAB3",#N/A,TRUE,"GENERAL";"TAB4",#N/A,TRUE,"GENERAL";"TAB5",#N/A,TRUE,"GENERAL"}</definedName>
    <definedName name="bspoi" localSheetId="73" hidden="1">{"TAB1",#N/A,TRUE,"GENERAL";"TAB2",#N/A,TRUE,"GENERAL";"TAB3",#N/A,TRUE,"GENERAL";"TAB4",#N/A,TRUE,"GENERAL";"TAB5",#N/A,TRUE,"GENERAL"}</definedName>
    <definedName name="bspoi" hidden="1">{"TAB1",#N/A,TRUE,"GENERAL";"TAB2",#N/A,TRUE,"GENERAL";"TAB3",#N/A,TRUE,"GENERAL";"TAB4",#N/A,TRUE,"GENERAL";"TAB5",#N/A,TRUE,"GENERAL"}</definedName>
    <definedName name="bt" localSheetId="50" hidden="1">{"via1",#N/A,TRUE,"general";"via2",#N/A,TRUE,"general";"via3",#N/A,TRUE,"general"}</definedName>
    <definedName name="bt" localSheetId="1" hidden="1">{"via1",#N/A,TRUE,"general";"via2",#N/A,TRUE,"general";"via3",#N/A,TRUE,"general"}</definedName>
    <definedName name="bt" localSheetId="73" hidden="1">{"via1",#N/A,TRUE,"general";"via2",#N/A,TRUE,"general";"via3",#N/A,TRUE,"general"}</definedName>
    <definedName name="bt" hidden="1">{"via1",#N/A,TRUE,"general";"via2",#N/A,TRUE,"general";"via3",#N/A,TRUE,"general"}</definedName>
    <definedName name="BTYJHTR" localSheetId="50"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73" hidden="1">{"TAB1",#N/A,TRUE,"GENERAL";"TAB2",#N/A,TRUE,"GENERAL";"TAB3",#N/A,TRUE,"GENERAL";"TAB4",#N/A,TRUE,"GENERAL";"TAB5",#N/A,TRUE,"GENERAL"}</definedName>
    <definedName name="BTYJHTR" hidden="1">{"TAB1",#N/A,TRUE,"GENERAL";"TAB2",#N/A,TRUE,"GENERAL";"TAB3",#N/A,TRUE,"GENERAL";"TAB4",#N/A,TRUE,"GENERAL";"TAB5",#N/A,TRUE,"GENERAL"}</definedName>
    <definedName name="BUENO4006" localSheetId="1">#REF!</definedName>
    <definedName name="BUENO4006">#REF!</definedName>
    <definedName name="BUENO4006A" localSheetId="1">#REF!</definedName>
    <definedName name="BUENO4006A">#REF!</definedName>
    <definedName name="BUENO40CN01" localSheetId="1">#REF!</definedName>
    <definedName name="BUENO40CN01">#REF!</definedName>
    <definedName name="BUENO40CNA" localSheetId="1">#REF!</definedName>
    <definedName name="BUENO40CNA">#REF!</definedName>
    <definedName name="BUENO40CNB" localSheetId="1">#REF!</definedName>
    <definedName name="BUENO40CNB">#REF!</definedName>
    <definedName name="BUENO55CN01" localSheetId="1">#REF!</definedName>
    <definedName name="BUENO55CN01">#REF!</definedName>
    <definedName name="BUENO55CN03" localSheetId="1">#REF!</definedName>
    <definedName name="BUENO55CN03">#REF!</definedName>
    <definedName name="BUENO5607" localSheetId="1">#REF!</definedName>
    <definedName name="BUENO5607">#REF!</definedName>
    <definedName name="BUENOAFIR5607" localSheetId="1">#REF!</definedName>
    <definedName name="BUENOAFIR5607">#REF!</definedName>
    <definedName name="BURRO" localSheetId="1">#REF!</definedName>
    <definedName name="BURRO">#REF!</definedName>
    <definedName name="bvbc" localSheetId="50" hidden="1">{"TAB1",#N/A,TRUE,"GENERAL";"TAB2",#N/A,TRUE,"GENERAL";"TAB3",#N/A,TRUE,"GENERAL";"TAB4",#N/A,TRUE,"GENERAL";"TAB5",#N/A,TRUE,"GENERAL"}</definedName>
    <definedName name="bvbc" localSheetId="1" hidden="1">{"TAB1",#N/A,TRUE,"GENERAL";"TAB2",#N/A,TRUE,"GENERAL";"TAB3",#N/A,TRUE,"GENERAL";"TAB4",#N/A,TRUE,"GENERAL";"TAB5",#N/A,TRUE,"GENERAL"}</definedName>
    <definedName name="bvbc" localSheetId="73" hidden="1">{"TAB1",#N/A,TRUE,"GENERAL";"TAB2",#N/A,TRUE,"GENERAL";"TAB3",#N/A,TRUE,"GENERAL";"TAB4",#N/A,TRUE,"GENERAL";"TAB5",#N/A,TRUE,"GENERAL"}</definedName>
    <definedName name="bvbc" hidden="1">{"TAB1",#N/A,TRUE,"GENERAL";"TAB2",#N/A,TRUE,"GENERAL";"TAB3",#N/A,TRUE,"GENERAL";"TAB4",#N/A,TRUE,"GENERAL";"TAB5",#N/A,TRUE,"GENERAL"}</definedName>
    <definedName name="bvcb" localSheetId="50" hidden="1">{"via1",#N/A,TRUE,"general";"via2",#N/A,TRUE,"general";"via3",#N/A,TRUE,"general"}</definedName>
    <definedName name="bvcb" localSheetId="1" hidden="1">{"via1",#N/A,TRUE,"general";"via2",#N/A,TRUE,"general";"via3",#N/A,TRUE,"general"}</definedName>
    <definedName name="bvcb" localSheetId="73" hidden="1">{"via1",#N/A,TRUE,"general";"via2",#N/A,TRUE,"general";"via3",#N/A,TRUE,"general"}</definedName>
    <definedName name="bvcb" hidden="1">{"via1",#N/A,TRUE,"general";"via2",#N/A,TRUE,"general";"via3",#N/A,TRUE,"general"}</definedName>
    <definedName name="bvn" localSheetId="50" hidden="1">{"via1",#N/A,TRUE,"general";"via2",#N/A,TRUE,"general";"via3",#N/A,TRUE,"general"}</definedName>
    <definedName name="bvn" localSheetId="1" hidden="1">{"via1",#N/A,TRUE,"general";"via2",#N/A,TRUE,"general";"via3",#N/A,TRUE,"general"}</definedName>
    <definedName name="bvn" localSheetId="73" hidden="1">{"via1",#N/A,TRUE,"general";"via2",#N/A,TRUE,"general";"via3",#N/A,TRUE,"general"}</definedName>
    <definedName name="bvn" hidden="1">{"via1",#N/A,TRUE,"general";"via2",#N/A,TRUE,"general";"via3",#N/A,TRUE,"general"}</definedName>
    <definedName name="bw" localSheetId="1">#REF!</definedName>
    <definedName name="bw">#REF!</definedName>
    <definedName name="by" localSheetId="50" hidden="1">{"via1",#N/A,TRUE,"general";"via2",#N/A,TRUE,"general";"via3",#N/A,TRUE,"general"}</definedName>
    <definedName name="by" localSheetId="1" hidden="1">{"via1",#N/A,TRUE,"general";"via2",#N/A,TRUE,"general";"via3",#N/A,TRUE,"general"}</definedName>
    <definedName name="by" localSheetId="73" hidden="1">{"via1",#N/A,TRUE,"general";"via2",#N/A,TRUE,"general";"via3",#N/A,TRUE,"general"}</definedName>
    <definedName name="by" hidden="1">{"via1",#N/A,TRUE,"general";"via2",#N/A,TRUE,"general";"via3",#N/A,TRUE,"general"}</definedName>
    <definedName name="C.1" localSheetId="1">#REF!</definedName>
    <definedName name="C.1">#REF!</definedName>
    <definedName name="C.10" localSheetId="1">#REF!</definedName>
    <definedName name="C.10">#REF!</definedName>
    <definedName name="C.11" localSheetId="1">#REF!</definedName>
    <definedName name="C.11">#REF!</definedName>
    <definedName name="C.2" localSheetId="1">#REF!</definedName>
    <definedName name="C.2">#REF!</definedName>
    <definedName name="C.2500M" localSheetId="1">#REF!</definedName>
    <definedName name="C.2500M">#REF!</definedName>
    <definedName name="C.3" localSheetId="1">#REF!</definedName>
    <definedName name="C.3">#REF!</definedName>
    <definedName name="C.3000M" localSheetId="1">#REF!</definedName>
    <definedName name="C.3000M">#REF!</definedName>
    <definedName name="C.3500M" localSheetId="1">#REF!</definedName>
    <definedName name="C.3500M">#REF!</definedName>
    <definedName name="C.3D" localSheetId="1">#REF!</definedName>
    <definedName name="C.3D">#REF!</definedName>
    <definedName name="C.4" localSheetId="1">#REF!</definedName>
    <definedName name="C.4">#REF!</definedName>
    <definedName name="C.5" localSheetId="1">#REF!</definedName>
    <definedName name="C.5">#REF!</definedName>
    <definedName name="C.6" localSheetId="1">#REF!</definedName>
    <definedName name="C.6">#REF!</definedName>
    <definedName name="C.7" localSheetId="1">#REF!</definedName>
    <definedName name="C.7">#REF!</definedName>
    <definedName name="C.7D" localSheetId="1">#REF!</definedName>
    <definedName name="C.7D">#REF!</definedName>
    <definedName name="C.8" localSheetId="1">#REF!</definedName>
    <definedName name="C.8">#REF!</definedName>
    <definedName name="C.9" localSheetId="1">#REF!</definedName>
    <definedName name="C.9">#REF!</definedName>
    <definedName name="C_" localSheetId="1">#REF!</definedName>
    <definedName name="C_">#REF!</definedName>
    <definedName name="Ca" localSheetId="1">#REF!</definedName>
    <definedName name="Ca">#REF!</definedName>
    <definedName name="CABALLETE" localSheetId="1">#REF!</definedName>
    <definedName name="CABALLETE">#REF!</definedName>
    <definedName name="CABALLETETOTAL" localSheetId="50">#REF!</definedName>
    <definedName name="CABALLETETOTAL" localSheetId="1">#REF!</definedName>
    <definedName name="CABALLETETOTAL">#REF!</definedName>
    <definedName name="cable_cobre_N_4_thwn" localSheetId="1">#REF!</definedName>
    <definedName name="cable_cobre_N_4_thwn">#REF!</definedName>
    <definedName name="Cable_N_1_0_thwn" localSheetId="1">#REF!</definedName>
    <definedName name="Cable_N_1_0_thwn">#REF!</definedName>
    <definedName name="CADEN" localSheetId="1">#REF!</definedName>
    <definedName name="CADEN">#REF!</definedName>
    <definedName name="CAJA" localSheetId="1">#REF!</definedName>
    <definedName name="CAJA">#REF!</definedName>
    <definedName name="Caja_corta_circuito_15" localSheetId="1">#REF!</definedName>
    <definedName name="Caja_corta_circuito_15">#REF!</definedName>
    <definedName name="CAJADESARE" localSheetId="1">#REF!</definedName>
    <definedName name="CAJADESARE">#REF!</definedName>
    <definedName name="CAJAREG" localSheetId="1">#REF!</definedName>
    <definedName name="CAJAREG">#REF!</definedName>
    <definedName name="Cajas_4_4" localSheetId="1">#REF!</definedName>
    <definedName name="Cajas_4_4">#REF!</definedName>
    <definedName name="CAJAS60" localSheetId="1">#REF!</definedName>
    <definedName name="CAJAS60">#REF!</definedName>
    <definedName name="Camion_600" localSheetId="1">#REF!</definedName>
    <definedName name="Camion_600">#REF!</definedName>
    <definedName name="CANEC" localSheetId="1">#REF!</definedName>
    <definedName name="CANEC">#REF!</definedName>
    <definedName name="CANEC2" localSheetId="1">#REF!</definedName>
    <definedName name="CANEC2">#REF!</definedName>
    <definedName name="CANECAS" localSheetId="1">#REF!</definedName>
    <definedName name="CANECAS">#REF!</definedName>
    <definedName name="CANT" localSheetId="1">#REF!</definedName>
    <definedName name="CANT">#REF!</definedName>
    <definedName name="CAOLIN" localSheetId="1">#REF!</definedName>
    <definedName name="CAOLIN">#REF!</definedName>
    <definedName name="Capitalpb" localSheetId="1" hidden="1">#REF!</definedName>
    <definedName name="Capitalpb" hidden="1">#REF!</definedName>
    <definedName name="CapitalStructure" localSheetId="1" hidden="1">#REF!</definedName>
    <definedName name="CapitalStructure" hidden="1">#REF!</definedName>
    <definedName name="CARBUROTOT" localSheetId="1">#REF!</definedName>
    <definedName name="CARBUROTOT">#REF!</definedName>
    <definedName name="cargos" localSheetId="1">#REF!</definedName>
    <definedName name="cargos">#REF!</definedName>
    <definedName name="CARLOS">#N/A</definedName>
    <definedName name="carrotanque" localSheetId="1">#REF!</definedName>
    <definedName name="carrotanque">#REF!</definedName>
    <definedName name="CARTAN" localSheetId="1">#REF!</definedName>
    <definedName name="CARTAN">#REF!</definedName>
    <definedName name="CASETONES" localSheetId="1">#REF!</definedName>
    <definedName name="CASETONES">#REF!</definedName>
    <definedName name="Cashpb" localSheetId="1" hidden="1">#REF!</definedName>
    <definedName name="Cashpb" hidden="1">#REF!</definedName>
    <definedName name="Categorias" localSheetId="1">#REF!</definedName>
    <definedName name="Categorias">#REF!</definedName>
    <definedName name="cau" localSheetId="1">#REF!</definedName>
    <definedName name="cau">#REF!</definedName>
    <definedName name="causa" localSheetId="1">#REF!</definedName>
    <definedName name="causa">#REF!</definedName>
    <definedName name="CB" localSheetId="1">#REF!</definedName>
    <definedName name="CB">#REF!</definedName>
    <definedName name="CBWorkbookPriority" hidden="1">-1602700874</definedName>
    <definedName name="Cc" localSheetId="1">#REF!</definedName>
    <definedName name="Cc">#REF!</definedName>
    <definedName name="CCC" localSheetId="1" hidden="1">#REF!</definedName>
    <definedName name="CCC" hidden="1">#REF!</definedName>
    <definedName name="CCCC" localSheetId="1" hidden="1">#REF!</definedName>
    <definedName name="CCCC" hidden="1">#REF!</definedName>
    <definedName name="ccccc" localSheetId="50" hidden="1">{"TAB1",#N/A,TRUE,"GENERAL";"TAB2",#N/A,TRUE,"GENERAL";"TAB3",#N/A,TRUE,"GENERAL";"TAB4",#N/A,TRUE,"GENERAL";"TAB5",#N/A,TRUE,"GENERAL"}</definedName>
    <definedName name="ccccc" localSheetId="1" hidden="1">{"TAB1",#N/A,TRUE,"GENERAL";"TAB2",#N/A,TRUE,"GENERAL";"TAB3",#N/A,TRUE,"GENERAL";"TAB4",#N/A,TRUE,"GENERAL";"TAB5",#N/A,TRUE,"GENERAL"}</definedName>
    <definedName name="ccccc" localSheetId="73" hidden="1">{"TAB1",#N/A,TRUE,"GENERAL";"TAB2",#N/A,TRUE,"GENERAL";"TAB3",#N/A,TRUE,"GENERAL";"TAB4",#N/A,TRUE,"GENERAL";"TAB5",#N/A,TRUE,"GENERAL"}</definedName>
    <definedName name="ccccc" hidden="1">{"TAB1",#N/A,TRUE,"GENERAL";"TAB2",#N/A,TRUE,"GENERAL";"TAB3",#N/A,TRUE,"GENERAL";"TAB4",#N/A,TRUE,"GENERAL";"TAB5",#N/A,TRUE,"GENERAL"}</definedName>
    <definedName name="CCCCCCCCC" localSheetId="50" hidden="1">#REF!</definedName>
    <definedName name="CCCCCCCCC" localSheetId="1" hidden="1">#REF!</definedName>
    <definedName name="CCCCCCCCC" hidden="1">#REF!</definedName>
    <definedName name="ccto210" localSheetId="50">#REF!</definedName>
    <definedName name="ccto210" localSheetId="1">#REF!</definedName>
    <definedName name="ccto210">#REF!</definedName>
    <definedName name="Cd" localSheetId="50">#REF!</definedName>
    <definedName name="Cd" localSheetId="1">#REF!</definedName>
    <definedName name="Cd">#REF!</definedName>
    <definedName name="CD_Aseo_ON" localSheetId="1">#REF!</definedName>
    <definedName name="CD_Aseo_ON">#REF!</definedName>
    <definedName name="CD_Caja_Med.Gas" localSheetId="1">#REF!</definedName>
    <definedName name="CD_Caja_Med.Gas">#REF!</definedName>
    <definedName name="CD_Esmalte" localSheetId="1">#REF!</definedName>
    <definedName name="CD_Esmalte">#REF!</definedName>
    <definedName name="CD_Marmolina" localSheetId="1">#REF!</definedName>
    <definedName name="CD_Marmolina">#REF!</definedName>
    <definedName name="CD_Resanes" localSheetId="1">#REF!</definedName>
    <definedName name="CD_Resanes">#REF!</definedName>
    <definedName name="CD_Retiro_Esc." localSheetId="1">#REF!</definedName>
    <definedName name="CD_Retiro_Esc.">#REF!</definedName>
    <definedName name="CD_Silcoplast" localSheetId="1">#REF!</definedName>
    <definedName name="CD_Silcoplast">#REF!</definedName>
    <definedName name="CD_Tierra_Negra" localSheetId="1">#REF!</definedName>
    <definedName name="CD_Tierra_Negra">#REF!</definedName>
    <definedName name="CD_Vinilo" localSheetId="1">#REF!</definedName>
    <definedName name="CD_Vinilo">#REF!</definedName>
    <definedName name="cdcdc" localSheetId="50" hidden="1">{"via1",#N/A,TRUE,"general";"via2",#N/A,TRUE,"general";"via3",#N/A,TRUE,"general"}</definedName>
    <definedName name="cdcdc" localSheetId="1" hidden="1">{"via1",#N/A,TRUE,"general";"via2",#N/A,TRUE,"general";"via3",#N/A,TRUE,"general"}</definedName>
    <definedName name="cdcdc" localSheetId="73" hidden="1">{"via1",#N/A,TRUE,"general";"via2",#N/A,TRUE,"general";"via3",#N/A,TRUE,"general"}</definedName>
    <definedName name="cdcdc" hidden="1">{"via1",#N/A,TRUE,"general";"via2",#N/A,TRUE,"general";"via3",#N/A,TRUE,"general"}</definedName>
    <definedName name="cdfgrtfd" localSheetId="50" hidden="1">#REF!</definedName>
    <definedName name="cdfgrtfd" localSheetId="1" hidden="1">#REF!</definedName>
    <definedName name="cdfgrtfd" hidden="1">#REF!</definedName>
    <definedName name="Ce" localSheetId="50">#REF!</definedName>
    <definedName name="Ce" localSheetId="1">#REF!</definedName>
    <definedName name="Ce">#REF!</definedName>
    <definedName name="CEBLANCO" localSheetId="50">#REF!</definedName>
    <definedName name="CEBLANCO" localSheetId="1">#REF!</definedName>
    <definedName name="CEBLANCO">#REF!</definedName>
    <definedName name="ceerf" localSheetId="50" hidden="1">{"TAB1",#N/A,TRUE,"GENERAL";"TAB2",#N/A,TRUE,"GENERAL";"TAB3",#N/A,TRUE,"GENERAL";"TAB4",#N/A,TRUE,"GENERAL";"TAB5",#N/A,TRUE,"GENERAL"}</definedName>
    <definedName name="ceerf" localSheetId="1" hidden="1">{"TAB1",#N/A,TRUE,"GENERAL";"TAB2",#N/A,TRUE,"GENERAL";"TAB3",#N/A,TRUE,"GENERAL";"TAB4",#N/A,TRUE,"GENERAL";"TAB5",#N/A,TRUE,"GENERAL"}</definedName>
    <definedName name="ceerf" localSheetId="73" hidden="1">{"TAB1",#N/A,TRUE,"GENERAL";"TAB2",#N/A,TRUE,"GENERAL";"TAB3",#N/A,TRUE,"GENERAL";"TAB4",#N/A,TRUE,"GENERAL";"TAB5",#N/A,TRUE,"GENERAL"}</definedName>
    <definedName name="ceerf" hidden="1">{"TAB1",#N/A,TRUE,"GENERAL";"TAB2",#N/A,TRUE,"GENERAL";"TAB3",#N/A,TRUE,"GENERAL";"TAB4",#N/A,TRUE,"GENERAL";"TAB5",#N/A,TRUE,"GENERAL"}</definedName>
    <definedName name="CEME" localSheetId="1">#REF!</definedName>
    <definedName name="CEME">#REF!</definedName>
    <definedName name="CEMENTBLAN." localSheetId="1">#REF!</definedName>
    <definedName name="CEMENTBLAN.">#REF!</definedName>
    <definedName name="CEMENTO" localSheetId="1">#REF!</definedName>
    <definedName name="CEMENTO">#REF!</definedName>
    <definedName name="CENEFAMALLA" localSheetId="50">#REF!</definedName>
    <definedName name="CENEFAMALLA" localSheetId="1">#REF!</definedName>
    <definedName name="CENEFAMALLA">#REF!</definedName>
    <definedName name="CEPILLO" localSheetId="50">#REF!</definedName>
    <definedName name="CEPILLO" localSheetId="1">#REF!</definedName>
    <definedName name="CEPILLO">#REF!</definedName>
    <definedName name="Cf" localSheetId="50">#REF!</definedName>
    <definedName name="Cf" localSheetId="1">#REF!</definedName>
    <definedName name="Cf">#REF!</definedName>
    <definedName name="Cg" localSheetId="50">#REF!</definedName>
    <definedName name="Cg" localSheetId="1">#REF!</definedName>
    <definedName name="Cg">#REF!</definedName>
    <definedName name="Ch" localSheetId="1">#REF!</definedName>
    <definedName name="Ch">#REF!</definedName>
    <definedName name="Change_in_Cash" localSheetId="1" hidden="1">#REF!</definedName>
    <definedName name="Change_in_Cash" hidden="1">#REF!</definedName>
    <definedName name="Check_to_Cash" localSheetId="1" hidden="1">#REF!</definedName>
    <definedName name="Check_to_Cash" hidden="1">#REF!</definedName>
    <definedName name="CHEQUE3_4" localSheetId="1">#REF!</definedName>
    <definedName name="CHEQUE3_4">#REF!</definedName>
    <definedName name="china" localSheetId="1">#REF!</definedName>
    <definedName name="china">#REF!</definedName>
    <definedName name="Ci" localSheetId="1">#REF!</definedName>
    <definedName name="Ci">#REF!</definedName>
    <definedName name="CIELORASOTOT" localSheetId="1">#REF!</definedName>
    <definedName name="CIELORASOTOT">#REF!</definedName>
    <definedName name="CINTA_V_15" localSheetId="1">#REF!</definedName>
    <definedName name="CINTA_V_15">#REF!</definedName>
    <definedName name="CIZAL" localSheetId="1">#REF!</definedName>
    <definedName name="CIZAL">#REF!</definedName>
    <definedName name="Cj" localSheetId="1">#REF!</definedName>
    <definedName name="Cj">#REF!</definedName>
    <definedName name="cjsa" localSheetId="1" hidden="1">#REF!</definedName>
    <definedName name="cjsa" hidden="1">#REF!</definedName>
    <definedName name="Ck" localSheetId="1">#REF!</definedName>
    <definedName name="Ck">#REF!</definedName>
    <definedName name="clase" localSheetId="1">#REF!</definedName>
    <definedName name="clase">#REF!</definedName>
    <definedName name="Clavo_2" localSheetId="1">#REF!</definedName>
    <definedName name="Clavo_2">#REF!</definedName>
    <definedName name="Cll" localSheetId="1">#REF!</definedName>
    <definedName name="Cll">#REF!</definedName>
    <definedName name="CLOSETTOT" localSheetId="1">#REF!</definedName>
    <definedName name="CLOSETTOT">#REF!</definedName>
    <definedName name="Cm" localSheetId="1">#REF!</definedName>
    <definedName name="Cm">#REF!</definedName>
    <definedName name="Cn" localSheetId="1">#REF!</definedName>
    <definedName name="Cn">#REF!</definedName>
    <definedName name="Cñ" localSheetId="1">#REF!</definedName>
    <definedName name="Cñ">#REF!</definedName>
    <definedName name="Co" localSheetId="1">#REF!</definedName>
    <definedName name="Co">#REF!</definedName>
    <definedName name="CODO_45___3__GRAN_RADIO_C_x_E" localSheetId="1">#REF!</definedName>
    <definedName name="CODO_45___3__GRAN_RADIO_C_x_E">#REF!</definedName>
    <definedName name="CODO_45___3__P.V.C" localSheetId="1">#REF!</definedName>
    <definedName name="CODO_45___3__P.V.C">#REF!</definedName>
    <definedName name="CODO_45__2__P.V.C" localSheetId="1">#REF!</definedName>
    <definedName name="CODO_45__2__P.V.C">#REF!</definedName>
    <definedName name="CODO_90___3__GRAN_RADIO_C_x_E" localSheetId="1">#REF!</definedName>
    <definedName name="CODO_90___3__GRAN_RADIO_C_x_E">#REF!</definedName>
    <definedName name="CODO_90___3__P.V.C" localSheetId="1">#REF!</definedName>
    <definedName name="CODO_90___3__P.V.C">#REF!</definedName>
    <definedName name="CODO_90_x_3__B_x_B" localSheetId="1">#REF!</definedName>
    <definedName name="CODO_90_x_3__B_x_B">#REF!</definedName>
    <definedName name="CODO_90_x_3__B_x_EL" localSheetId="1">#REF!</definedName>
    <definedName name="CODO_90_x_3__B_x_EL">#REF!</definedName>
    <definedName name="CODO_P.V.C_90___1_2" localSheetId="1">#REF!</definedName>
    <definedName name="CODO_P.V.C_90___1_2">#REF!</definedName>
    <definedName name="coe" localSheetId="1">#REF!</definedName>
    <definedName name="coe">#REF!</definedName>
    <definedName name="COLAMARRE2" localSheetId="1">#REF!</definedName>
    <definedName name="COLAMARRE2">#REF!</definedName>
    <definedName name="COLLAR_DE_DERIVACION_2____1_2" localSheetId="1">#REF!</definedName>
    <definedName name="COLLAR_DE_DERIVACION_2____1_2">#REF!</definedName>
    <definedName name="COLLAR_DE_DERIVACION_3____1_2" localSheetId="1">#REF!</definedName>
    <definedName name="COLLAR_DE_DERIVACION_3____1_2">#REF!</definedName>
    <definedName name="COLLAR_DE_DERIVACION_DE_HF_DE_3____1_2__PARA_INSTALACION_DE_VENTOSA_EN_TUBERIA_DE_P.V.C" localSheetId="1">#REF!</definedName>
    <definedName name="COLLAR_DE_DERIVACION_DE_HF_DE_3____1_2__PARA_INSTALACION_DE_VENTOSA_EN_TUBERIA_DE_P.V.C">#REF!</definedName>
    <definedName name="Collarin_7_8" localSheetId="1">#REF!</definedName>
    <definedName name="Collarin_7_8">#REF!</definedName>
    <definedName name="COLUMNA20X20" localSheetId="1">#REF!</definedName>
    <definedName name="COLUMNA20X20">#REF!</definedName>
    <definedName name="COLUMNAS20X30" localSheetId="1">#REF!</definedName>
    <definedName name="COLUMNAS20X30">#REF!</definedName>
    <definedName name="compactacion" localSheetId="1">#REF!</definedName>
    <definedName name="compactacion">#REF!</definedName>
    <definedName name="CON_3000" localSheetId="1">#REF!</definedName>
    <definedName name="CON_3000">#REF!</definedName>
    <definedName name="CONCRE123" localSheetId="1">#REF!</definedName>
    <definedName name="CONCRE123">#REF!</definedName>
    <definedName name="CONCRE124" localSheetId="1">#REF!</definedName>
    <definedName name="CONCRE124">#REF!</definedName>
    <definedName name="concre15" localSheetId="1">#REF!</definedName>
    <definedName name="concre15">#REF!</definedName>
    <definedName name="CONCRE25" localSheetId="1">#REF!</definedName>
    <definedName name="CONCRE25">#REF!</definedName>
    <definedName name="CONCRE3" localSheetId="1">#REF!</definedName>
    <definedName name="CONCRE3">#REF!</definedName>
    <definedName name="concre3000" localSheetId="1">#REF!</definedName>
    <definedName name="concre3000">#REF!</definedName>
    <definedName name="concre35" localSheetId="1">#REF!</definedName>
    <definedName name="concre35">#REF!</definedName>
    <definedName name="CONCRETO" localSheetId="1">#REF!</definedName>
    <definedName name="CONCRETO">#REF!</definedName>
    <definedName name="concreto_2500_psi" localSheetId="50">#REF!</definedName>
    <definedName name="concreto_2500_psi" localSheetId="1">#REF!</definedName>
    <definedName name="concreto_2500_psi">#REF!</definedName>
    <definedName name="Concreto_3500_psi" localSheetId="50">#REF!</definedName>
    <definedName name="Concreto_3500_psi" localSheetId="1">#REF!</definedName>
    <definedName name="Concreto_3500_psi">#REF!</definedName>
    <definedName name="CONCRETO0_05" localSheetId="50">#REF!</definedName>
    <definedName name="CONCRETO0_05" localSheetId="1">#REF!</definedName>
    <definedName name="CONCRETO0_05">#REF!</definedName>
    <definedName name="concreto14" localSheetId="50">#REF!</definedName>
    <definedName name="concreto14" localSheetId="1">#REF!</definedName>
    <definedName name="concreto14">#REF!</definedName>
    <definedName name="CONCRETO20" localSheetId="1">#REF!</definedName>
    <definedName name="CONCRETO20">#REF!</definedName>
    <definedName name="concreto25" localSheetId="1">#REF!</definedName>
    <definedName name="concreto25">#REF!</definedName>
    <definedName name="CONCRETO30" localSheetId="1">#REF!</definedName>
    <definedName name="CONCRETO30">#REF!</definedName>
    <definedName name="concreto35" localSheetId="1">#REF!</definedName>
    <definedName name="concreto35">#REF!</definedName>
    <definedName name="concretoplaca" localSheetId="1">#REF!</definedName>
    <definedName name="concretoplaca">#REF!</definedName>
    <definedName name="Conectores_transversales" localSheetId="1">#REF!</definedName>
    <definedName name="Conectores_transversales">#REF!</definedName>
    <definedName name="conexiondomiciliaria" localSheetId="1">#REF!</definedName>
    <definedName name="conexiondomiciliaria">#REF!</definedName>
    <definedName name="Cortadora" localSheetId="1">#REF!</definedName>
    <definedName name="Cortadora">#REF!</definedName>
    <definedName name="corte" localSheetId="1">#REF!</definedName>
    <definedName name="corte">#REF!</definedName>
    <definedName name="corterocoso" localSheetId="1">#REF!</definedName>
    <definedName name="corterocoso">#REF!</definedName>
    <definedName name="Costo_Indctos" localSheetId="1">#REF!</definedName>
    <definedName name="Costo_Indctos">#REF!</definedName>
    <definedName name="costo2" localSheetId="1" hidden="1">#REF!</definedName>
    <definedName name="costo2" hidden="1">#REF!</definedName>
    <definedName name="cp" localSheetId="1">#REF!</definedName>
    <definedName name="cp">#REF!</definedName>
    <definedName name="Cq" localSheetId="1">#REF!</definedName>
    <definedName name="Cq">#REF!</definedName>
    <definedName name="Cr" localSheetId="1">#REF!</definedName>
    <definedName name="Cr">#REF!</definedName>
    <definedName name="Criticos" localSheetId="1">#REF!</definedName>
    <definedName name="Criticos">#REF!</definedName>
    <definedName name="crrc" localSheetId="1">#REF!</definedName>
    <definedName name="crrc">#REF!</definedName>
    <definedName name="crrd" localSheetId="1">#REF!</definedName>
    <definedName name="crrd">#REF!</definedName>
    <definedName name="cruce" localSheetId="1">#REF!</definedName>
    <definedName name="cruce">#REF!</definedName>
    <definedName name="CRUCE_200_CANAL_S1" localSheetId="1">#REF!</definedName>
    <definedName name="CRUCE_200_CANAL_S1">#REF!</definedName>
    <definedName name="CRUCE_200_CANAL_S2" localSheetId="1">#REF!</definedName>
    <definedName name="CRUCE_200_CANAL_S2">#REF!</definedName>
    <definedName name="CRUCE_200_CANAL_S3" localSheetId="1">#REF!</definedName>
    <definedName name="CRUCE_200_CANAL_S3">#REF!</definedName>
    <definedName name="CRUCE_200_CANAL_S4" localSheetId="1">#REF!</definedName>
    <definedName name="CRUCE_200_CANAL_S4">#REF!</definedName>
    <definedName name="CRUCE_200_CANAL_S5" localSheetId="1">#REF!</definedName>
    <definedName name="CRUCE_200_CANAL_S5">#REF!</definedName>
    <definedName name="CRUCE_200_CANAL_S6" localSheetId="1">#REF!</definedName>
    <definedName name="CRUCE_200_CANAL_S6">#REF!</definedName>
    <definedName name="CRUCE_8__A_S1" localSheetId="1">#REF!</definedName>
    <definedName name="CRUCE_8__A_S1">#REF!</definedName>
    <definedName name="CRUCE_8__A_S2" localSheetId="1">#REF!</definedName>
    <definedName name="CRUCE_8__A_S2">#REF!</definedName>
    <definedName name="CRUCE_8__A_S3" localSheetId="1">#REF!</definedName>
    <definedName name="CRUCE_8__A_S3">#REF!</definedName>
    <definedName name="CRUCE_8__A_S4" localSheetId="1">#REF!</definedName>
    <definedName name="CRUCE_8__A_S4">#REF!</definedName>
    <definedName name="CRUCE_8__A_S5" localSheetId="1">#REF!</definedName>
    <definedName name="CRUCE_8__A_S5">#REF!</definedName>
    <definedName name="CRUCE_8__A_S6" localSheetId="1">#REF!</definedName>
    <definedName name="CRUCE_8__A_S6">#REF!</definedName>
    <definedName name="CRUCE12__A_S1" localSheetId="1">#REF!</definedName>
    <definedName name="CRUCE12__A_S1">#REF!</definedName>
    <definedName name="CRUCE12__A_S2" localSheetId="1">#REF!</definedName>
    <definedName name="CRUCE12__A_S2">#REF!</definedName>
    <definedName name="CRUCE12__A_S3" localSheetId="1">#REF!</definedName>
    <definedName name="CRUCE12__A_S3">#REF!</definedName>
    <definedName name="CRUCE12__A_S4" localSheetId="1">#REF!</definedName>
    <definedName name="CRUCE12__A_S4">#REF!</definedName>
    <definedName name="CRUCE12__A_S5" localSheetId="1">#REF!</definedName>
    <definedName name="CRUCE12__A_S5">#REF!</definedName>
    <definedName name="CRUCE12__A_S6" localSheetId="1">#REF!</definedName>
    <definedName name="CRUCE12__A_S6">#REF!</definedName>
    <definedName name="CRUCE12_B_S1" localSheetId="1">#REF!</definedName>
    <definedName name="CRUCE12_B_S1">#REF!</definedName>
    <definedName name="CRUCE12_B_S2" localSheetId="1">#REF!</definedName>
    <definedName name="CRUCE12_B_S2">#REF!</definedName>
    <definedName name="CRUCE12_B_S3" localSheetId="1">#REF!</definedName>
    <definedName name="CRUCE12_B_S3">#REF!</definedName>
    <definedName name="CRUCE12_B_S4" localSheetId="1">#REF!</definedName>
    <definedName name="CRUCE12_B_S4">#REF!</definedName>
    <definedName name="CRUCE12_B_S5" localSheetId="1">#REF!</definedName>
    <definedName name="CRUCE12_B_S5">#REF!</definedName>
    <definedName name="CRUCE12_B_S6" localSheetId="1">#REF!</definedName>
    <definedName name="CRUCE12_B_S6">#REF!</definedName>
    <definedName name="CRUCE160_CANAL_S1" localSheetId="1">#REF!</definedName>
    <definedName name="CRUCE160_CANAL_S1">#REF!</definedName>
    <definedName name="CRUCE160_CANAL_S2" localSheetId="1">#REF!</definedName>
    <definedName name="CRUCE160_CANAL_S2">#REF!</definedName>
    <definedName name="CRUCE160_CANAL_S3" localSheetId="1">#REF!</definedName>
    <definedName name="CRUCE160_CANAL_S3">#REF!</definedName>
    <definedName name="CRUCE160_CANAL_S4" localSheetId="1">#REF!</definedName>
    <definedName name="CRUCE160_CANAL_S4">#REF!</definedName>
    <definedName name="CRUCE160_CANAL_S5" localSheetId="1">#REF!</definedName>
    <definedName name="CRUCE160_CANAL_S5">#REF!</definedName>
    <definedName name="CRUCE160_CANAL_S6" localSheetId="1">#REF!</definedName>
    <definedName name="CRUCE160_CANAL_S6">#REF!</definedName>
    <definedName name="CRUCE90_CANAL_S1" localSheetId="1">#REF!</definedName>
    <definedName name="CRUCE90_CANAL_S1">#REF!</definedName>
    <definedName name="CRUCE90_CANAL_S2" localSheetId="1">#REF!</definedName>
    <definedName name="CRUCE90_CANAL_S2">#REF!</definedName>
    <definedName name="CRUCE90_CANAL_S3" localSheetId="1">#REF!</definedName>
    <definedName name="CRUCE90_CANAL_S3">#REF!</definedName>
    <definedName name="CRUCE90_CANAL_S4" localSheetId="1">#REF!</definedName>
    <definedName name="CRUCE90_CANAL_S4">#REF!</definedName>
    <definedName name="CRUCE90_CANAL_S5" localSheetId="1">#REF!</definedName>
    <definedName name="CRUCE90_CANAL_S5">#REF!</definedName>
    <definedName name="CRUCE90_CANAL_S6" localSheetId="1">#REF!</definedName>
    <definedName name="CRUCE90_CANAL_S6">#REF!</definedName>
    <definedName name="CRUCE90_S1" localSheetId="1">#REF!</definedName>
    <definedName name="CRUCE90_S1">#REF!</definedName>
    <definedName name="CRUCE90_S2" localSheetId="1">#REF!</definedName>
    <definedName name="CRUCE90_S2">#REF!</definedName>
    <definedName name="CRUCE90_S3" localSheetId="1">#REF!</definedName>
    <definedName name="CRUCE90_S3">#REF!</definedName>
    <definedName name="CRUCE90_S4" localSheetId="1">#REF!</definedName>
    <definedName name="CRUCE90_S4">#REF!</definedName>
    <definedName name="CRUCE90_S5" localSheetId="1">#REF!</definedName>
    <definedName name="CRUCE90_S5">#REF!</definedName>
    <definedName name="CRUCE90_S6" localSheetId="1">#REF!</definedName>
    <definedName name="CRUCE90_S6">#REF!</definedName>
    <definedName name="Cruceta_de_madera" localSheetId="1">#REF!</definedName>
    <definedName name="Cruceta_de_madera">#REF!</definedName>
    <definedName name="Cs" localSheetId="1">#REF!</definedName>
    <definedName name="Cs">#REF!</definedName>
    <definedName name="Ct" localSheetId="1">#REF!</definedName>
    <definedName name="Ct">#REF!</definedName>
    <definedName name="Cu" localSheetId="1">#REF!</definedName>
    <definedName name="Cu">#REF!</definedName>
    <definedName name="CUADRI1" localSheetId="50">#REF!</definedName>
    <definedName name="CUADRI1" localSheetId="1">#REF!</definedName>
    <definedName name="CUADRI1">#REF!</definedName>
    <definedName name="CUADRI2" localSheetId="50">#REF!</definedName>
    <definedName name="CUADRI2" localSheetId="1">#REF!</definedName>
    <definedName name="CUADRI2">#REF!</definedName>
    <definedName name="CUADRI3" localSheetId="50">#REF!</definedName>
    <definedName name="CUADRI3" localSheetId="1">#REF!</definedName>
    <definedName name="CUADRI3">#REF!</definedName>
    <definedName name="CUADRI4" localSheetId="1">#REF!</definedName>
    <definedName name="CUADRI4">#REF!</definedName>
    <definedName name="CUADRI5" localSheetId="1">#REF!</definedName>
    <definedName name="CUADRI5">#REF!</definedName>
    <definedName name="CUADRI6" localSheetId="1">#REF!</definedName>
    <definedName name="CUADRI6">#REF!</definedName>
    <definedName name="CUADRI7" localSheetId="1">#REF!</definedName>
    <definedName name="CUADRI7">#REF!</definedName>
    <definedName name="CUADRI9" localSheetId="1">#REF!</definedName>
    <definedName name="CUADRI9">#REF!</definedName>
    <definedName name="CUADRO">#N/A</definedName>
    <definedName name="CUAPLO" localSheetId="50">#REF!</definedName>
    <definedName name="CUAPLO" localSheetId="1">#REF!</definedName>
    <definedName name="CUAPLO">#REF!</definedName>
    <definedName name="CUATOP" localSheetId="50">#REF!</definedName>
    <definedName name="CUATOP" localSheetId="1">#REF!</definedName>
    <definedName name="CUATOP">#REF!</definedName>
    <definedName name="CUBIERTATOTAL" localSheetId="50">#REF!</definedName>
    <definedName name="CUBIERTATOTAL" localSheetId="1">#REF!</definedName>
    <definedName name="CUBIERTATOTAL">#REF!</definedName>
    <definedName name="CUCON" localSheetId="1">#REF!</definedName>
    <definedName name="CUCON">#REF!</definedName>
    <definedName name="CUEXC" localSheetId="1">#REF!</definedName>
    <definedName name="CUEXC">#REF!</definedName>
    <definedName name="CUNET" localSheetId="50" hidden="1">{"via1",#N/A,TRUE,"general";"via2",#N/A,TRUE,"general";"via3",#N/A,TRUE,"general"}</definedName>
    <definedName name="CUNET" localSheetId="1" hidden="1">{"via1",#N/A,TRUE,"general";"via2",#N/A,TRUE,"general";"via3",#N/A,TRUE,"general"}</definedName>
    <definedName name="CUNET" localSheetId="73" hidden="1">{"via1",#N/A,TRUE,"general";"via2",#N/A,TRUE,"general";"via3",#N/A,TRUE,"general"}</definedName>
    <definedName name="CUNET" hidden="1">{"via1",#N/A,TRUE,"general";"via2",#N/A,TRUE,"general";"via3",#N/A,TRUE,"general"}</definedName>
    <definedName name="cuneta" localSheetId="1">#REF!</definedName>
    <definedName name="cuneta">#REF!</definedName>
    <definedName name="CUPLOM" localSheetId="1">#REF!</definedName>
    <definedName name="CUPLOM">#REF!</definedName>
    <definedName name="Curvas_1" localSheetId="1">#REF!</definedName>
    <definedName name="Curvas_1">#REF!</definedName>
    <definedName name="Curvas_3_4" localSheetId="1">#REF!</definedName>
    <definedName name="Curvas_3_4">#REF!</definedName>
    <definedName name="CUTOP" localSheetId="1">#REF!</definedName>
    <definedName name="CUTOP">#REF!</definedName>
    <definedName name="Cv" localSheetId="1">#REF!</definedName>
    <definedName name="Cv">#REF!</definedName>
    <definedName name="cvbcvbf" localSheetId="50" hidden="1">{#N/A,#N/A,TRUE,"INGENIERIA";#N/A,#N/A,TRUE,"COMPRAS";#N/A,#N/A,TRUE,"DIRECCION";#N/A,#N/A,TRUE,"RESUMEN"}</definedName>
    <definedName name="cvbcvbf" localSheetId="1" hidden="1">{#N/A,#N/A,TRUE,"INGENIERIA";#N/A,#N/A,TRUE,"COMPRAS";#N/A,#N/A,TRUE,"DIRECCION";#N/A,#N/A,TRUE,"RESUMEN"}</definedName>
    <definedName name="cvbcvbf" localSheetId="73" hidden="1">{#N/A,#N/A,TRUE,"INGENIERIA";#N/A,#N/A,TRUE,"COMPRAS";#N/A,#N/A,TRUE,"DIRECCION";#N/A,#N/A,TRUE,"RESUMEN"}</definedName>
    <definedName name="cvbcvbf" hidden="1">{#N/A,#N/A,TRUE,"INGENIERIA";#N/A,#N/A,TRUE,"COMPRAS";#N/A,#N/A,TRUE,"DIRECCION";#N/A,#N/A,TRUE,"RESUMEN"}</definedName>
    <definedName name="cvfvd" localSheetId="50" hidden="1">{"via1",#N/A,TRUE,"general";"via2",#N/A,TRUE,"general";"via3",#N/A,TRUE,"general"}</definedName>
    <definedName name="cvfvd" localSheetId="1" hidden="1">{"via1",#N/A,TRUE,"general";"via2",#N/A,TRUE,"general";"via3",#N/A,TRUE,"general"}</definedName>
    <definedName name="cvfvd" localSheetId="73" hidden="1">{"via1",#N/A,TRUE,"general";"via2",#N/A,TRUE,"general";"via3",#N/A,TRUE,"general"}</definedName>
    <definedName name="cvfvd" hidden="1">{"via1",#N/A,TRUE,"general";"via2",#N/A,TRUE,"general";"via3",#N/A,TRUE,"general"}</definedName>
    <definedName name="cvn" localSheetId="50" hidden="1">{"TAB1",#N/A,TRUE,"GENERAL";"TAB2",#N/A,TRUE,"GENERAL";"TAB3",#N/A,TRUE,"GENERAL";"TAB4",#N/A,TRUE,"GENERAL";"TAB5",#N/A,TRUE,"GENERAL"}</definedName>
    <definedName name="cvn" localSheetId="1" hidden="1">{"TAB1",#N/A,TRUE,"GENERAL";"TAB2",#N/A,TRUE,"GENERAL";"TAB3",#N/A,TRUE,"GENERAL";"TAB4",#N/A,TRUE,"GENERAL";"TAB5",#N/A,TRUE,"GENERAL"}</definedName>
    <definedName name="cvn" localSheetId="73" hidden="1">{"TAB1",#N/A,TRUE,"GENERAL";"TAB2",#N/A,TRUE,"GENERAL";"TAB3",#N/A,TRUE,"GENERAL";"TAB4",#N/A,TRUE,"GENERAL";"TAB5",#N/A,TRUE,"GENERAL"}</definedName>
    <definedName name="cvn" hidden="1">{"TAB1",#N/A,TRUE,"GENERAL";"TAB2",#N/A,TRUE,"GENERAL";"TAB3",#N/A,TRUE,"GENERAL";"TAB4",#N/A,TRUE,"GENERAL";"TAB5",#N/A,TRUE,"GENERAL"}</definedName>
    <definedName name="CVXC" localSheetId="50" hidden="1">{"via1",#N/A,TRUE,"general";"via2",#N/A,TRUE,"general";"via3",#N/A,TRUE,"general"}</definedName>
    <definedName name="CVXC" localSheetId="1" hidden="1">{"via1",#N/A,TRUE,"general";"via2",#N/A,TRUE,"general";"via3",#N/A,TRUE,"general"}</definedName>
    <definedName name="CVXC" localSheetId="73" hidden="1">{"via1",#N/A,TRUE,"general";"via2",#N/A,TRUE,"general";"via3",#N/A,TRUE,"general"}</definedName>
    <definedName name="CVXC" hidden="1">{"via1",#N/A,TRUE,"general";"via2",#N/A,TRUE,"general";"via3",#N/A,TRUE,"general"}</definedName>
    <definedName name="Cw" localSheetId="1">#REF!</definedName>
    <definedName name="Cw">#REF!</definedName>
    <definedName name="Cx" localSheetId="1">#REF!</definedName>
    <definedName name="Cx">#REF!</definedName>
    <definedName name="Cy" localSheetId="1">#REF!</definedName>
    <definedName name="Cy">#REF!</definedName>
    <definedName name="D" localSheetId="1">#REF!</definedName>
    <definedName name="d" localSheetId="71" hidden="1">{"TAB1",#N/A,TRUE,"GENERAL";"TAB2",#N/A,TRUE,"GENERAL";"TAB3",#N/A,TRUE,"GENERAL";"TAB4",#N/A,TRUE,"GENERAL";"TAB5",#N/A,TRUE,"GENERAL"}</definedName>
    <definedName name="d" localSheetId="73" hidden="1">{"TAB1",#N/A,TRUE,"GENERAL";"TAB2",#N/A,TRUE,"GENERAL";"TAB3",#N/A,TRUE,"GENERAL";"TAB4",#N/A,TRUE,"GENERAL";"TAB5",#N/A,TRUE,"GENERAL"}</definedName>
    <definedName name="D">#REF!</definedName>
    <definedName name="d_percápita" localSheetId="1">#REF!</definedName>
    <definedName name="d_percápita">#REF!</definedName>
    <definedName name="DASD" localSheetId="50" hidden="1">{"TAB1",#N/A,TRUE,"GENERAL";"TAB2",#N/A,TRUE,"GENERAL";"TAB3",#N/A,TRUE,"GENERAL";"TAB4",#N/A,TRUE,"GENERAL";"TAB5",#N/A,TRUE,"GENERAL"}</definedName>
    <definedName name="DASD" localSheetId="1" hidden="1">{"TAB1",#N/A,TRUE,"GENERAL";"TAB2",#N/A,TRUE,"GENERAL";"TAB3",#N/A,TRUE,"GENERAL";"TAB4",#N/A,TRUE,"GENERAL";"TAB5",#N/A,TRUE,"GENERAL"}</definedName>
    <definedName name="DASD" localSheetId="73"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#REF!</definedName>
    <definedName name="dbfdfbi" localSheetId="50"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73" hidden="1">{"TAB1",#N/A,TRUE,"GENERAL";"TAB2",#N/A,TRUE,"GENERAL";"TAB3",#N/A,TRUE,"GENERAL";"TAB4",#N/A,TRUE,"GENERAL";"TAB5",#N/A,TRUE,"GENERAL"}</definedName>
    <definedName name="dbfdfbi" hidden="1">{"TAB1",#N/A,TRUE,"GENERAL";"TAB2",#N/A,TRUE,"GENERAL";"TAB3",#N/A,TRUE,"GENERAL";"TAB4",#N/A,TRUE,"GENERAL";"TAB5",#N/A,TRUE,"GENERAL"}</definedName>
    <definedName name="dc" localSheetId="1">#REF!</definedName>
    <definedName name="dc">#REF!</definedName>
    <definedName name="DCF" localSheetId="1">#REF!</definedName>
    <definedName name="DCF">#REF!</definedName>
    <definedName name="DCSDCTV" localSheetId="50" hidden="1">{"via1",#N/A,TRUE,"general";"via2",#N/A,TRUE,"general";"via3",#N/A,TRUE,"general"}</definedName>
    <definedName name="DCSDCTV" localSheetId="1" hidden="1">{"via1",#N/A,TRUE,"general";"via2",#N/A,TRUE,"general";"via3",#N/A,TRUE,"general"}</definedName>
    <definedName name="DCSDCTV" localSheetId="73" hidden="1">{"via1",#N/A,TRUE,"general";"via2",#N/A,TRUE,"general";"via3",#N/A,TRUE,"general"}</definedName>
    <definedName name="DCSDCTV" hidden="1">{"via1",#N/A,TRUE,"general";"via2",#N/A,TRUE,"general";"via3",#N/A,TRUE,"general"}</definedName>
    <definedName name="dd" localSheetId="1">#REF!</definedName>
    <definedName name="dd">#REF!</definedName>
    <definedName name="ddd" localSheetId="50" hidden="1">{"via1",#N/A,TRUE,"general";"via2",#N/A,TRUE,"general";"via3",#N/A,TRUE,"general"}</definedName>
    <definedName name="ddd" localSheetId="1" hidden="1">{"via1",#N/A,TRUE,"general";"via2",#N/A,TRUE,"general";"via3",#N/A,TRUE,"general"}</definedName>
    <definedName name="ddd" localSheetId="73" hidden="1">{"via1",#N/A,TRUE,"general";"via2",#N/A,TRUE,"general";"via3",#N/A,TRUE,"general"}</definedName>
    <definedName name="ddd" hidden="1">{"via1",#N/A,TRUE,"general";"via2",#N/A,TRUE,"general";"via3",#N/A,TRUE,"general"}</definedName>
    <definedName name="DDDD" localSheetId="5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localSheetId="73"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 localSheetId="1">#REF!</definedName>
    <definedName name="ddddd">#REF!</definedName>
    <definedName name="DDDDDDD" localSheetId="5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localSheetId="73"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50" hidden="1">{"via1",#N/A,TRUE,"general";"via2",#N/A,TRUE,"general";"via3",#N/A,TRUE,"general"}</definedName>
    <definedName name="ddddt" localSheetId="1" hidden="1">{"via1",#N/A,TRUE,"general";"via2",#N/A,TRUE,"general";"via3",#N/A,TRUE,"general"}</definedName>
    <definedName name="ddddt" localSheetId="73" hidden="1">{"via1",#N/A,TRUE,"general";"via2",#N/A,TRUE,"general";"via3",#N/A,TRUE,"general"}</definedName>
    <definedName name="ddddt" hidden="1">{"via1",#N/A,TRUE,"general";"via2",#N/A,TRUE,"general";"via3",#N/A,TRUE,"general"}</definedName>
    <definedName name="ddewdw" localSheetId="50"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73" hidden="1">{"TAB1",#N/A,TRUE,"GENERAL";"TAB2",#N/A,TRUE,"GENERAL";"TAB3",#N/A,TRUE,"GENERAL";"TAB4",#N/A,TRUE,"GENERAL";"TAB5",#N/A,TRUE,"GENERAL"}</definedName>
    <definedName name="ddewdw" hidden="1">{"TAB1",#N/A,TRUE,"GENERAL";"TAB2",#N/A,TRUE,"GENERAL";"TAB3",#N/A,TRUE,"GENERAL";"TAB4",#N/A,TRUE,"GENERAL";"TAB5",#N/A,TRUE,"GENERAL"}</definedName>
    <definedName name="DDFDDDD" localSheetId="1">#REF!</definedName>
    <definedName name="DDFDDDD">#REF!</definedName>
    <definedName name="ddfdh" localSheetId="50" hidden="1">{"TAB1",#N/A,TRUE,"GENERAL";"TAB2",#N/A,TRUE,"GENERAL";"TAB3",#N/A,TRUE,"GENERAL";"TAB4",#N/A,TRUE,"GENERAL";"TAB5",#N/A,TRUE,"GENERAL"}</definedName>
    <definedName name="ddfdh" localSheetId="1" hidden="1">{"TAB1",#N/A,TRUE,"GENERAL";"TAB2",#N/A,TRUE,"GENERAL";"TAB3",#N/A,TRUE,"GENERAL";"TAB4",#N/A,TRUE,"GENERAL";"TAB5",#N/A,TRUE,"GENERAL"}</definedName>
    <definedName name="ddfdh" localSheetId="73" hidden="1">{"TAB1",#N/A,TRUE,"GENERAL";"TAB2",#N/A,TRUE,"GENERAL";"TAB3",#N/A,TRUE,"GENERAL";"TAB4",#N/A,TRUE,"GENERAL";"TAB5",#N/A,TRUE,"GENERAL"}</definedName>
    <definedName name="ddfdh" hidden="1">{"TAB1",#N/A,TRUE,"GENERAL";"TAB2",#N/A,TRUE,"GENERAL";"TAB3",#N/A,TRUE,"GENERAL";"TAB4",#N/A,TRUE,"GENERAL";"TAB5",#N/A,TRUE,"GENERAL"}</definedName>
    <definedName name="DDGSDP" localSheetId="50"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73" hidden="1">{"TAB1",#N/A,TRUE,"GENERAL";"TAB2",#N/A,TRUE,"GENERAL";"TAB3",#N/A,TRUE,"GENERAL";"TAB4",#N/A,TRUE,"GENERAL";"TAB5",#N/A,TRUE,"GENERAL"}</definedName>
    <definedName name="DDGSDP" hidden="1">{"TAB1",#N/A,TRUE,"GENERAL";"TAB2",#N/A,TRUE,"GENERAL";"TAB3",#N/A,TRUE,"GENERAL";"TAB4",#N/A,TRUE,"GENERAL";"TAB5",#N/A,TRUE,"GENERAL"}</definedName>
    <definedName name="DE" localSheetId="1" hidden="1">#REF!</definedName>
    <definedName name="DE" hidden="1">#REF!</definedName>
    <definedName name="Dealpb" localSheetId="1" hidden="1">#REF!</definedName>
    <definedName name="Dealpb" hidden="1">#REF!</definedName>
    <definedName name="deded" localSheetId="50" hidden="1">{"TAB1",#N/A,TRUE,"GENERAL";"TAB2",#N/A,TRUE,"GENERAL";"TAB3",#N/A,TRUE,"GENERAL";"TAB4",#N/A,TRUE,"GENERAL";"TAB5",#N/A,TRUE,"GENERAL"}</definedName>
    <definedName name="deded" localSheetId="1" hidden="1">{"TAB1",#N/A,TRUE,"GENERAL";"TAB2",#N/A,TRUE,"GENERAL";"TAB3",#N/A,TRUE,"GENERAL";"TAB4",#N/A,TRUE,"GENERAL";"TAB5",#N/A,TRUE,"GENERAL"}</definedName>
    <definedName name="deded" localSheetId="73" hidden="1">{"TAB1",#N/A,TRUE,"GENERAL";"TAB2",#N/A,TRUE,"GENERAL";"TAB3",#N/A,TRUE,"GENERAL";"TAB4",#N/A,TRUE,"GENERAL";"TAB5",#N/A,TRUE,"GENERAL"}</definedName>
    <definedName name="deded" hidden="1">{"TAB1",#N/A,TRUE,"GENERAL";"TAB2",#N/A,TRUE,"GENERAL";"TAB3",#N/A,TRUE,"GENERAL";"TAB4",#N/A,TRUE,"GENERAL";"TAB5",#N/A,TRUE,"GENERAL"}</definedName>
    <definedName name="defd" localSheetId="50" hidden="1">{"via1",#N/A,TRUE,"general";"via2",#N/A,TRUE,"general";"via3",#N/A,TRUE,"general"}</definedName>
    <definedName name="defd" localSheetId="1" hidden="1">{"via1",#N/A,TRUE,"general";"via2",#N/A,TRUE,"general";"via3",#N/A,TRUE,"general"}</definedName>
    <definedName name="defd" localSheetId="73" hidden="1">{"via1",#N/A,TRUE,"general";"via2",#N/A,TRUE,"general";"via3",#N/A,TRUE,"general"}</definedName>
    <definedName name="defd" hidden="1">{"via1",#N/A,TRUE,"general";"via2",#N/A,TRUE,"general";"via3",#N/A,TRUE,"general"}</definedName>
    <definedName name="Deflexión" localSheetId="1">#REF!</definedName>
    <definedName name="Deflexión">#REF!</definedName>
    <definedName name="DEL" localSheetId="1" hidden="1">#REF!</definedName>
    <definedName name="DEL" hidden="1">#REF!</definedName>
    <definedName name="demanto" localSheetId="1">#REF!</definedName>
    <definedName name="demanto">#REF!</definedName>
    <definedName name="demolicion" localSheetId="1">#REF!</definedName>
    <definedName name="demolicion">#REF!</definedName>
    <definedName name="demolicioncuneta" localSheetId="1">#REF!</definedName>
    <definedName name="demolicioncuneta">#REF!</definedName>
    <definedName name="DepreciationPB" localSheetId="1" hidden="1">#REF!</definedName>
    <definedName name="DepreciationPB" hidden="1">#REF!</definedName>
    <definedName name="DESCAPOTOT" localSheetId="1">#REF!</definedName>
    <definedName name="DESCAPOTOT">#REF!</definedName>
    <definedName name="Descrip_cuadrillas" localSheetId="1">#REF!</definedName>
    <definedName name="Descrip_cuadrillas">#REF!</definedName>
    <definedName name="Descrip_equipos" localSheetId="1">#REF!</definedName>
    <definedName name="Descrip_equipos">#REF!</definedName>
    <definedName name="Descrip_transporte" localSheetId="1">#REF!</definedName>
    <definedName name="Descrip_transporte">#REF!</definedName>
    <definedName name="DEX" localSheetId="50">#REF!</definedName>
    <definedName name="DEX" localSheetId="1">#REF!</definedName>
    <definedName name="DEX">#REF!</definedName>
    <definedName name="df" localSheetId="50">#REF!</definedName>
    <definedName name="df" localSheetId="1">#REF!</definedName>
    <definedName name="df">#REF!</definedName>
    <definedName name="dfa" localSheetId="50" hidden="1">{"TAB1",#N/A,TRUE,"GENERAL";"TAB2",#N/A,TRUE,"GENERAL";"TAB3",#N/A,TRUE,"GENERAL";"TAB4",#N/A,TRUE,"GENERAL";"TAB5",#N/A,TRUE,"GENERAL"}</definedName>
    <definedName name="dfa" localSheetId="1" hidden="1">{"TAB1",#N/A,TRUE,"GENERAL";"TAB2",#N/A,TRUE,"GENERAL";"TAB3",#N/A,TRUE,"GENERAL";"TAB4",#N/A,TRUE,"GENERAL";"TAB5",#N/A,TRUE,"GENERAL"}</definedName>
    <definedName name="dfa" localSheetId="73" hidden="1">{"TAB1",#N/A,TRUE,"GENERAL";"TAB2",#N/A,TRUE,"GENERAL";"TAB3",#N/A,TRUE,"GENERAL";"TAB4",#N/A,TRUE,"GENERAL";"TAB5",#N/A,TRUE,"GENERAL"}</definedName>
    <definedName name="dfa" hidden="1">{"TAB1",#N/A,TRUE,"GENERAL";"TAB2",#N/A,TRUE,"GENERAL";"TAB3",#N/A,TRUE,"GENERAL";"TAB4",#N/A,TRUE,"GENERAL";"TAB5",#N/A,TRUE,"GENERAL"}</definedName>
    <definedName name="dfasd" localSheetId="50" hidden="1">{"TAB1",#N/A,TRUE,"GENERAL";"TAB2",#N/A,TRUE,"GENERAL";"TAB3",#N/A,TRUE,"GENERAL";"TAB4",#N/A,TRUE,"GENERAL";"TAB5",#N/A,TRUE,"GENERAL"}</definedName>
    <definedName name="dfasd" localSheetId="1" hidden="1">{"TAB1",#N/A,TRUE,"GENERAL";"TAB2",#N/A,TRUE,"GENERAL";"TAB3",#N/A,TRUE,"GENERAL";"TAB4",#N/A,TRUE,"GENERAL";"TAB5",#N/A,TRUE,"GENERAL"}</definedName>
    <definedName name="dfasd" localSheetId="73" hidden="1">{"TAB1",#N/A,TRUE,"GENERAL";"TAB2",#N/A,TRUE,"GENERAL";"TAB3",#N/A,TRUE,"GENERAL";"TAB4",#N/A,TRUE,"GENERAL";"TAB5",#N/A,TRUE,"GENERAL"}</definedName>
    <definedName name="dfasd" hidden="1">{"TAB1",#N/A,TRUE,"GENERAL";"TAB2",#N/A,TRUE,"GENERAL";"TAB3",#N/A,TRUE,"GENERAL";"TAB4",#N/A,TRUE,"GENERAL";"TAB5",#N/A,TRUE,"GENERAL"}</definedName>
    <definedName name="DFBNJ" localSheetId="50" hidden="1">{"via1",#N/A,TRUE,"general";"via2",#N/A,TRUE,"general";"via3",#N/A,TRUE,"general"}</definedName>
    <definedName name="DFBNJ" localSheetId="1" hidden="1">{"via1",#N/A,TRUE,"general";"via2",#N/A,TRUE,"general";"via3",#N/A,TRUE,"general"}</definedName>
    <definedName name="DFBNJ" localSheetId="73" hidden="1">{"via1",#N/A,TRUE,"general";"via2",#N/A,TRUE,"general";"via3",#N/A,TRUE,"general"}</definedName>
    <definedName name="DFBNJ" hidden="1">{"via1",#N/A,TRUE,"general";"via2",#N/A,TRUE,"general";"via3",#N/A,TRUE,"general"}</definedName>
    <definedName name="dfds" localSheetId="50" hidden="1">{"TAB1",#N/A,TRUE,"GENERAL";"TAB2",#N/A,TRUE,"GENERAL";"TAB3",#N/A,TRUE,"GENERAL";"TAB4",#N/A,TRUE,"GENERAL";"TAB5",#N/A,TRUE,"GENERAL"}</definedName>
    <definedName name="dfds" localSheetId="1" hidden="1">{"TAB1",#N/A,TRUE,"GENERAL";"TAB2",#N/A,TRUE,"GENERAL";"TAB3",#N/A,TRUE,"GENERAL";"TAB4",#N/A,TRUE,"GENERAL";"TAB5",#N/A,TRUE,"GENERAL"}</definedName>
    <definedName name="dfds" localSheetId="73" hidden="1">{"TAB1",#N/A,TRUE,"GENERAL";"TAB2",#N/A,TRUE,"GENERAL";"TAB3",#N/A,TRUE,"GENERAL";"TAB4",#N/A,TRUE,"GENERAL";"TAB5",#N/A,TRUE,"GENERAL"}</definedName>
    <definedName name="dfds" hidden="1">{"TAB1",#N/A,TRUE,"GENERAL";"TAB2",#N/A,TRUE,"GENERAL";"TAB3",#N/A,TRUE,"GENERAL";"TAB4",#N/A,TRUE,"GENERAL";"TAB5",#N/A,TRUE,"GENERAL"}</definedName>
    <definedName name="dfdsfi" localSheetId="50" hidden="1">{"via1",#N/A,TRUE,"general";"via2",#N/A,TRUE,"general";"via3",#N/A,TRUE,"general"}</definedName>
    <definedName name="dfdsfi" localSheetId="1" hidden="1">{"via1",#N/A,TRUE,"general";"via2",#N/A,TRUE,"general";"via3",#N/A,TRUE,"general"}</definedName>
    <definedName name="dfdsfi" localSheetId="73" hidden="1">{"via1",#N/A,TRUE,"general";"via2",#N/A,TRUE,"general";"via3",#N/A,TRUE,"general"}</definedName>
    <definedName name="dfdsfi" hidden="1">{"via1",#N/A,TRUE,"general";"via2",#N/A,TRUE,"general";"via3",#N/A,TRUE,"general"}</definedName>
    <definedName name="dffffe" localSheetId="50"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73" hidden="1">{"TAB1",#N/A,TRUE,"GENERAL";"TAB2",#N/A,TRUE,"GENERAL";"TAB3",#N/A,TRUE,"GENERAL";"TAB4",#N/A,TRUE,"GENERAL";"TAB5",#N/A,TRUE,"GENERAL"}</definedName>
    <definedName name="dffffe" hidden="1">{"TAB1",#N/A,TRUE,"GENERAL";"TAB2",#N/A,TRUE,"GENERAL";"TAB3",#N/A,TRUE,"GENERAL";"TAB4",#N/A,TRUE,"GENERAL";"TAB5",#N/A,TRUE,"GENERAL"}</definedName>
    <definedName name="DFG" localSheetId="50" hidden="1">{"via1",#N/A,TRUE,"general";"via2",#N/A,TRUE,"general";"via3",#N/A,TRUE,"general"}</definedName>
    <definedName name="DFG" localSheetId="1" hidden="1">{"via1",#N/A,TRUE,"general";"via2",#N/A,TRUE,"general";"via3",#N/A,TRUE,"general"}</definedName>
    <definedName name="DFG" localSheetId="73" hidden="1">{"via1",#N/A,TRUE,"general";"via2",#N/A,TRUE,"general";"via3",#N/A,TRUE,"general"}</definedName>
    <definedName name="DFG" hidden="1">{"via1",#N/A,TRUE,"general";"via2",#N/A,TRUE,"general";"via3",#N/A,TRUE,"general"}</definedName>
    <definedName name="DFGBHJ" localSheetId="50" hidden="1">{"via1",#N/A,TRUE,"general";"via2",#N/A,TRUE,"general";"via3",#N/A,TRUE,"general"}</definedName>
    <definedName name="DFGBHJ" localSheetId="1" hidden="1">{"via1",#N/A,TRUE,"general";"via2",#N/A,TRUE,"general";"via3",#N/A,TRUE,"general"}</definedName>
    <definedName name="DFGBHJ" localSheetId="73" hidden="1">{"via1",#N/A,TRUE,"general";"via2",#N/A,TRUE,"general";"via3",#N/A,TRUE,"general"}</definedName>
    <definedName name="DFGBHJ" hidden="1">{"via1",#N/A,TRUE,"general";"via2",#N/A,TRUE,"general";"via3",#N/A,TRUE,"general"}</definedName>
    <definedName name="DFGDFG" localSheetId="50" hidden="1">{"via1",#N/A,TRUE,"general";"via2",#N/A,TRUE,"general";"via3",#N/A,TRUE,"general"}</definedName>
    <definedName name="DFGDFG" localSheetId="1" hidden="1">{"via1",#N/A,TRUE,"general";"via2",#N/A,TRUE,"general";"via3",#N/A,TRUE,"general"}</definedName>
    <definedName name="DFGDFG" localSheetId="73" hidden="1">{"via1",#N/A,TRUE,"general";"via2",#N/A,TRUE,"general";"via3",#N/A,TRUE,"general"}</definedName>
    <definedName name="DFGDFG" hidden="1">{"via1",#N/A,TRUE,"general";"via2",#N/A,TRUE,"general";"via3",#N/A,TRUE,"general"}</definedName>
    <definedName name="DFGDYYB" localSheetId="50"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73" hidden="1">{"TAB1",#N/A,TRUE,"GENERAL";"TAB2",#N/A,TRUE,"GENERAL";"TAB3",#N/A,TRUE,"GENERAL";"TAB4",#N/A,TRUE,"GENERAL";"TAB5",#N/A,TRUE,"GENERAL"}</definedName>
    <definedName name="DFGDYYB" hidden="1">{"TAB1",#N/A,TRUE,"GENERAL";"TAB2",#N/A,TRUE,"GENERAL";"TAB3",#N/A,TRUE,"GENERAL";"TAB4",#N/A,TRUE,"GENERAL";"TAB5",#N/A,TRUE,"GENERAL"}</definedName>
    <definedName name="dfgf" localSheetId="50" hidden="1">{"via1",#N/A,TRUE,"general";"via2",#N/A,TRUE,"general";"via3",#N/A,TRUE,"general"}</definedName>
    <definedName name="dfgf" localSheetId="1" hidden="1">{"via1",#N/A,TRUE,"general";"via2",#N/A,TRUE,"general";"via3",#N/A,TRUE,"general"}</definedName>
    <definedName name="dfgf" localSheetId="73" hidden="1">{"via1",#N/A,TRUE,"general";"via2",#N/A,TRUE,"general";"via3",#N/A,TRUE,"general"}</definedName>
    <definedName name="dfgf" hidden="1">{"via1",#N/A,TRUE,"general";"via2",#N/A,TRUE,"general";"via3",#N/A,TRUE,"general"}</definedName>
    <definedName name="DFGFBOP" localSheetId="50"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73" hidden="1">{"TAB1",#N/A,TRUE,"GENERAL";"TAB2",#N/A,TRUE,"GENERAL";"TAB3",#N/A,TRUE,"GENERAL";"TAB4",#N/A,TRUE,"GENERAL";"TAB5",#N/A,TRUE,"GENERAL"}</definedName>
    <definedName name="DFGFBOP" hidden="1">{"TAB1",#N/A,TRUE,"GENERAL";"TAB2",#N/A,TRUE,"GENERAL";"TAB3",#N/A,TRUE,"GENERAL";"TAB4",#N/A,TRUE,"GENERAL";"TAB5",#N/A,TRUE,"GENERAL"}</definedName>
    <definedName name="DFGFDG" localSheetId="50"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73" hidden="1">{"TAB1",#N/A,TRUE,"GENERAL";"TAB2",#N/A,TRUE,"GENERAL";"TAB3",#N/A,TRUE,"GENERAL";"TAB4",#N/A,TRUE,"GENERAL";"TAB5",#N/A,TRUE,"GENERAL"}</definedName>
    <definedName name="DFGFDG" hidden="1">{"TAB1",#N/A,TRUE,"GENERAL";"TAB2",#N/A,TRUE,"GENERAL";"TAB3",#N/A,TRUE,"GENERAL";"TAB4",#N/A,TRUE,"GENERAL";"TAB5",#N/A,TRUE,"GENERAL"}</definedName>
    <definedName name="DFGV" localSheetId="50" hidden="1">{"TAB1",#N/A,TRUE,"GENERAL";"TAB2",#N/A,TRUE,"GENERAL";"TAB3",#N/A,TRUE,"GENERAL";"TAB4",#N/A,TRUE,"GENERAL";"TAB5",#N/A,TRUE,"GENERAL"}</definedName>
    <definedName name="DFGV" localSheetId="1" hidden="1">{"TAB1",#N/A,TRUE,"GENERAL";"TAB2",#N/A,TRUE,"GENERAL";"TAB3",#N/A,TRUE,"GENERAL";"TAB4",#N/A,TRUE,"GENERAL";"TAB5",#N/A,TRUE,"GENERAL"}</definedName>
    <definedName name="DFGV" localSheetId="73" hidden="1">{"TAB1",#N/A,TRUE,"GENERAL";"TAB2",#N/A,TRUE,"GENERAL";"TAB3",#N/A,TRUE,"GENERAL";"TAB4",#N/A,TRUE,"GENERAL";"TAB5",#N/A,TRUE,"GENERAL"}</definedName>
    <definedName name="DFGV" hidden="1">{"TAB1",#N/A,TRUE,"GENERAL";"TAB2",#N/A,TRUE,"GENERAL";"TAB3",#N/A,TRUE,"GENERAL";"TAB4",#N/A,TRUE,"GENERAL";"TAB5",#N/A,TRUE,"GENERAL"}</definedName>
    <definedName name="dfgypuj" localSheetId="50"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73" hidden="1">{"TAB1",#N/A,TRUE,"GENERAL";"TAB2",#N/A,TRUE,"GENERAL";"TAB3",#N/A,TRUE,"GENERAL";"TAB4",#N/A,TRUE,"GENERAL";"TAB5",#N/A,TRUE,"GENERAL"}</definedName>
    <definedName name="dfgypuj" hidden="1">{"TAB1",#N/A,TRUE,"GENERAL";"TAB2",#N/A,TRUE,"GENERAL";"TAB3",#N/A,TRUE,"GENERAL";"TAB4",#N/A,TRUE,"GENERAL";"TAB5",#N/A,TRUE,"GENERAL"}</definedName>
    <definedName name="dfh" localSheetId="50" hidden="1">{"TAB1",#N/A,TRUE,"GENERAL";"TAB2",#N/A,TRUE,"GENERAL";"TAB3",#N/A,TRUE,"GENERAL";"TAB4",#N/A,TRUE,"GENERAL";"TAB5",#N/A,TRUE,"GENERAL"}</definedName>
    <definedName name="dfh" localSheetId="1" hidden="1">{"TAB1",#N/A,TRUE,"GENERAL";"TAB2",#N/A,TRUE,"GENERAL";"TAB3",#N/A,TRUE,"GENERAL";"TAB4",#N/A,TRUE,"GENERAL";"TAB5",#N/A,TRUE,"GENERAL"}</definedName>
    <definedName name="dfh" localSheetId="73" hidden="1">{"TAB1",#N/A,TRUE,"GENERAL";"TAB2",#N/A,TRUE,"GENERAL";"TAB3",#N/A,TRUE,"GENERAL";"TAB4",#N/A,TRUE,"GENERAL";"TAB5",#N/A,TRUE,"GENERAL"}</definedName>
    <definedName name="dfh" hidden="1">{"TAB1",#N/A,TRUE,"GENERAL";"TAB2",#N/A,TRUE,"GENERAL";"TAB3",#N/A,TRUE,"GENERAL";"TAB4",#N/A,TRUE,"GENERAL";"TAB5",#N/A,TRUE,"GENERAL"}</definedName>
    <definedName name="dfhdr" localSheetId="50" hidden="1">{"via1",#N/A,TRUE,"general";"via2",#N/A,TRUE,"general";"via3",#N/A,TRUE,"general"}</definedName>
    <definedName name="dfhdr" localSheetId="1" hidden="1">{"via1",#N/A,TRUE,"general";"via2",#N/A,TRUE,"general";"via3",#N/A,TRUE,"general"}</definedName>
    <definedName name="dfhdr" localSheetId="73" hidden="1">{"via1",#N/A,TRUE,"general";"via2",#N/A,TRUE,"general";"via3",#N/A,TRUE,"general"}</definedName>
    <definedName name="dfhdr" hidden="1">{"via1",#N/A,TRUE,"general";"via2",#N/A,TRUE,"general";"via3",#N/A,TRUE,"general"}</definedName>
    <definedName name="dfhgh" localSheetId="50" hidden="1">{"via1",#N/A,TRUE,"general";"via2",#N/A,TRUE,"general";"via3",#N/A,TRUE,"general"}</definedName>
    <definedName name="dfhgh" localSheetId="1" hidden="1">{"via1",#N/A,TRUE,"general";"via2",#N/A,TRUE,"general";"via3",#N/A,TRUE,"general"}</definedName>
    <definedName name="dfhgh" localSheetId="73" hidden="1">{"via1",#N/A,TRUE,"general";"via2",#N/A,TRUE,"general";"via3",#N/A,TRUE,"general"}</definedName>
    <definedName name="dfhgh" hidden="1">{"via1",#N/A,TRUE,"general";"via2",#N/A,TRUE,"general";"via3",#N/A,TRUE,"general"}</definedName>
    <definedName name="dfj" localSheetId="50" hidden="1">{"via1",#N/A,TRUE,"general";"via2",#N/A,TRUE,"general";"via3",#N/A,TRUE,"general"}</definedName>
    <definedName name="dfj" localSheetId="1" hidden="1">{"via1",#N/A,TRUE,"general";"via2",#N/A,TRUE,"general";"via3",#N/A,TRUE,"general"}</definedName>
    <definedName name="dfj" localSheetId="73" hidden="1">{"via1",#N/A,TRUE,"general";"via2",#N/A,TRUE,"general";"via3",#N/A,TRUE,"general"}</definedName>
    <definedName name="dfj" hidden="1">{"via1",#N/A,TRUE,"general";"via2",#N/A,TRUE,"general";"via3",#N/A,TRUE,"general"}</definedName>
    <definedName name="DFRFRF" localSheetId="50" hidden="1">{"via1",#N/A,TRUE,"general";"via2",#N/A,TRUE,"general";"via3",#N/A,TRUE,"general"}</definedName>
    <definedName name="DFRFRF" localSheetId="1" hidden="1">{"via1",#N/A,TRUE,"general";"via2",#N/A,TRUE,"general";"via3",#N/A,TRUE,"general"}</definedName>
    <definedName name="DFRFRF" localSheetId="73" hidden="1">{"via1",#N/A,TRUE,"general";"via2",#N/A,TRUE,"general";"via3",#N/A,TRUE,"general"}</definedName>
    <definedName name="DFRFRF" hidden="1">{"via1",#N/A,TRUE,"general";"via2",#N/A,TRUE,"general";"via3",#N/A,TRUE,"general"}</definedName>
    <definedName name="DFVUI" localSheetId="50" hidden="1">{"via1",#N/A,TRUE,"general";"via2",#N/A,TRUE,"general";"via3",#N/A,TRUE,"general"}</definedName>
    <definedName name="DFVUI" localSheetId="1" hidden="1">{"via1",#N/A,TRUE,"general";"via2",#N/A,TRUE,"general";"via3",#N/A,TRUE,"general"}</definedName>
    <definedName name="DFVUI" localSheetId="73" hidden="1">{"via1",#N/A,TRUE,"general";"via2",#N/A,TRUE,"general";"via3",#N/A,TRUE,"general"}</definedName>
    <definedName name="DFVUI" hidden="1">{"via1",#N/A,TRUE,"general";"via2",#N/A,TRUE,"general";"via3",#N/A,TRUE,"general"}</definedName>
    <definedName name="dg" localSheetId="50" hidden="1">{"via1",#N/A,TRUE,"general";"via2",#N/A,TRUE,"general";"via3",#N/A,TRUE,"general"}</definedName>
    <definedName name="dg" localSheetId="1" hidden="1">{"via1",#N/A,TRUE,"general";"via2",#N/A,TRUE,"general";"via3",#N/A,TRUE,"general"}</definedName>
    <definedName name="dg" localSheetId="73" hidden="1">{"via1",#N/A,TRUE,"general";"via2",#N/A,TRUE,"general";"via3",#N/A,TRUE,"general"}</definedName>
    <definedName name="dg" hidden="1">{"via1",#N/A,TRUE,"general";"via2",#N/A,TRUE,"general";"via3",#N/A,TRUE,"general"}</definedName>
    <definedName name="dgdgr" localSheetId="50" hidden="1">{"via1",#N/A,TRUE,"general";"via2",#N/A,TRUE,"general";"via3",#N/A,TRUE,"general"}</definedName>
    <definedName name="dgdgr" localSheetId="1" hidden="1">{"via1",#N/A,TRUE,"general";"via2",#N/A,TRUE,"general";"via3",#N/A,TRUE,"general"}</definedName>
    <definedName name="dgdgr" localSheetId="73" hidden="1">{"via1",#N/A,TRUE,"general";"via2",#N/A,TRUE,"general";"via3",#N/A,TRUE,"general"}</definedName>
    <definedName name="dgdgr" hidden="1">{"via1",#N/A,TRUE,"general";"via2",#N/A,TRUE,"general";"via3",#N/A,TRUE,"general"}</definedName>
    <definedName name="dgfd" localSheetId="50" hidden="1">{"TAB1",#N/A,TRUE,"GENERAL";"TAB2",#N/A,TRUE,"GENERAL";"TAB3",#N/A,TRUE,"GENERAL";"TAB4",#N/A,TRUE,"GENERAL";"TAB5",#N/A,TRUE,"GENERAL"}</definedName>
    <definedName name="dgfd" localSheetId="1" hidden="1">{"TAB1",#N/A,TRUE,"GENERAL";"TAB2",#N/A,TRUE,"GENERAL";"TAB3",#N/A,TRUE,"GENERAL";"TAB4",#N/A,TRUE,"GENERAL";"TAB5",#N/A,TRUE,"GENERAL"}</definedName>
    <definedName name="dgfd" localSheetId="73" hidden="1">{"TAB1",#N/A,TRUE,"GENERAL";"TAB2",#N/A,TRUE,"GENERAL";"TAB3",#N/A,TRUE,"GENERAL";"TAB4",#N/A,TRUE,"GENERAL";"TAB5",#N/A,TRUE,"GENERAL"}</definedName>
    <definedName name="dgfd" hidden="1">{"TAB1",#N/A,TRUE,"GENERAL";"TAB2",#N/A,TRUE,"GENERAL";"TAB3",#N/A,TRUE,"GENERAL";"TAB4",#N/A,TRUE,"GENERAL";"TAB5",#N/A,TRUE,"GENERAL"}</definedName>
    <definedName name="DGFDFVSDF" localSheetId="50" hidden="1">{"via1",#N/A,TRUE,"general";"via2",#N/A,TRUE,"general";"via3",#N/A,TRUE,"general"}</definedName>
    <definedName name="DGFDFVSDF" localSheetId="1" hidden="1">{"via1",#N/A,TRUE,"general";"via2",#N/A,TRUE,"general";"via3",#N/A,TRUE,"general"}</definedName>
    <definedName name="DGFDFVSDF" localSheetId="73" hidden="1">{"via1",#N/A,TRUE,"general";"via2",#N/A,TRUE,"general";"via3",#N/A,TRUE,"general"}</definedName>
    <definedName name="DGFDFVSDF" hidden="1">{"via1",#N/A,TRUE,"general";"via2",#N/A,TRUE,"general";"via3",#N/A,TRUE,"general"}</definedName>
    <definedName name="dgfdg" localSheetId="50" hidden="1">{"via1",#N/A,TRUE,"general";"via2",#N/A,TRUE,"general";"via3",#N/A,TRUE,"general"}</definedName>
    <definedName name="dgfdg" localSheetId="1" hidden="1">{"via1",#N/A,TRUE,"general";"via2",#N/A,TRUE,"general";"via3",#N/A,TRUE,"general"}</definedName>
    <definedName name="dgfdg" localSheetId="73" hidden="1">{"via1",#N/A,TRUE,"general";"via2",#N/A,TRUE,"general";"via3",#N/A,TRUE,"general"}</definedName>
    <definedName name="dgfdg" hidden="1">{"via1",#N/A,TRUE,"general";"via2",#N/A,TRUE,"general";"via3",#N/A,TRUE,"general"}</definedName>
    <definedName name="DGFG" localSheetId="50" hidden="1">{"via1",#N/A,TRUE,"general";"via2",#N/A,TRUE,"general";"via3",#N/A,TRUE,"general"}</definedName>
    <definedName name="DGFG" localSheetId="1" hidden="1">{"via1",#N/A,TRUE,"general";"via2",#N/A,TRUE,"general";"via3",#N/A,TRUE,"general"}</definedName>
    <definedName name="DGFG" localSheetId="73" hidden="1">{"via1",#N/A,TRUE,"general";"via2",#N/A,TRUE,"general";"via3",#N/A,TRUE,"general"}</definedName>
    <definedName name="DGFG" hidden="1">{"via1",#N/A,TRUE,"general";"via2",#N/A,TRUE,"general";"via3",#N/A,TRUE,"general"}</definedName>
    <definedName name="dgfsado" localSheetId="50"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73" hidden="1">{"TAB1",#N/A,TRUE,"GENERAL";"TAB2",#N/A,TRUE,"GENERAL";"TAB3",#N/A,TRUE,"GENERAL";"TAB4",#N/A,TRUE,"GENERAL";"TAB5",#N/A,TRUE,"GENERAL"}</definedName>
    <definedName name="dgfsado" hidden="1">{"TAB1",#N/A,TRUE,"GENERAL";"TAB2",#N/A,TRUE,"GENERAL";"TAB3",#N/A,TRUE,"GENERAL";"TAB4",#N/A,TRUE,"GENERAL";"TAB5",#N/A,TRUE,"GENERAL"}</definedName>
    <definedName name="dgrdeb" localSheetId="50"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73" hidden="1">{"TAB1",#N/A,TRUE,"GENERAL";"TAB2",#N/A,TRUE,"GENERAL";"TAB3",#N/A,TRUE,"GENERAL";"TAB4",#N/A,TRUE,"GENERAL";"TAB5",#N/A,TRUE,"GENERAL"}</definedName>
    <definedName name="dgrdeb" hidden="1">{"TAB1",#N/A,TRUE,"GENERAL";"TAB2",#N/A,TRUE,"GENERAL";"TAB3",#N/A,TRUE,"GENERAL";"TAB4",#N/A,TRUE,"GENERAL";"TAB5",#N/A,TRUE,"GENERAL"}</definedName>
    <definedName name="dgreg" localSheetId="50" hidden="1">{"via1",#N/A,TRUE,"general";"via2",#N/A,TRUE,"general";"via3",#N/A,TRUE,"general"}</definedName>
    <definedName name="dgreg" localSheetId="1" hidden="1">{"via1",#N/A,TRUE,"general";"via2",#N/A,TRUE,"general";"via3",#N/A,TRUE,"general"}</definedName>
    <definedName name="dgreg" localSheetId="73" hidden="1">{"via1",#N/A,TRUE,"general";"via2",#N/A,TRUE,"general";"via3",#N/A,TRUE,"general"}</definedName>
    <definedName name="dgreg" hidden="1">{"via1",#N/A,TRUE,"general";"via2",#N/A,TRUE,"general";"via3",#N/A,TRUE,"general"}</definedName>
    <definedName name="DH" localSheetId="50" hidden="1">{"via1",#N/A,TRUE,"general";"via2",#N/A,TRUE,"general";"via3",#N/A,TRUE,"general"}</definedName>
    <definedName name="DH" localSheetId="1" hidden="1">{"via1",#N/A,TRUE,"general";"via2",#N/A,TRUE,"general";"via3",#N/A,TRUE,"general"}</definedName>
    <definedName name="DH" localSheetId="73" hidden="1">{"via1",#N/A,TRUE,"general";"via2",#N/A,TRUE,"general";"via3",#N/A,TRUE,"general"}</definedName>
    <definedName name="DH" hidden="1">{"via1",#N/A,TRUE,"general";"via2",#N/A,TRUE,"general";"via3",#N/A,TRUE,"general"}</definedName>
    <definedName name="dhdth" localSheetId="50" hidden="1">{"TAB1",#N/A,TRUE,"GENERAL";"TAB2",#N/A,TRUE,"GENERAL";"TAB3",#N/A,TRUE,"GENERAL";"TAB4",#N/A,TRUE,"GENERAL";"TAB5",#N/A,TRUE,"GENERAL"}</definedName>
    <definedName name="dhdth" localSheetId="1" hidden="1">{"TAB1",#N/A,TRUE,"GENERAL";"TAB2",#N/A,TRUE,"GENERAL";"TAB3",#N/A,TRUE,"GENERAL";"TAB4",#N/A,TRUE,"GENERAL";"TAB5",#N/A,TRUE,"GENERAL"}</definedName>
    <definedName name="dhdth" localSheetId="73" hidden="1">{"TAB1",#N/A,TRUE,"GENERAL";"TAB2",#N/A,TRUE,"GENERAL";"TAB3",#N/A,TRUE,"GENERAL";"TAB4",#N/A,TRUE,"GENERAL";"TAB5",#N/A,TRUE,"GENERAL"}</definedName>
    <definedName name="dhdth" hidden="1">{"TAB1",#N/A,TRUE,"GENERAL";"TAB2",#N/A,TRUE,"GENERAL";"TAB3",#N/A,TRUE,"GENERAL";"TAB4",#N/A,TRUE,"GENERAL";"TAB5",#N/A,TRUE,"GENERAL"}</definedName>
    <definedName name="dhgh" localSheetId="50" hidden="1">{"via1",#N/A,TRUE,"general";"via2",#N/A,TRUE,"general";"via3",#N/A,TRUE,"general"}</definedName>
    <definedName name="dhgh" localSheetId="1" hidden="1">{"via1",#N/A,TRUE,"general";"via2",#N/A,TRUE,"general";"via3",#N/A,TRUE,"general"}</definedName>
    <definedName name="dhgh" localSheetId="73" hidden="1">{"via1",#N/A,TRUE,"general";"via2",#N/A,TRUE,"general";"via3",#N/A,TRUE,"general"}</definedName>
    <definedName name="dhgh" hidden="1">{"via1",#N/A,TRUE,"general";"via2",#N/A,TRUE,"general";"via3",#N/A,TRUE,"general"}</definedName>
    <definedName name="di" localSheetId="1">#REF!</definedName>
    <definedName name="di">#REF!</definedName>
    <definedName name="Diagonales_070" localSheetId="1">#REF!</definedName>
    <definedName name="Diagonales_070">#REF!</definedName>
    <definedName name="Diametro" localSheetId="1">#REF!</definedName>
    <definedName name="Diametro">#REF!</definedName>
    <definedName name="Dif.Este" localSheetId="1">#REF!</definedName>
    <definedName name="Dif.Este">#REF!</definedName>
    <definedName name="Dif.Norte" localSheetId="1">#REF!</definedName>
    <definedName name="Dif.Norte">#REF!</definedName>
    <definedName name="DINTELES" localSheetId="1">#REF!</definedName>
    <definedName name="DINTELES">#REF!</definedName>
    <definedName name="Director_Administrativo" localSheetId="1">#REF!</definedName>
    <definedName name="Director_Administrativo">#REF!</definedName>
    <definedName name="Distancia" localSheetId="1">#REF!</definedName>
    <definedName name="Distancia">#REF!</definedName>
    <definedName name="dj" localSheetId="50">#REF!</definedName>
    <definedName name="dj" localSheetId="1">#REF!</definedName>
    <definedName name="dj">#REF!</definedName>
    <definedName name="djdytj" localSheetId="50"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73" hidden="1">{"TAB1",#N/A,TRUE,"GENERAL";"TAB2",#N/A,TRUE,"GENERAL";"TAB3",#N/A,TRUE,"GENERAL";"TAB4",#N/A,TRUE,"GENERAL";"TAB5",#N/A,TRUE,"GENERAL"}</definedName>
    <definedName name="djdytj" hidden="1">{"TAB1",#N/A,TRUE,"GENERAL";"TAB2",#N/A,TRUE,"GENERAL";"TAB3",#N/A,TRUE,"GENERAL";"TAB4",#N/A,TRUE,"GENERAL";"TAB5",#N/A,TRUE,"GENERAL"}</definedName>
    <definedName name="dl" localSheetId="1">#REF!</definedName>
    <definedName name="dl">#REF!</definedName>
    <definedName name="dm" localSheetId="1">#REF!</definedName>
    <definedName name="dm">#REF!</definedName>
    <definedName name="do" localSheetId="1">#REF!</definedName>
    <definedName name="do">#REF!</definedName>
    <definedName name="DOM160X20_S1" localSheetId="1">#REF!</definedName>
    <definedName name="DOM160X20_S1">#REF!</definedName>
    <definedName name="DOM160X20_S2" localSheetId="1">#REF!</definedName>
    <definedName name="DOM160X20_S2">#REF!</definedName>
    <definedName name="DOM160X20_S3" localSheetId="1">#REF!</definedName>
    <definedName name="DOM160X20_S3">#REF!</definedName>
    <definedName name="DOM160X20_S4" localSheetId="1">#REF!</definedName>
    <definedName name="DOM160X20_S4">#REF!</definedName>
    <definedName name="DOM160X20_S5" localSheetId="1">#REF!</definedName>
    <definedName name="DOM160X20_S5">#REF!</definedName>
    <definedName name="DOM160X20_S6" localSheetId="1">#REF!</definedName>
    <definedName name="DOM160X20_S6">#REF!</definedName>
    <definedName name="DOM160X32_S1" localSheetId="1">#REF!</definedName>
    <definedName name="DOM160X32_S1">#REF!</definedName>
    <definedName name="DOM160X32_S2" localSheetId="1">#REF!</definedName>
    <definedName name="DOM160X32_S2">#REF!</definedName>
    <definedName name="DOM160X32_S3" localSheetId="1">#REF!</definedName>
    <definedName name="DOM160X32_S3">#REF!</definedName>
    <definedName name="DOM160X32_S4" localSheetId="1">#REF!</definedName>
    <definedName name="DOM160X32_S4">#REF!</definedName>
    <definedName name="DOM160X32_S5" localSheetId="1">#REF!</definedName>
    <definedName name="DOM160X32_S5">#REF!</definedName>
    <definedName name="DOM160X32_S6" localSheetId="1">#REF!</definedName>
    <definedName name="DOM160X32_S6">#REF!</definedName>
    <definedName name="DOM200X20_S1" localSheetId="1">#REF!</definedName>
    <definedName name="DOM200X20_S1">#REF!</definedName>
    <definedName name="DOM200X20_S2" localSheetId="1">#REF!</definedName>
    <definedName name="DOM200X20_S2">#REF!</definedName>
    <definedName name="DOM200X20_S3" localSheetId="1">#REF!</definedName>
    <definedName name="DOM200X20_S3">#REF!</definedName>
    <definedName name="DOM200X20_S4" localSheetId="1">#REF!</definedName>
    <definedName name="DOM200X20_S4">#REF!</definedName>
    <definedName name="DOM200X20_S5" localSheetId="1">#REF!</definedName>
    <definedName name="DOM200X20_S5">#REF!</definedName>
    <definedName name="DOM200X20_S6" localSheetId="1">#REF!</definedName>
    <definedName name="DOM200X20_S6">#REF!</definedName>
    <definedName name="DOM200X32_S1" localSheetId="1">#REF!</definedName>
    <definedName name="DOM200X32_S1">#REF!</definedName>
    <definedName name="DOM200X32_S2" localSheetId="1">#REF!</definedName>
    <definedName name="DOM200X32_S2">#REF!</definedName>
    <definedName name="DOM200X32_S3" localSheetId="1">#REF!</definedName>
    <definedName name="DOM200X32_S3">#REF!</definedName>
    <definedName name="DOM200X32_S4" localSheetId="1">#REF!</definedName>
    <definedName name="DOM200X32_S4">#REF!</definedName>
    <definedName name="DOM200X32_S5" localSheetId="1">#REF!</definedName>
    <definedName name="DOM200X32_S5">#REF!</definedName>
    <definedName name="DOM200X32_S6" localSheetId="1">#REF!</definedName>
    <definedName name="DOM200X32_S6">#REF!</definedName>
    <definedName name="DOM90X20_S1" localSheetId="1">#REF!</definedName>
    <definedName name="DOM90X20_S1">#REF!</definedName>
    <definedName name="DOM90X20_S2" localSheetId="1">#REF!</definedName>
    <definedName name="DOM90X20_S2">#REF!</definedName>
    <definedName name="DOM90X20_S3" localSheetId="1">#REF!</definedName>
    <definedName name="DOM90X20_S3">#REF!</definedName>
    <definedName name="DOM90X20_S4" localSheetId="1">#REF!</definedName>
    <definedName name="DOM90X20_S4">#REF!</definedName>
    <definedName name="DOM90X20_S5" localSheetId="1">#REF!</definedName>
    <definedName name="DOM90X20_S5">#REF!</definedName>
    <definedName name="DOM90X20_S6" localSheetId="1">#REF!</definedName>
    <definedName name="DOM90X20_S6">#REF!</definedName>
    <definedName name="DOM90X32_S1" localSheetId="1">#REF!</definedName>
    <definedName name="DOM90X32_S1">#REF!</definedName>
    <definedName name="DOM90X32_S2" localSheetId="1">#REF!</definedName>
    <definedName name="DOM90X32_S2">#REF!</definedName>
    <definedName name="DOM90X32_S3" localSheetId="1">#REF!</definedName>
    <definedName name="DOM90X32_S3">#REF!</definedName>
    <definedName name="DOM90X32_S4" localSheetId="1">#REF!</definedName>
    <definedName name="DOM90X32_S4">#REF!</definedName>
    <definedName name="DOM90X32_S5" localSheetId="1">#REF!</definedName>
    <definedName name="DOM90X32_S5">#REF!</definedName>
    <definedName name="DOM90X32_S6" localSheetId="1">#REF!</definedName>
    <definedName name="DOM90X32_S6">#REF!</definedName>
    <definedName name="DOMESP90X63_S1" localSheetId="1">#REF!</definedName>
    <definedName name="DOMESP90X63_S1">#REF!</definedName>
    <definedName name="DOMESP90X63_S2" localSheetId="1">#REF!</definedName>
    <definedName name="DOMESP90X63_S2">#REF!</definedName>
    <definedName name="DOMESP90X63_S3" localSheetId="1">#REF!</definedName>
    <definedName name="DOMESP90X63_S3">#REF!</definedName>
    <definedName name="DOMESP90X63_S4" localSheetId="1">#REF!</definedName>
    <definedName name="DOMESP90X63_S4">#REF!</definedName>
    <definedName name="DOMESP90X63_S5" localSheetId="1">#REF!</definedName>
    <definedName name="DOMESP90X63_S5">#REF!</definedName>
    <definedName name="DOMESP90X63_S6" localSheetId="1">#REF!</definedName>
    <definedName name="DOMESP90X63_S6">#REF!</definedName>
    <definedName name="DOR" localSheetId="1">#REF!</definedName>
    <definedName name="DOR">#REF!</definedName>
    <definedName name="DOS" localSheetId="50" hidden="1">{#N/A,#N/A,TRUE,"INGENIERIA";#N/A,#N/A,TRUE,"COMPRAS";#N/A,#N/A,TRUE,"DIRECCION";#N/A,#N/A,TRUE,"RESUMEN"}</definedName>
    <definedName name="DOS" localSheetId="1" hidden="1">{#N/A,#N/A,TRUE,"INGENIERIA";#N/A,#N/A,TRUE,"COMPRAS";#N/A,#N/A,TRUE,"DIRECCION";#N/A,#N/A,TRUE,"RESUMEN"}</definedName>
    <definedName name="DOS" hidden="1">{#N/A,#N/A,TRUE,"INGENIERIA";#N/A,#N/A,TRUE,"COMPRAS";#N/A,#N/A,TRUE,"DIRECCION";#N/A,#N/A,TRUE,"RESUMEN"}</definedName>
    <definedName name="DotA" localSheetId="1">#REF!</definedName>
    <definedName name="DotA">#REF!</definedName>
    <definedName name="DOZER" localSheetId="1">#REF!</definedName>
    <definedName name="DOZER">#REF!</definedName>
    <definedName name="Dp" localSheetId="1">#REF!</definedName>
    <definedName name="Dp">#REF!</definedName>
    <definedName name="drf" localSheetId="1">#REF!</definedName>
    <definedName name="drf">#REF!</definedName>
    <definedName name="dry" localSheetId="50" hidden="1">{"via1",#N/A,TRUE,"general";"via2",#N/A,TRUE,"general";"via3",#N/A,TRUE,"general"}</definedName>
    <definedName name="dry" localSheetId="1" hidden="1">{"via1",#N/A,TRUE,"general";"via2",#N/A,TRUE,"general";"via3",#N/A,TRUE,"general"}</definedName>
    <definedName name="dry" localSheetId="73" hidden="1">{"via1",#N/A,TRUE,"general";"via2",#N/A,TRUE,"general";"via3",#N/A,TRUE,"general"}</definedName>
    <definedName name="dry" hidden="1">{"via1",#N/A,TRUE,"general";"via2",#N/A,TRUE,"general";"via3",#N/A,TRUE,"general"}</definedName>
    <definedName name="DS" localSheetId="1">#REF!</definedName>
    <definedName name="DS">#REF!</definedName>
    <definedName name="DSA" localSheetId="1">#REF!</definedName>
    <definedName name="DSA">#REF!</definedName>
    <definedName name="DSAD" localSheetId="50" hidden="1">{"via1",#N/A,TRUE,"general";"via2",#N/A,TRUE,"general";"via3",#N/A,TRUE,"general"}</definedName>
    <definedName name="DSAD" localSheetId="1" hidden="1">{"via1",#N/A,TRUE,"general";"via2",#N/A,TRUE,"general";"via3",#N/A,TRUE,"general"}</definedName>
    <definedName name="DSAD" localSheetId="73" hidden="1">{"via1",#N/A,TRUE,"general";"via2",#N/A,TRUE,"general";"via3",#N/A,TRUE,"general"}</definedName>
    <definedName name="DSAD" hidden="1">{"via1",#N/A,TRUE,"general";"via2",#N/A,TRUE,"general";"via3",#N/A,TRUE,"general"}</definedName>
    <definedName name="dsadfp" localSheetId="50"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73" hidden="1">{"TAB1",#N/A,TRUE,"GENERAL";"TAB2",#N/A,TRUE,"GENERAL";"TAB3",#N/A,TRUE,"GENERAL";"TAB4",#N/A,TRUE,"GENERAL";"TAB5",#N/A,TRUE,"GENERAL"}</definedName>
    <definedName name="dsadfp" hidden="1">{"TAB1",#N/A,TRUE,"GENERAL";"TAB2",#N/A,TRUE,"GENERAL";"TAB3",#N/A,TRUE,"GENERAL";"TAB4",#N/A,TRUE,"GENERAL";"TAB5",#N/A,TRUE,"GENERAL"}</definedName>
    <definedName name="DSD" localSheetId="50" hidden="1">{"via1",#N/A,TRUE,"general";"via2",#N/A,TRUE,"general";"via3",#N/A,TRUE,"general"}</definedName>
    <definedName name="DSD" localSheetId="1" hidden="1">{"via1",#N/A,TRUE,"general";"via2",#N/A,TRUE,"general";"via3",#N/A,TRUE,"general"}</definedName>
    <definedName name="DSD" localSheetId="73" hidden="1">{"via1",#N/A,TRUE,"general";"via2",#N/A,TRUE,"general";"via3",#N/A,TRUE,"general"}</definedName>
    <definedName name="DSD" hidden="1">{"via1",#N/A,TRUE,"general";"via2",#N/A,TRUE,"general";"via3",#N/A,TRUE,"general"}</definedName>
    <definedName name="dsdads4" localSheetId="50"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73" hidden="1">{"TAB1",#N/A,TRUE,"GENERAL";"TAB2",#N/A,TRUE,"GENERAL";"TAB3",#N/A,TRUE,"GENERAL";"TAB4",#N/A,TRUE,"GENERAL";"TAB5",#N/A,TRUE,"GENERAL"}</definedName>
    <definedName name="dsdads4" hidden="1">{"TAB1",#N/A,TRUE,"GENERAL";"TAB2",#N/A,TRUE,"GENERAL";"TAB3",#N/A,TRUE,"GENERAL";"TAB4",#N/A,TRUE,"GENERAL";"TAB5",#N/A,TRUE,"GENERAL"}</definedName>
    <definedName name="DSF" localSheetId="50" hidden="1">{"via1",#N/A,TRUE,"general";"via2",#N/A,TRUE,"general";"via3",#N/A,TRUE,"general"}</definedName>
    <definedName name="DSF" localSheetId="1" hidden="1">{"via1",#N/A,TRUE,"general";"via2",#N/A,TRUE,"general";"via3",#N/A,TRUE,"general"}</definedName>
    <definedName name="DSF" localSheetId="73" hidden="1">{"via1",#N/A,TRUE,"general";"via2",#N/A,TRUE,"general";"via3",#N/A,TRUE,"general"}</definedName>
    <definedName name="DSF" hidden="1">{"via1",#N/A,TRUE,"general";"via2",#N/A,TRUE,"general";"via3",#N/A,TRUE,"general"}</definedName>
    <definedName name="DSFCVTY" localSheetId="50"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73" hidden="1">{"TAB1",#N/A,TRUE,"GENERAL";"TAB2",#N/A,TRUE,"GENERAL";"TAB3",#N/A,TRUE,"GENERAL";"TAB4",#N/A,TRUE,"GENERAL";"TAB5",#N/A,TRUE,"GENERAL"}</definedName>
    <definedName name="DSFCVTY" hidden="1">{"TAB1",#N/A,TRUE,"GENERAL";"TAB2",#N/A,TRUE,"GENERAL";"TAB3",#N/A,TRUE,"GENERAL";"TAB4",#N/A,TRUE,"GENERAL";"TAB5",#N/A,TRUE,"GENERAL"}</definedName>
    <definedName name="dsfg" localSheetId="50" hidden="1">{"via1",#N/A,TRUE,"general";"via2",#N/A,TRUE,"general";"via3",#N/A,TRUE,"general"}</definedName>
    <definedName name="dsfg" localSheetId="1" hidden="1">{"via1",#N/A,TRUE,"general";"via2",#N/A,TRUE,"general";"via3",#N/A,TRUE,"general"}</definedName>
    <definedName name="dsfg" localSheetId="73" hidden="1">{"via1",#N/A,TRUE,"general";"via2",#N/A,TRUE,"general";"via3",#N/A,TRUE,"general"}</definedName>
    <definedName name="dsfg" hidden="1">{"via1",#N/A,TRUE,"general";"via2",#N/A,TRUE,"general";"via3",#N/A,TRUE,"general"}</definedName>
    <definedName name="dsfhgfdh" localSheetId="50"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73" hidden="1">{"TAB1",#N/A,TRUE,"GENERAL";"TAB2",#N/A,TRUE,"GENERAL";"TAB3",#N/A,TRUE,"GENERAL";"TAB4",#N/A,TRUE,"GENERAL";"TAB5",#N/A,TRUE,"GENERAL"}</definedName>
    <definedName name="dsfhgfdh" hidden="1">{"TAB1",#N/A,TRUE,"GENERAL";"TAB2",#N/A,TRUE,"GENERAL";"TAB3",#N/A,TRUE,"GENERAL";"TAB4",#N/A,TRUE,"GENERAL";"TAB5",#N/A,TRUE,"GENERAL"}</definedName>
    <definedName name="dsfsdf" localSheetId="50" hidden="1">{"via1",#N/A,TRUE,"general";"via2",#N/A,TRUE,"general";"via3",#N/A,TRUE,"general"}</definedName>
    <definedName name="dsfsdf" localSheetId="1" hidden="1">{"via1",#N/A,TRUE,"general";"via2",#N/A,TRUE,"general";"via3",#N/A,TRUE,"general"}</definedName>
    <definedName name="dsfsdf" localSheetId="73" hidden="1">{"via1",#N/A,TRUE,"general";"via2",#N/A,TRUE,"general";"via3",#N/A,TRUE,"general"}</definedName>
    <definedName name="dsfsdf" hidden="1">{"via1",#N/A,TRUE,"general";"via2",#N/A,TRUE,"general";"via3",#N/A,TRUE,"general"}</definedName>
    <definedName name="DSFSDFCXV" localSheetId="50"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73" hidden="1">{"TAB1",#N/A,TRUE,"GENERAL";"TAB2",#N/A,TRUE,"GENERAL";"TAB3",#N/A,TRUE,"GENERAL";"TAB4",#N/A,TRUE,"GENERAL";"TAB5",#N/A,TRUE,"GENERAL"}</definedName>
    <definedName name="DSFSDFCXV" hidden="1">{"TAB1",#N/A,TRUE,"GENERAL";"TAB2",#N/A,TRUE,"GENERAL";"TAB3",#N/A,TRUE,"GENERAL";"TAB4",#N/A,TRUE,"GENERAL";"TAB5",#N/A,TRUE,"GENERAL"}</definedName>
    <definedName name="dsfsvm" localSheetId="50"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73" hidden="1">{"TAB1",#N/A,TRUE,"GENERAL";"TAB2",#N/A,TRUE,"GENERAL";"TAB3",#N/A,TRUE,"GENERAL";"TAB4",#N/A,TRUE,"GENERAL";"TAB5",#N/A,TRUE,"GENERAL"}</definedName>
    <definedName name="dsfsvm" hidden="1">{"TAB1",#N/A,TRUE,"GENERAL";"TAB2",#N/A,TRUE,"GENERAL";"TAB3",#N/A,TRUE,"GENERAL";"TAB4",#N/A,TRUE,"GENERAL";"TAB5",#N/A,TRUE,"GENERAL"}</definedName>
    <definedName name="dsftbv" localSheetId="50" hidden="1">{"via1",#N/A,TRUE,"general";"via2",#N/A,TRUE,"general";"via3",#N/A,TRUE,"general"}</definedName>
    <definedName name="dsftbv" localSheetId="1" hidden="1">{"via1",#N/A,TRUE,"general";"via2",#N/A,TRUE,"general";"via3",#N/A,TRUE,"general"}</definedName>
    <definedName name="dsftbv" localSheetId="73" hidden="1">{"via1",#N/A,TRUE,"general";"via2",#N/A,TRUE,"general";"via3",#N/A,TRUE,"general"}</definedName>
    <definedName name="dsftbv" hidden="1">{"via1",#N/A,TRUE,"general";"via2",#N/A,TRUE,"general";"via3",#N/A,TRUE,"general"}</definedName>
    <definedName name="dt" localSheetId="1">#REF!</definedName>
    <definedName name="dt">#REF!</definedName>
    <definedName name="dtrhj" localSheetId="50" hidden="1">{"via1",#N/A,TRUE,"general";"via2",#N/A,TRUE,"general";"via3",#N/A,TRUE,"general"}</definedName>
    <definedName name="dtrhj" localSheetId="1" hidden="1">{"via1",#N/A,TRUE,"general";"via2",#N/A,TRUE,"general";"via3",#N/A,TRUE,"general"}</definedName>
    <definedName name="dtrhj" localSheetId="73" hidden="1">{"via1",#N/A,TRUE,"general";"via2",#N/A,TRUE,"general";"via3",#N/A,TRUE,"general"}</definedName>
    <definedName name="dtrhj" hidden="1">{"via1",#N/A,TRUE,"general";"via2",#N/A,TRUE,"general";"via3",#N/A,TRUE,"general"}</definedName>
    <definedName name="DTS" localSheetId="1">#REF!</definedName>
    <definedName name="DTS">#REF!</definedName>
    <definedName name="DUCHATAYRONATOT" localSheetId="1">#REF!</definedName>
    <definedName name="DUCHATAYRONATOT">#REF!</definedName>
    <definedName name="Dv" localSheetId="1">#REF!</definedName>
    <definedName name="Dv">#REF!</definedName>
    <definedName name="dxfgg" localSheetId="50" hidden="1">{"via1",#N/A,TRUE,"general";"via2",#N/A,TRUE,"general";"via3",#N/A,TRUE,"general"}</definedName>
    <definedName name="dxfgg" localSheetId="1" hidden="1">{"via1",#N/A,TRUE,"general";"via2",#N/A,TRUE,"general";"via3",#N/A,TRUE,"general"}</definedName>
    <definedName name="dxfgg" localSheetId="73" hidden="1">{"via1",#N/A,TRUE,"general";"via2",#N/A,TRUE,"general";"via3",#N/A,TRUE,"general"}</definedName>
    <definedName name="dxfgg" hidden="1">{"via1",#N/A,TRUE,"general";"via2",#N/A,TRUE,"general";"via3",#N/A,TRUE,"general"}</definedName>
    <definedName name="DZ.Main" localSheetId="1" hidden="1">#REF!</definedName>
    <definedName name="DZ.Main" hidden="1">#REF!</definedName>
    <definedName name="E" localSheetId="1">#REF!</definedName>
    <definedName name="E">#REF!</definedName>
    <definedName name="e3e33" localSheetId="50" hidden="1">{"via1",#N/A,TRUE,"general";"via2",#N/A,TRUE,"general";"via3",#N/A,TRUE,"general"}</definedName>
    <definedName name="e3e33" localSheetId="1" hidden="1">{"via1",#N/A,TRUE,"general";"via2",#N/A,TRUE,"general";"via3",#N/A,TRUE,"general"}</definedName>
    <definedName name="e3e33" localSheetId="73" hidden="1">{"via1",#N/A,TRUE,"general";"via2",#N/A,TRUE,"general";"via3",#N/A,TRUE,"general"}</definedName>
    <definedName name="e3e33" hidden="1">{"via1",#N/A,TRUE,"general";"via2",#N/A,TRUE,"general";"via3",#N/A,TRUE,"general"}</definedName>
    <definedName name="EDEDWSWQA" localSheetId="50"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73" hidden="1">{"TAB1",#N/A,TRUE,"GENERAL";"TAB2",#N/A,TRUE,"GENERAL";"TAB3",#N/A,TRUE,"GENERAL";"TAB4",#N/A,TRUE,"GENERAL";"TAB5",#N/A,TRUE,"GENERAL"}</definedName>
    <definedName name="EDEDWSWQA" hidden="1">{"TAB1",#N/A,TRUE,"GENERAL";"TAB2",#N/A,TRUE,"GENERAL";"TAB3",#N/A,TRUE,"GENERAL";"TAB4",#N/A,TRUE,"GENERAL";"TAB5",#N/A,TRUE,"GENERAL"}</definedName>
    <definedName name="edgfhmn" localSheetId="50" hidden="1">{"via1",#N/A,TRUE,"general";"via2",#N/A,TRUE,"general";"via3",#N/A,TRUE,"general"}</definedName>
    <definedName name="edgfhmn" localSheetId="1" hidden="1">{"via1",#N/A,TRUE,"general";"via2",#N/A,TRUE,"general";"via3",#N/A,TRUE,"general"}</definedName>
    <definedName name="edgfhmn" localSheetId="73" hidden="1">{"via1",#N/A,TRUE,"general";"via2",#N/A,TRUE,"general";"via3",#N/A,TRUE,"general"}</definedName>
    <definedName name="edgfhmn" hidden="1">{"via1",#N/A,TRUE,"general";"via2",#N/A,TRUE,"general";"via3",#N/A,TRUE,"general"}</definedName>
    <definedName name="ee" localSheetId="1">#REF!</definedName>
    <definedName name="ee">#REF!</definedName>
    <definedName name="eeedfr" localSheetId="50"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73" hidden="1">{"TAB1",#N/A,TRUE,"GENERAL";"TAB2",#N/A,TRUE,"GENERAL";"TAB3",#N/A,TRUE,"GENERAL";"TAB4",#N/A,TRUE,"GENERAL";"TAB5",#N/A,TRUE,"GENERAL"}</definedName>
    <definedName name="eeedfr" hidden="1">{"TAB1",#N/A,TRUE,"GENERAL";"TAB2",#N/A,TRUE,"GENERAL";"TAB3",#N/A,TRUE,"GENERAL";"TAB4",#N/A,TRUE,"GENERAL";"TAB5",#N/A,TRUE,"GENERAL"}</definedName>
    <definedName name="eeeeer" localSheetId="50"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73" hidden="1">{"TAB1",#N/A,TRUE,"GENERAL";"TAB2",#N/A,TRUE,"GENERAL";"TAB3",#N/A,TRUE,"GENERAL";"TAB4",#N/A,TRUE,"GENERAL";"TAB5",#N/A,TRUE,"GENERAL"}</definedName>
    <definedName name="eeeeer" hidden="1">{"TAB1",#N/A,TRUE,"GENERAL";"TAB2",#N/A,TRUE,"GENERAL";"TAB3",#N/A,TRUE,"GENERAL";"TAB4",#N/A,TRUE,"GENERAL";"TAB5",#N/A,TRUE,"GENERAL"}</definedName>
    <definedName name="eeerfd" localSheetId="50" hidden="1">{"via1",#N/A,TRUE,"general";"via2",#N/A,TRUE,"general";"via3",#N/A,TRUE,"general"}</definedName>
    <definedName name="eeerfd" localSheetId="1" hidden="1">{"via1",#N/A,TRUE,"general";"via2",#N/A,TRUE,"general";"via3",#N/A,TRUE,"general"}</definedName>
    <definedName name="eeerfd" localSheetId="73" hidden="1">{"via1",#N/A,TRUE,"general";"via2",#N/A,TRUE,"general";"via3",#N/A,TRUE,"general"}</definedName>
    <definedName name="eeerfd" hidden="1">{"via1",#N/A,TRUE,"general";"via2",#N/A,TRUE,"general";"via3",#N/A,TRUE,"general"}</definedName>
    <definedName name="ef" localSheetId="1">#REF!</definedName>
    <definedName name="ef">#REF!</definedName>
    <definedName name="efef" localSheetId="50" hidden="1">{"TAB1",#N/A,TRUE,"GENERAL";"TAB2",#N/A,TRUE,"GENERAL";"TAB3",#N/A,TRUE,"GENERAL";"TAB4",#N/A,TRUE,"GENERAL";"TAB5",#N/A,TRUE,"GENERAL"}</definedName>
    <definedName name="efef" localSheetId="1" hidden="1">{"TAB1",#N/A,TRUE,"GENERAL";"TAB2",#N/A,TRUE,"GENERAL";"TAB3",#N/A,TRUE,"GENERAL";"TAB4",#N/A,TRUE,"GENERAL";"TAB5",#N/A,TRUE,"GENERAL"}</definedName>
    <definedName name="efef" localSheetId="73" hidden="1">{"TAB1",#N/A,TRUE,"GENERAL";"TAB2",#N/A,TRUE,"GENERAL";"TAB3",#N/A,TRUE,"GENERAL";"TAB4",#N/A,TRUE,"GENERAL";"TAB5",#N/A,TRUE,"GENERAL"}</definedName>
    <definedName name="efef" hidden="1">{"TAB1",#N/A,TRUE,"GENERAL";"TAB2",#N/A,TRUE,"GENERAL";"TAB3",#N/A,TRUE,"GENERAL";"TAB4",#N/A,TRUE,"GENERAL";"TAB5",#N/A,TRUE,"GENERAL"}</definedName>
    <definedName name="efer" localSheetId="50" hidden="1">{"via1",#N/A,TRUE,"general";"via2",#N/A,TRUE,"general";"via3",#N/A,TRUE,"general"}</definedName>
    <definedName name="efer" localSheetId="1" hidden="1">{"via1",#N/A,TRUE,"general";"via2",#N/A,TRUE,"general";"via3",#N/A,TRUE,"general"}</definedName>
    <definedName name="efer" localSheetId="73" hidden="1">{"via1",#N/A,TRUE,"general";"via2",#N/A,TRUE,"general";"via3",#N/A,TRUE,"general"}</definedName>
    <definedName name="efer" hidden="1">{"via1",#N/A,TRUE,"general";"via2",#N/A,TRUE,"general";"via3",#N/A,TRUE,"general"}</definedName>
    <definedName name="egeg" localSheetId="50" hidden="1">{"TAB1",#N/A,TRUE,"GENERAL";"TAB2",#N/A,TRUE,"GENERAL";"TAB3",#N/A,TRUE,"GENERAL";"TAB4",#N/A,TRUE,"GENERAL";"TAB5",#N/A,TRUE,"GENERAL"}</definedName>
    <definedName name="egeg" localSheetId="1" hidden="1">{"TAB1",#N/A,TRUE,"GENERAL";"TAB2",#N/A,TRUE,"GENERAL";"TAB3",#N/A,TRUE,"GENERAL";"TAB4",#N/A,TRUE,"GENERAL";"TAB5",#N/A,TRUE,"GENERAL"}</definedName>
    <definedName name="egeg" localSheetId="73" hidden="1">{"TAB1",#N/A,TRUE,"GENERAL";"TAB2",#N/A,TRUE,"GENERAL";"TAB3",#N/A,TRUE,"GENERAL";"TAB4",#N/A,TRUE,"GENERAL";"TAB5",#N/A,TRUE,"GENERAL"}</definedName>
    <definedName name="egeg" hidden="1">{"TAB1",#N/A,TRUE,"GENERAL";"TAB2",#N/A,TRUE,"GENERAL";"TAB3",#N/A,TRUE,"GENERAL";"TAB4",#N/A,TRUE,"GENERAL";"TAB5",#N/A,TRUE,"GENERAL"}</definedName>
    <definedName name="egtrgthrt" localSheetId="50"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73" hidden="1">{"TAB1",#N/A,TRUE,"GENERAL";"TAB2",#N/A,TRUE,"GENERAL";"TAB3",#N/A,TRUE,"GENERAL";"TAB4",#N/A,TRUE,"GENERAL";"TAB5",#N/A,TRUE,"GENERAL"}</definedName>
    <definedName name="egtrgthrt" hidden="1">{"TAB1",#N/A,TRUE,"GENERAL";"TAB2",#N/A,TRUE,"GENERAL";"TAB3",#N/A,TRUE,"GENERAL";"TAB4",#N/A,TRUE,"GENERAL";"TAB5",#N/A,TRUE,"GENERAL"}</definedName>
    <definedName name="EJECUTADO" localSheetId="1">#REF!</definedName>
    <definedName name="EJECUTADO">#REF!</definedName>
    <definedName name="el" localSheetId="1">#REF!</definedName>
    <definedName name="el">#REF!</definedName>
    <definedName name="Electricista" localSheetId="1">#REF!</definedName>
    <definedName name="Electricista">#REF!</definedName>
    <definedName name="ELEMENVERT" localSheetId="1">#REF!</definedName>
    <definedName name="ELEMENVERT">#REF!</definedName>
    <definedName name="emanto" localSheetId="1">#REF!</definedName>
    <definedName name="emanto">#REF!</definedName>
    <definedName name="EMPAQ6" localSheetId="1">#REF!</definedName>
    <definedName name="EMPAQ6">#REF!</definedName>
    <definedName name="EMPAQUE" localSheetId="1">#REF!</definedName>
    <definedName name="EMPAQUE">#REF!</definedName>
    <definedName name="ENCHAP11" localSheetId="1">#REF!</definedName>
    <definedName name="ENCHAP11">#REF!</definedName>
    <definedName name="ENCHAP20" localSheetId="1">#REF!</definedName>
    <definedName name="ENCHAP20">#REF!</definedName>
    <definedName name="ENCHAPBAÑO" localSheetId="1">#REF!</definedName>
    <definedName name="ENCHAPBAÑO">#REF!</definedName>
    <definedName name="Enchape_pisopared_baño" localSheetId="1">#REF!</definedName>
    <definedName name="Enchape_pisopared_baño">#REF!</definedName>
    <definedName name="ENCHAPLABOR" localSheetId="1">#REF!</definedName>
    <definedName name="ENCHAPLABOR">#REF!</definedName>
    <definedName name="ENCHAPTABLETA" localSheetId="1">#REF!</definedName>
    <definedName name="ENCHAPTABLETA">#REF!</definedName>
    <definedName name="End_Bal" localSheetId="1">#REF!</definedName>
    <definedName name="End_Bal">#REF!</definedName>
    <definedName name="EQUIPO" localSheetId="50">#REF!</definedName>
    <definedName name="EQUIPO" localSheetId="1">#REF!</definedName>
    <definedName name="EQUIPO">#REF!</definedName>
    <definedName name="eQUIPO_DE_LABORATORIO" localSheetId="50">#REF!</definedName>
    <definedName name="eQUIPO_DE_LABORATORIO" localSheetId="1">#REF!</definedName>
    <definedName name="eQUIPO_DE_LABORATORIO">#REF!</definedName>
    <definedName name="Equipo_de_topografia" localSheetId="1">#REF!</definedName>
    <definedName name="Equipo_de_topografia">#REF!</definedName>
    <definedName name="EQUIPOS_SYS">#N/A</definedName>
    <definedName name="eqw" localSheetId="50" hidden="1">{"via1",#N/A,TRUE,"general";"via2",#N/A,TRUE,"general";"via3",#N/A,TRUE,"general"}</definedName>
    <definedName name="eqw" localSheetId="1" hidden="1">{"via1",#N/A,TRUE,"general";"via2",#N/A,TRUE,"general";"via3",#N/A,TRUE,"general"}</definedName>
    <definedName name="eqw" localSheetId="73" hidden="1">{"via1",#N/A,TRUE,"general";"via2",#N/A,TRUE,"general";"via3",#N/A,TRUE,"general"}</definedName>
    <definedName name="eqw" hidden="1">{"via1",#N/A,TRUE,"general";"via2",#N/A,TRUE,"general";"via3",#N/A,TRUE,"general"}</definedName>
    <definedName name="er" localSheetId="1">#REF!</definedName>
    <definedName name="er">#REF!</definedName>
    <definedName name="erfg" localSheetId="50" hidden="1">{#N/A,#N/A,FALSE,"Hoja1";#N/A,#N/A,FALSE,"Hoja2"}</definedName>
    <definedName name="erfg" localSheetId="1" hidden="1">{#N/A,#N/A,FALSE,"Hoja1";#N/A,#N/A,FALSE,"Hoja2"}</definedName>
    <definedName name="erfg" localSheetId="73" hidden="1">{#N/A,#N/A,FALSE,"Hoja1";#N/A,#N/A,FALSE,"Hoja2"}</definedName>
    <definedName name="erfg" hidden="1">{#N/A,#N/A,FALSE,"Hoja1";#N/A,#N/A,FALSE,"Hoja2"}</definedName>
    <definedName name="erg" localSheetId="50" hidden="1">{"TAB1",#N/A,TRUE,"GENERAL";"TAB2",#N/A,TRUE,"GENERAL";"TAB3",#N/A,TRUE,"GENERAL";"TAB4",#N/A,TRUE,"GENERAL";"TAB5",#N/A,TRUE,"GENERAL"}</definedName>
    <definedName name="erg" localSheetId="1" hidden="1">{"TAB1",#N/A,TRUE,"GENERAL";"TAB2",#N/A,TRUE,"GENERAL";"TAB3",#N/A,TRUE,"GENERAL";"TAB4",#N/A,TRUE,"GENERAL";"TAB5",#N/A,TRUE,"GENERAL"}</definedName>
    <definedName name="erg" localSheetId="73" hidden="1">{"TAB1",#N/A,TRUE,"GENERAL";"TAB2",#N/A,TRUE,"GENERAL";"TAB3",#N/A,TRUE,"GENERAL";"TAB4",#N/A,TRUE,"GENERAL";"TAB5",#N/A,TRUE,"GENERAL"}</definedName>
    <definedName name="erg" hidden="1">{"TAB1",#N/A,TRUE,"GENERAL";"TAB2",#N/A,TRUE,"GENERAL";"TAB3",#N/A,TRUE,"GENERAL";"TAB4",#N/A,TRUE,"GENERAL";"TAB5",#N/A,TRUE,"GENERAL"}</definedName>
    <definedName name="erger" localSheetId="50" hidden="1">{"via1",#N/A,TRUE,"general";"via2",#N/A,TRUE,"general";"via3",#N/A,TRUE,"general"}</definedName>
    <definedName name="erger" localSheetId="1" hidden="1">{"via1",#N/A,TRUE,"general";"via2",#N/A,TRUE,"general";"via3",#N/A,TRUE,"general"}</definedName>
    <definedName name="erger" localSheetId="73" hidden="1">{"via1",#N/A,TRUE,"general";"via2",#N/A,TRUE,"general";"via3",#N/A,TRUE,"general"}</definedName>
    <definedName name="erger" hidden="1">{"via1",#N/A,TRUE,"general";"via2",#N/A,TRUE,"general";"via3",#N/A,TRUE,"general"}</definedName>
    <definedName name="ergerg" localSheetId="50" hidden="1">{"via1",#N/A,TRUE,"general";"via2",#N/A,TRUE,"general";"via3",#N/A,TRUE,"general"}</definedName>
    <definedName name="ergerg" localSheetId="1" hidden="1">{"via1",#N/A,TRUE,"general";"via2",#N/A,TRUE,"general";"via3",#N/A,TRUE,"general"}</definedName>
    <definedName name="ergerg" localSheetId="73" hidden="1">{"via1",#N/A,TRUE,"general";"via2",#N/A,TRUE,"general";"via3",#N/A,TRUE,"general"}</definedName>
    <definedName name="ergerg" hidden="1">{"via1",#N/A,TRUE,"general";"via2",#N/A,TRUE,"general";"via3",#N/A,TRUE,"general"}</definedName>
    <definedName name="ergfegr" localSheetId="50" hidden="1">{"via1",#N/A,TRUE,"general";"via2",#N/A,TRUE,"general";"via3",#N/A,TRUE,"general"}</definedName>
    <definedName name="ergfegr" localSheetId="1" hidden="1">{"via1",#N/A,TRUE,"general";"via2",#N/A,TRUE,"general";"via3",#N/A,TRUE,"general"}</definedName>
    <definedName name="ergfegr" localSheetId="73" hidden="1">{"via1",#N/A,TRUE,"general";"via2",#N/A,TRUE,"general";"via3",#N/A,TRUE,"general"}</definedName>
    <definedName name="ergfegr" hidden="1">{"via1",#N/A,TRUE,"general";"via2",#N/A,TRUE,"general";"via3",#N/A,TRUE,"general"}</definedName>
    <definedName name="ergge" localSheetId="50" hidden="1">{"TAB1",#N/A,TRUE,"GENERAL";"TAB2",#N/A,TRUE,"GENERAL";"TAB3",#N/A,TRUE,"GENERAL";"TAB4",#N/A,TRUE,"GENERAL";"TAB5",#N/A,TRUE,"GENERAL"}</definedName>
    <definedName name="ergge" localSheetId="1" hidden="1">{"TAB1",#N/A,TRUE,"GENERAL";"TAB2",#N/A,TRUE,"GENERAL";"TAB3",#N/A,TRUE,"GENERAL";"TAB4",#N/A,TRUE,"GENERAL";"TAB5",#N/A,TRUE,"GENERAL"}</definedName>
    <definedName name="ergge" localSheetId="73" hidden="1">{"TAB1",#N/A,TRUE,"GENERAL";"TAB2",#N/A,TRUE,"GENERAL";"TAB3",#N/A,TRUE,"GENERAL";"TAB4",#N/A,TRUE,"GENERAL";"TAB5",#N/A,TRUE,"GENERAL"}</definedName>
    <definedName name="ergge" hidden="1">{"TAB1",#N/A,TRUE,"GENERAL";"TAB2",#N/A,TRUE,"GENERAL";"TAB3",#N/A,TRUE,"GENERAL";"TAB4",#N/A,TRUE,"GENERAL";"TAB5",#N/A,TRUE,"GENERAL"}</definedName>
    <definedName name="erggewg" localSheetId="50" hidden="1">{"via1",#N/A,TRUE,"general";"via2",#N/A,TRUE,"general";"via3",#N/A,TRUE,"general"}</definedName>
    <definedName name="erggewg" localSheetId="1" hidden="1">{"via1",#N/A,TRUE,"general";"via2",#N/A,TRUE,"general";"via3",#N/A,TRUE,"general"}</definedName>
    <definedName name="erggewg" localSheetId="73" hidden="1">{"via1",#N/A,TRUE,"general";"via2",#N/A,TRUE,"general";"via3",#N/A,TRUE,"general"}</definedName>
    <definedName name="erggewg" hidden="1">{"via1",#N/A,TRUE,"general";"via2",#N/A,TRUE,"general";"via3",#N/A,TRUE,"general"}</definedName>
    <definedName name="ergreg" localSheetId="50"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73" hidden="1">{"TAB1",#N/A,TRUE,"GENERAL";"TAB2",#N/A,TRUE,"GENERAL";"TAB3",#N/A,TRUE,"GENERAL";"TAB4",#N/A,TRUE,"GENERAL";"TAB5",#N/A,TRUE,"GENERAL"}</definedName>
    <definedName name="ergreg" hidden="1">{"TAB1",#N/A,TRUE,"GENERAL";"TAB2",#N/A,TRUE,"GENERAL";"TAB3",#N/A,TRUE,"GENERAL";"TAB4",#N/A,TRUE,"GENERAL";"TAB5",#N/A,TRUE,"GENERAL"}</definedName>
    <definedName name="ergregerg" localSheetId="50" hidden="1">{"via1",#N/A,TRUE,"general";"via2",#N/A,TRUE,"general";"via3",#N/A,TRUE,"general"}</definedName>
    <definedName name="ergregerg" localSheetId="1" hidden="1">{"via1",#N/A,TRUE,"general";"via2",#N/A,TRUE,"general";"via3",#N/A,TRUE,"general"}</definedName>
    <definedName name="ergregerg" localSheetId="73" hidden="1">{"via1",#N/A,TRUE,"general";"via2",#N/A,TRUE,"general";"via3",#N/A,TRUE,"general"}</definedName>
    <definedName name="ergregerg" hidden="1">{"via1",#N/A,TRUE,"general";"via2",#N/A,TRUE,"general";"via3",#N/A,TRUE,"general"}</definedName>
    <definedName name="ergrg" localSheetId="50" hidden="1">{"TAB1",#N/A,TRUE,"GENERAL";"TAB2",#N/A,TRUE,"GENERAL";"TAB3",#N/A,TRUE,"GENERAL";"TAB4",#N/A,TRUE,"GENERAL";"TAB5",#N/A,TRUE,"GENERAL"}</definedName>
    <definedName name="ergrg" localSheetId="1" hidden="1">{"TAB1",#N/A,TRUE,"GENERAL";"TAB2",#N/A,TRUE,"GENERAL";"TAB3",#N/A,TRUE,"GENERAL";"TAB4",#N/A,TRUE,"GENERAL";"TAB5",#N/A,TRUE,"GENERAL"}</definedName>
    <definedName name="ergrg" localSheetId="73" hidden="1">{"TAB1",#N/A,TRUE,"GENERAL";"TAB2",#N/A,TRUE,"GENERAL";"TAB3",#N/A,TRUE,"GENERAL";"TAB4",#N/A,TRUE,"GENERAL";"TAB5",#N/A,TRUE,"GENERAL"}</definedName>
    <definedName name="ergrg" hidden="1">{"TAB1",#N/A,TRUE,"GENERAL";"TAB2",#N/A,TRUE,"GENERAL";"TAB3",#N/A,TRUE,"GENERAL";"TAB4",#N/A,TRUE,"GENERAL";"TAB5",#N/A,TRUE,"GENERAL"}</definedName>
    <definedName name="ergweg" localSheetId="50"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73" hidden="1">{"TAB1",#N/A,TRUE,"GENERAL";"TAB2",#N/A,TRUE,"GENERAL";"TAB3",#N/A,TRUE,"GENERAL";"TAB4",#N/A,TRUE,"GENERAL";"TAB5",#N/A,TRUE,"GENERAL"}</definedName>
    <definedName name="ergweg" hidden="1">{"TAB1",#N/A,TRUE,"GENERAL";"TAB2",#N/A,TRUE,"GENERAL";"TAB3",#N/A,TRUE,"GENERAL";"TAB4",#N/A,TRUE,"GENERAL";"TAB5",#N/A,TRUE,"GENERAL"}</definedName>
    <definedName name="ergwreg" localSheetId="50" hidden="1">{"via1",#N/A,TRUE,"general";"via2",#N/A,TRUE,"general";"via3",#N/A,TRUE,"general"}</definedName>
    <definedName name="ergwreg" localSheetId="1" hidden="1">{"via1",#N/A,TRUE,"general";"via2",#N/A,TRUE,"general";"via3",#N/A,TRUE,"general"}</definedName>
    <definedName name="ergwreg" localSheetId="73" hidden="1">{"via1",#N/A,TRUE,"general";"via2",#N/A,TRUE,"general";"via3",#N/A,TRUE,"general"}</definedName>
    <definedName name="ergwreg" hidden="1">{"via1",#N/A,TRUE,"general";"via2",#N/A,TRUE,"general";"via3",#N/A,TRUE,"general"}</definedName>
    <definedName name="erheyh" localSheetId="50"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73" hidden="1">{"TAB1",#N/A,TRUE,"GENERAL";"TAB2",#N/A,TRUE,"GENERAL";"TAB3",#N/A,TRUE,"GENERAL";"TAB4",#N/A,TRUE,"GENERAL";"TAB5",#N/A,TRUE,"GENERAL"}</definedName>
    <definedName name="erheyh" hidden="1">{"TAB1",#N/A,TRUE,"GENERAL";"TAB2",#N/A,TRUE,"GENERAL";"TAB3",#N/A,TRUE,"GENERAL";"TAB4",#N/A,TRUE,"GENERAL";"TAB5",#N/A,TRUE,"GENERAL"}</definedName>
    <definedName name="eririutriuthdc" localSheetId="5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50" hidden="1">{"via1",#N/A,TRUE,"general";"via2",#N/A,TRUE,"general";"via3",#N/A,TRUE,"general"}</definedName>
    <definedName name="ert" localSheetId="1" hidden="1">{"via1",#N/A,TRUE,"general";"via2",#N/A,TRUE,"general";"via3",#N/A,TRUE,"general"}</definedName>
    <definedName name="ert" localSheetId="73" hidden="1">{"via1",#N/A,TRUE,"general";"via2",#N/A,TRUE,"general";"via3",#N/A,TRUE,"general"}</definedName>
    <definedName name="ert" hidden="1">{"via1",#N/A,TRUE,"general";"via2",#N/A,TRUE,"general";"via3",#N/A,TRUE,"general"}</definedName>
    <definedName name="erte" localSheetId="50" hidden="1">{"via1",#N/A,TRUE,"general";"via2",#N/A,TRUE,"general";"via3",#N/A,TRUE,"general"}</definedName>
    <definedName name="erte" localSheetId="1" hidden="1">{"via1",#N/A,TRUE,"general";"via2",#N/A,TRUE,"general";"via3",#N/A,TRUE,"general"}</definedName>
    <definedName name="erte" localSheetId="73" hidden="1">{"via1",#N/A,TRUE,"general";"via2",#N/A,TRUE,"general";"via3",#N/A,TRUE,"general"}</definedName>
    <definedName name="erte" hidden="1">{"via1",#N/A,TRUE,"general";"via2",#N/A,TRUE,"general";"via3",#N/A,TRUE,"general"}</definedName>
    <definedName name="erter" localSheetId="50" hidden="1">{"TAB1",#N/A,TRUE,"GENERAL";"TAB2",#N/A,TRUE,"GENERAL";"TAB3",#N/A,TRUE,"GENERAL";"TAB4",#N/A,TRUE,"GENERAL";"TAB5",#N/A,TRUE,"GENERAL"}</definedName>
    <definedName name="erter" localSheetId="1" hidden="1">{"TAB1",#N/A,TRUE,"GENERAL";"TAB2",#N/A,TRUE,"GENERAL";"TAB3",#N/A,TRUE,"GENERAL";"TAB4",#N/A,TRUE,"GENERAL";"TAB5",#N/A,TRUE,"GENERAL"}</definedName>
    <definedName name="erter" localSheetId="73" hidden="1">{"TAB1",#N/A,TRUE,"GENERAL";"TAB2",#N/A,TRUE,"GENERAL";"TAB3",#N/A,TRUE,"GENERAL";"TAB4",#N/A,TRUE,"GENERAL";"TAB5",#N/A,TRUE,"GENERAL"}</definedName>
    <definedName name="erter" hidden="1">{"TAB1",#N/A,TRUE,"GENERAL";"TAB2",#N/A,TRUE,"GENERAL";"TAB3",#N/A,TRUE,"GENERAL";"TAB4",#N/A,TRUE,"GENERAL";"TAB5",#N/A,TRUE,"GENERAL"}</definedName>
    <definedName name="ertert" localSheetId="50" hidden="1">{"via1",#N/A,TRUE,"general";"via2",#N/A,TRUE,"general";"via3",#N/A,TRUE,"general"}</definedName>
    <definedName name="ertert" localSheetId="1" hidden="1">{"via1",#N/A,TRUE,"general";"via2",#N/A,TRUE,"general";"via3",#N/A,TRUE,"general"}</definedName>
    <definedName name="ertert" localSheetId="73" hidden="1">{"via1",#N/A,TRUE,"general";"via2",#N/A,TRUE,"general";"via3",#N/A,TRUE,"general"}</definedName>
    <definedName name="ertert" hidden="1">{"via1",#N/A,TRUE,"general";"via2",#N/A,TRUE,"general";"via3",#N/A,TRUE,"general"}</definedName>
    <definedName name="ertgyhik" localSheetId="50"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73" hidden="1">{"TAB1",#N/A,TRUE,"GENERAL";"TAB2",#N/A,TRUE,"GENERAL";"TAB3",#N/A,TRUE,"GENERAL";"TAB4",#N/A,TRUE,"GENERAL";"TAB5",#N/A,TRUE,"GENERAL"}</definedName>
    <definedName name="ertgyhik" hidden="1">{"TAB1",#N/A,TRUE,"GENERAL";"TAB2",#N/A,TRUE,"GENERAL";"TAB3",#N/A,TRUE,"GENERAL";"TAB4",#N/A,TRUE,"GENERAL";"TAB5",#N/A,TRUE,"GENERAL"}</definedName>
    <definedName name="ertreb" localSheetId="50" hidden="1">{"via1",#N/A,TRUE,"general";"via2",#N/A,TRUE,"general";"via3",#N/A,TRUE,"general"}</definedName>
    <definedName name="ertreb" localSheetId="1" hidden="1">{"via1",#N/A,TRUE,"general";"via2",#N/A,TRUE,"general";"via3",#N/A,TRUE,"general"}</definedName>
    <definedName name="ertreb" localSheetId="73" hidden="1">{"via1",#N/A,TRUE,"general";"via2",#N/A,TRUE,"general";"via3",#N/A,TRUE,"general"}</definedName>
    <definedName name="ertreb" hidden="1">{"via1",#N/A,TRUE,"general";"via2",#N/A,TRUE,"general";"via3",#N/A,TRUE,"general"}</definedName>
    <definedName name="ertret" localSheetId="50"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73" hidden="1">{"TAB1",#N/A,TRUE,"GENERAL";"TAB2",#N/A,TRUE,"GENERAL";"TAB3",#N/A,TRUE,"GENERAL";"TAB4",#N/A,TRUE,"GENERAL";"TAB5",#N/A,TRUE,"GENERAL"}</definedName>
    <definedName name="ertret" hidden="1">{"TAB1",#N/A,TRUE,"GENERAL";"TAB2",#N/A,TRUE,"GENERAL";"TAB3",#N/A,TRUE,"GENERAL";"TAB4",#N/A,TRUE,"GENERAL";"TAB5",#N/A,TRUE,"GENERAL"}</definedName>
    <definedName name="erttret" localSheetId="50" hidden="1">{"via1",#N/A,TRUE,"general";"via2",#N/A,TRUE,"general";"via3",#N/A,TRUE,"general"}</definedName>
    <definedName name="erttret" localSheetId="1" hidden="1">{"via1",#N/A,TRUE,"general";"via2",#N/A,TRUE,"general";"via3",#N/A,TRUE,"general"}</definedName>
    <definedName name="erttret" localSheetId="73" hidden="1">{"via1",#N/A,TRUE,"general";"via2",#N/A,TRUE,"general";"via3",#N/A,TRUE,"general"}</definedName>
    <definedName name="erttret" hidden="1">{"via1",#N/A,TRUE,"general";"via2",#N/A,TRUE,"general";"via3",#N/A,TRUE,"general"}</definedName>
    <definedName name="ertuiy" localSheetId="50" hidden="1">{"via1",#N/A,TRUE,"general";"via2",#N/A,TRUE,"general";"via3",#N/A,TRUE,"general"}</definedName>
    <definedName name="ertuiy" localSheetId="1" hidden="1">{"via1",#N/A,TRUE,"general";"via2",#N/A,TRUE,"general";"via3",#N/A,TRUE,"general"}</definedName>
    <definedName name="ertuiy" localSheetId="73" hidden="1">{"via1",#N/A,TRUE,"general";"via2",#N/A,TRUE,"general";"via3",#N/A,TRUE,"general"}</definedName>
    <definedName name="ertuiy" hidden="1">{"via1",#N/A,TRUE,"general";"via2",#N/A,TRUE,"general";"via3",#N/A,TRUE,"general"}</definedName>
    <definedName name="ertwert" localSheetId="50"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73" hidden="1">{"TAB1",#N/A,TRUE,"GENERAL";"TAB2",#N/A,TRUE,"GENERAL";"TAB3",#N/A,TRUE,"GENERAL";"TAB4",#N/A,TRUE,"GENERAL";"TAB5",#N/A,TRUE,"GENERAL"}</definedName>
    <definedName name="ertwert" hidden="1">{"TAB1",#N/A,TRUE,"GENERAL";"TAB2",#N/A,TRUE,"GENERAL";"TAB3",#N/A,TRUE,"GENERAL";"TAB4",#N/A,TRUE,"GENERAL";"TAB5",#N/A,TRUE,"GENERAL"}</definedName>
    <definedName name="eru" localSheetId="50" hidden="1">{"TAB1",#N/A,TRUE,"GENERAL";"TAB2",#N/A,TRUE,"GENERAL";"TAB3",#N/A,TRUE,"GENERAL";"TAB4",#N/A,TRUE,"GENERAL";"TAB5",#N/A,TRUE,"GENERAL"}</definedName>
    <definedName name="eru" localSheetId="1" hidden="1">{"TAB1",#N/A,TRUE,"GENERAL";"TAB2",#N/A,TRUE,"GENERAL";"TAB3",#N/A,TRUE,"GENERAL";"TAB4",#N/A,TRUE,"GENERAL";"TAB5",#N/A,TRUE,"GENERAL"}</definedName>
    <definedName name="eru" localSheetId="73" hidden="1">{"TAB1",#N/A,TRUE,"GENERAL";"TAB2",#N/A,TRUE,"GENERAL";"TAB3",#N/A,TRUE,"GENERAL";"TAB4",#N/A,TRUE,"GENERAL";"TAB5",#N/A,TRUE,"GENERAL"}</definedName>
    <definedName name="eru" hidden="1">{"TAB1",#N/A,TRUE,"GENERAL";"TAB2",#N/A,TRUE,"GENERAL";"TAB3",#N/A,TRUE,"GENERAL";"TAB4",#N/A,TRUE,"GENERAL";"TAB5",#N/A,TRUE,"GENERAL"}</definedName>
    <definedName name="ERV" localSheetId="50" hidden="1">{"via1",#N/A,TRUE,"general";"via2",#N/A,TRUE,"general";"via3",#N/A,TRUE,"general"}</definedName>
    <definedName name="ERV" localSheetId="1" hidden="1">{"via1",#N/A,TRUE,"general";"via2",#N/A,TRUE,"general";"via3",#N/A,TRUE,"general"}</definedName>
    <definedName name="ERV" localSheetId="73" hidden="1">{"via1",#N/A,TRUE,"general";"via2",#N/A,TRUE,"general";"via3",#N/A,TRUE,"general"}</definedName>
    <definedName name="ERV" hidden="1">{"via1",#N/A,TRUE,"general";"via2",#N/A,TRUE,"general";"via3",#N/A,TRUE,"general"}</definedName>
    <definedName name="erware" localSheetId="50" hidden="1">{"via1",#N/A,TRUE,"general";"via2",#N/A,TRUE,"general";"via3",#N/A,TRUE,"general"}</definedName>
    <definedName name="erware" localSheetId="1" hidden="1">{"via1",#N/A,TRUE,"general";"via2",#N/A,TRUE,"general";"via3",#N/A,TRUE,"general"}</definedName>
    <definedName name="erware" localSheetId="73" hidden="1">{"via1",#N/A,TRUE,"general";"via2",#N/A,TRUE,"general";"via3",#N/A,TRUE,"general"}</definedName>
    <definedName name="erware" hidden="1">{"via1",#N/A,TRUE,"general";"via2",#N/A,TRUE,"general";"via3",#N/A,TRUE,"general"}</definedName>
    <definedName name="ERWER" localSheetId="50" hidden="1">{"via1",#N/A,TRUE,"general";"via2",#N/A,TRUE,"general";"via3",#N/A,TRUE,"general"}</definedName>
    <definedName name="ERWER" localSheetId="1" hidden="1">{"via1",#N/A,TRUE,"general";"via2",#N/A,TRUE,"general";"via3",#N/A,TRUE,"general"}</definedName>
    <definedName name="ERWER" localSheetId="73" hidden="1">{"via1",#N/A,TRUE,"general";"via2",#N/A,TRUE,"general";"via3",#N/A,TRUE,"general"}</definedName>
    <definedName name="ERWER" hidden="1">{"via1",#N/A,TRUE,"general";"via2",#N/A,TRUE,"general";"via3",#N/A,TRUE,"general"}</definedName>
    <definedName name="erwertd" localSheetId="50"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73" hidden="1">{"TAB1",#N/A,TRUE,"GENERAL";"TAB2",#N/A,TRUE,"GENERAL";"TAB3",#N/A,TRUE,"GENERAL";"TAB4",#N/A,TRUE,"GENERAL";"TAB5",#N/A,TRUE,"GENERAL"}</definedName>
    <definedName name="erwertd" hidden="1">{"TAB1",#N/A,TRUE,"GENERAL";"TAB2",#N/A,TRUE,"GENERAL";"TAB3",#N/A,TRUE,"GENERAL";"TAB4",#N/A,TRUE,"GENERAL";"TAB5",#N/A,TRUE,"GENERAL"}</definedName>
    <definedName name="erwr" localSheetId="50" hidden="1">{"TAB1",#N/A,TRUE,"GENERAL";"TAB2",#N/A,TRUE,"GENERAL";"TAB3",#N/A,TRUE,"GENERAL";"TAB4",#N/A,TRUE,"GENERAL";"TAB5",#N/A,TRUE,"GENERAL"}</definedName>
    <definedName name="erwr" localSheetId="1" hidden="1">{"TAB1",#N/A,TRUE,"GENERAL";"TAB2",#N/A,TRUE,"GENERAL";"TAB3",#N/A,TRUE,"GENERAL";"TAB4",#N/A,TRUE,"GENERAL";"TAB5",#N/A,TRUE,"GENERAL"}</definedName>
    <definedName name="erwr" localSheetId="73" hidden="1">{"TAB1",#N/A,TRUE,"GENERAL";"TAB2",#N/A,TRUE,"GENERAL";"TAB3",#N/A,TRUE,"GENERAL";"TAB4",#N/A,TRUE,"GENERAL";"TAB5",#N/A,TRUE,"GENERAL"}</definedName>
    <definedName name="erwr" hidden="1">{"TAB1",#N/A,TRUE,"GENERAL";"TAB2",#N/A,TRUE,"GENERAL";"TAB3",#N/A,TRUE,"GENERAL";"TAB4",#N/A,TRUE,"GENERAL";"TAB5",#N/A,TRUE,"GENERAL"}</definedName>
    <definedName name="ERWRL" localSheetId="50" hidden="1">{"via1",#N/A,TRUE,"general";"via2",#N/A,TRUE,"general";"via3",#N/A,TRUE,"general"}</definedName>
    <definedName name="ERWRL" localSheetId="1" hidden="1">{"via1",#N/A,TRUE,"general";"via2",#N/A,TRUE,"general";"via3",#N/A,TRUE,"general"}</definedName>
    <definedName name="ERWRL" localSheetId="73" hidden="1">{"via1",#N/A,TRUE,"general";"via2",#N/A,TRUE,"general";"via3",#N/A,TRUE,"general"}</definedName>
    <definedName name="ERWRL" hidden="1">{"via1",#N/A,TRUE,"general";"via2",#N/A,TRUE,"general";"via3",#N/A,TRUE,"general"}</definedName>
    <definedName name="ery" localSheetId="50" hidden="1">{"via1",#N/A,TRUE,"general";"via2",#N/A,TRUE,"general";"via3",#N/A,TRUE,"general"}</definedName>
    <definedName name="ery" localSheetId="1" hidden="1">{"via1",#N/A,TRUE,"general";"via2",#N/A,TRUE,"general";"via3",#N/A,TRUE,"general"}</definedName>
    <definedName name="ery" localSheetId="73" hidden="1">{"via1",#N/A,TRUE,"general";"via2",#N/A,TRUE,"general";"via3",#N/A,TRUE,"general"}</definedName>
    <definedName name="ery" hidden="1">{"via1",#N/A,TRUE,"general";"via2",#N/A,TRUE,"general";"via3",#N/A,TRUE,"general"}</definedName>
    <definedName name="eryhd" localSheetId="50" hidden="1">{"via1",#N/A,TRUE,"general";"via2",#N/A,TRUE,"general";"via3",#N/A,TRUE,"general"}</definedName>
    <definedName name="eryhd" localSheetId="1" hidden="1">{"via1",#N/A,TRUE,"general";"via2",#N/A,TRUE,"general";"via3",#N/A,TRUE,"general"}</definedName>
    <definedName name="eryhd" localSheetId="73" hidden="1">{"via1",#N/A,TRUE,"general";"via2",#N/A,TRUE,"general";"via3",#N/A,TRUE,"general"}</definedName>
    <definedName name="eryhd" hidden="1">{"via1",#N/A,TRUE,"general";"via2",#N/A,TRUE,"general";"via3",#N/A,TRUE,"general"}</definedName>
    <definedName name="eryhdf" localSheetId="50"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73" hidden="1">{"TAB1",#N/A,TRUE,"GENERAL";"TAB2",#N/A,TRUE,"GENERAL";"TAB3",#N/A,TRUE,"GENERAL";"TAB4",#N/A,TRUE,"GENERAL";"TAB5",#N/A,TRUE,"GENERAL"}</definedName>
    <definedName name="eryhdf" hidden="1">{"TAB1",#N/A,TRUE,"GENERAL";"TAB2",#N/A,TRUE,"GENERAL";"TAB3",#N/A,TRUE,"GENERAL";"TAB4",#N/A,TRUE,"GENERAL";"TAB5",#N/A,TRUE,"GENERAL"}</definedName>
    <definedName name="eryhk" localSheetId="50" hidden="1">{"TAB1",#N/A,TRUE,"GENERAL";"TAB2",#N/A,TRUE,"GENERAL";"TAB3",#N/A,TRUE,"GENERAL";"TAB4",#N/A,TRUE,"GENERAL";"TAB5",#N/A,TRUE,"GENERAL"}</definedName>
    <definedName name="eryhk" localSheetId="1" hidden="1">{"TAB1",#N/A,TRUE,"GENERAL";"TAB2",#N/A,TRUE,"GENERAL";"TAB3",#N/A,TRUE,"GENERAL";"TAB4",#N/A,TRUE,"GENERAL";"TAB5",#N/A,TRUE,"GENERAL"}</definedName>
    <definedName name="eryhk" localSheetId="73" hidden="1">{"TAB1",#N/A,TRUE,"GENERAL";"TAB2",#N/A,TRUE,"GENERAL";"TAB3",#N/A,TRUE,"GENERAL";"TAB4",#N/A,TRUE,"GENERAL";"TAB5",#N/A,TRUE,"GENERAL"}</definedName>
    <definedName name="eryhk" hidden="1">{"TAB1",#N/A,TRUE,"GENERAL";"TAB2",#N/A,TRUE,"GENERAL";"TAB3",#N/A,TRUE,"GENERAL";"TAB4",#N/A,TRUE,"GENERAL";"TAB5",#N/A,TRUE,"GENERAL"}</definedName>
    <definedName name="eryhrf" localSheetId="50"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73" hidden="1">{"TAB1",#N/A,TRUE,"GENERAL";"TAB2",#N/A,TRUE,"GENERAL";"TAB3",#N/A,TRUE,"GENERAL";"TAB4",#N/A,TRUE,"GENERAL";"TAB5",#N/A,TRUE,"GENERAL"}</definedName>
    <definedName name="eryhrf" hidden="1">{"TAB1",#N/A,TRUE,"GENERAL";"TAB2",#N/A,TRUE,"GENERAL";"TAB3",#N/A,TRUE,"GENERAL";"TAB4",#N/A,TRUE,"GENERAL";"TAB5",#N/A,TRUE,"GENERAL"}</definedName>
    <definedName name="eryre" localSheetId="50" hidden="1">{"TAB1",#N/A,TRUE,"GENERAL";"TAB2",#N/A,TRUE,"GENERAL";"TAB3",#N/A,TRUE,"GENERAL";"TAB4",#N/A,TRUE,"GENERAL";"TAB5",#N/A,TRUE,"GENERAL"}</definedName>
    <definedName name="eryre" localSheetId="1" hidden="1">{"TAB1",#N/A,TRUE,"GENERAL";"TAB2",#N/A,TRUE,"GENERAL";"TAB3",#N/A,TRUE,"GENERAL";"TAB4",#N/A,TRUE,"GENERAL";"TAB5",#N/A,TRUE,"GENERAL"}</definedName>
    <definedName name="eryre" localSheetId="73" hidden="1">{"TAB1",#N/A,TRUE,"GENERAL";"TAB2",#N/A,TRUE,"GENERAL";"TAB3",#N/A,TRUE,"GENERAL";"TAB4",#N/A,TRUE,"GENERAL";"TAB5",#N/A,TRUE,"GENERAL"}</definedName>
    <definedName name="eryre" hidden="1">{"TAB1",#N/A,TRUE,"GENERAL";"TAB2",#N/A,TRUE,"GENERAL";"TAB3",#N/A,TRUE,"GENERAL";"TAB4",#N/A,TRUE,"GENERAL";"TAB5",#N/A,TRUE,"GENERAL"}</definedName>
    <definedName name="erytd" localSheetId="50" hidden="1">{"via1",#N/A,TRUE,"general";"via2",#N/A,TRUE,"general";"via3",#N/A,TRUE,"general"}</definedName>
    <definedName name="erytd" localSheetId="1" hidden="1">{"via1",#N/A,TRUE,"general";"via2",#N/A,TRUE,"general";"via3",#N/A,TRUE,"general"}</definedName>
    <definedName name="erytd" localSheetId="73" hidden="1">{"via1",#N/A,TRUE,"general";"via2",#N/A,TRUE,"general";"via3",#N/A,TRUE,"general"}</definedName>
    <definedName name="erytd" hidden="1">{"via1",#N/A,TRUE,"general";"via2",#N/A,TRUE,"general";"via3",#N/A,TRUE,"general"}</definedName>
    <definedName name="eryty" localSheetId="50" hidden="1">{"via1",#N/A,TRUE,"general";"via2",#N/A,TRUE,"general";"via3",#N/A,TRUE,"general"}</definedName>
    <definedName name="eryty" localSheetId="1" hidden="1">{"via1",#N/A,TRUE,"general";"via2",#N/A,TRUE,"general";"via3",#N/A,TRUE,"general"}</definedName>
    <definedName name="eryty" localSheetId="73" hidden="1">{"via1",#N/A,TRUE,"general";"via2",#N/A,TRUE,"general";"via3",#N/A,TRUE,"general"}</definedName>
    <definedName name="eryty" hidden="1">{"via1",#N/A,TRUE,"general";"via2",#N/A,TRUE,"general";"via3",#N/A,TRUE,"general"}</definedName>
    <definedName name="eryy" localSheetId="50" hidden="1">{"via1",#N/A,TRUE,"general";"via2",#N/A,TRUE,"general";"via3",#N/A,TRUE,"general"}</definedName>
    <definedName name="eryy" localSheetId="1" hidden="1">{"via1",#N/A,TRUE,"general";"via2",#N/A,TRUE,"general";"via3",#N/A,TRUE,"general"}</definedName>
    <definedName name="eryy" localSheetId="73" hidden="1">{"via1",#N/A,TRUE,"general";"via2",#N/A,TRUE,"general";"via3",#N/A,TRUE,"general"}</definedName>
    <definedName name="eryy" hidden="1">{"via1",#N/A,TRUE,"general";"via2",#N/A,TRUE,"general";"via3",#N/A,TRUE,"general"}</definedName>
    <definedName name="ES1_1" localSheetId="1">#REF!</definedName>
    <definedName name="ES1_1">#REF!</definedName>
    <definedName name="ES1_10" localSheetId="1">#REF!</definedName>
    <definedName name="ES1_10">#REF!</definedName>
    <definedName name="ES1_11" localSheetId="1">#REF!</definedName>
    <definedName name="ES1_11">#REF!</definedName>
    <definedName name="ES1_12" localSheetId="1">#REF!</definedName>
    <definedName name="ES1_12">#REF!</definedName>
    <definedName name="ES1_13" localSheetId="1">#REF!</definedName>
    <definedName name="ES1_13">#REF!</definedName>
    <definedName name="ES1_14" localSheetId="1">#REF!</definedName>
    <definedName name="ES1_14">#REF!</definedName>
    <definedName name="ES1_15" localSheetId="1">#REF!</definedName>
    <definedName name="ES1_15">#REF!</definedName>
    <definedName name="ES1_16" localSheetId="1">#REF!</definedName>
    <definedName name="ES1_16">#REF!</definedName>
    <definedName name="ES1_17" localSheetId="1">#REF!</definedName>
    <definedName name="ES1_17">#REF!</definedName>
    <definedName name="ES1_18" localSheetId="1">#REF!</definedName>
    <definedName name="ES1_18">#REF!</definedName>
    <definedName name="ES1_19" localSheetId="1">#REF!</definedName>
    <definedName name="ES1_19">#REF!</definedName>
    <definedName name="ES1_2" localSheetId="1">#REF!</definedName>
    <definedName name="ES1_2">#REF!</definedName>
    <definedName name="ES1_20" localSheetId="1">#REF!</definedName>
    <definedName name="ES1_20">#REF!</definedName>
    <definedName name="ES1_21" localSheetId="1">#REF!</definedName>
    <definedName name="ES1_21">#REF!</definedName>
    <definedName name="ES1_22" localSheetId="1">#REF!</definedName>
    <definedName name="ES1_22">#REF!</definedName>
    <definedName name="ES1_23" localSheetId="1">#REF!</definedName>
    <definedName name="ES1_23">#REF!</definedName>
    <definedName name="ES1_24" localSheetId="1">#REF!</definedName>
    <definedName name="ES1_24">#REF!</definedName>
    <definedName name="ES1_25" localSheetId="1">#REF!</definedName>
    <definedName name="ES1_25">#REF!</definedName>
    <definedName name="ES1_26" localSheetId="1">#REF!</definedName>
    <definedName name="ES1_26">#REF!</definedName>
    <definedName name="ES1_27" localSheetId="1">#REF!</definedName>
    <definedName name="ES1_27">#REF!</definedName>
    <definedName name="ES1_28" localSheetId="1">#REF!</definedName>
    <definedName name="ES1_28">#REF!</definedName>
    <definedName name="ES1_29" localSheetId="1">#REF!</definedName>
    <definedName name="ES1_29">#REF!</definedName>
    <definedName name="ES1_3" localSheetId="1">#REF!</definedName>
    <definedName name="ES1_3">#REF!</definedName>
    <definedName name="ES1_30" localSheetId="1">#REF!</definedName>
    <definedName name="ES1_30">#REF!</definedName>
    <definedName name="ES1_31" localSheetId="1">#REF!</definedName>
    <definedName name="ES1_31">#REF!</definedName>
    <definedName name="ES1_32" localSheetId="1">#REF!</definedName>
    <definedName name="ES1_32">#REF!</definedName>
    <definedName name="ES1_33" localSheetId="1">#REF!</definedName>
    <definedName name="ES1_33">#REF!</definedName>
    <definedName name="ES1_34" localSheetId="1">#REF!</definedName>
    <definedName name="ES1_34">#REF!</definedName>
    <definedName name="ES1_35" localSheetId="1">#REF!</definedName>
    <definedName name="ES1_35">#REF!</definedName>
    <definedName name="ES1_36" localSheetId="1">#REF!</definedName>
    <definedName name="ES1_36">#REF!</definedName>
    <definedName name="ES1_37" localSheetId="1">#REF!</definedName>
    <definedName name="ES1_37">#REF!</definedName>
    <definedName name="ES1_38" localSheetId="1">#REF!</definedName>
    <definedName name="ES1_38">#REF!</definedName>
    <definedName name="ES1_39" localSheetId="1">#REF!</definedName>
    <definedName name="ES1_39">#REF!</definedName>
    <definedName name="ES1_4" localSheetId="1">#REF!</definedName>
    <definedName name="ES1_4">#REF!</definedName>
    <definedName name="ES1_40" localSheetId="1">#REF!</definedName>
    <definedName name="ES1_40">#REF!</definedName>
    <definedName name="ES1_41" localSheetId="1">#REF!</definedName>
    <definedName name="ES1_41">#REF!</definedName>
    <definedName name="ES1_42" localSheetId="1">#REF!</definedName>
    <definedName name="ES1_42">#REF!</definedName>
    <definedName name="ES1_43" localSheetId="1">#REF!</definedName>
    <definedName name="ES1_43">#REF!</definedName>
    <definedName name="ES1_5" localSheetId="1">#REF!</definedName>
    <definedName name="ES1_5">#REF!</definedName>
    <definedName name="ES1_6" localSheetId="1">#REF!</definedName>
    <definedName name="ES1_6">#REF!</definedName>
    <definedName name="ES1_7" localSheetId="1">#REF!</definedName>
    <definedName name="ES1_7">#REF!</definedName>
    <definedName name="ES1_8" localSheetId="1">#REF!</definedName>
    <definedName name="ES1_8">#REF!</definedName>
    <definedName name="ES1_9" localSheetId="1">#REF!</definedName>
    <definedName name="ES1_9">#REF!</definedName>
    <definedName name="ES2_1" localSheetId="1">#REF!</definedName>
    <definedName name="ES2_1">#REF!</definedName>
    <definedName name="ES2_10" localSheetId="1">#REF!</definedName>
    <definedName name="ES2_10">#REF!</definedName>
    <definedName name="ES2_11" localSheetId="1">#REF!</definedName>
    <definedName name="ES2_11">#REF!</definedName>
    <definedName name="ES2_12" localSheetId="1">#REF!</definedName>
    <definedName name="ES2_12">#REF!</definedName>
    <definedName name="ES2_13" localSheetId="1">#REF!</definedName>
    <definedName name="ES2_13">#REF!</definedName>
    <definedName name="ES2_14" localSheetId="1">#REF!</definedName>
    <definedName name="ES2_14">#REF!</definedName>
    <definedName name="ES2_15" localSheetId="1">#REF!</definedName>
    <definedName name="ES2_15">#REF!</definedName>
    <definedName name="ES2_16" localSheetId="1">#REF!</definedName>
    <definedName name="ES2_16">#REF!</definedName>
    <definedName name="ES2_17" localSheetId="1">#REF!</definedName>
    <definedName name="ES2_17">#REF!</definedName>
    <definedName name="ES2_18" localSheetId="1">#REF!</definedName>
    <definedName name="ES2_18">#REF!</definedName>
    <definedName name="ES2_19" localSheetId="1">#REF!</definedName>
    <definedName name="ES2_19">#REF!</definedName>
    <definedName name="ES2_2" localSheetId="1">#REF!</definedName>
    <definedName name="ES2_2">#REF!</definedName>
    <definedName name="ES2_20" localSheetId="1">#REF!</definedName>
    <definedName name="ES2_20">#REF!</definedName>
    <definedName name="ES2_21" localSheetId="1">#REF!</definedName>
    <definedName name="ES2_21">#REF!</definedName>
    <definedName name="ES2_22" localSheetId="1">#REF!</definedName>
    <definedName name="ES2_22">#REF!</definedName>
    <definedName name="ES2_23" localSheetId="1">#REF!</definedName>
    <definedName name="ES2_23">#REF!</definedName>
    <definedName name="ES2_24" localSheetId="1">#REF!</definedName>
    <definedName name="ES2_24">#REF!</definedName>
    <definedName name="ES2_25" localSheetId="1">#REF!</definedName>
    <definedName name="ES2_25">#REF!</definedName>
    <definedName name="ES2_26" localSheetId="1">#REF!</definedName>
    <definedName name="ES2_26">#REF!</definedName>
    <definedName name="ES2_27" localSheetId="1">#REF!</definedName>
    <definedName name="ES2_27">#REF!</definedName>
    <definedName name="ES2_28" localSheetId="1">#REF!</definedName>
    <definedName name="ES2_28">#REF!</definedName>
    <definedName name="ES2_29" localSheetId="1">#REF!</definedName>
    <definedName name="ES2_29">#REF!</definedName>
    <definedName name="ES2_3" localSheetId="1">#REF!</definedName>
    <definedName name="ES2_3">#REF!</definedName>
    <definedName name="ES2_30" localSheetId="1">#REF!</definedName>
    <definedName name="ES2_30">#REF!</definedName>
    <definedName name="ES2_31" localSheetId="1">#REF!</definedName>
    <definedName name="ES2_31">#REF!</definedName>
    <definedName name="ES2_32" localSheetId="1">#REF!</definedName>
    <definedName name="ES2_32">#REF!</definedName>
    <definedName name="ES2_33" localSheetId="1">#REF!</definedName>
    <definedName name="ES2_33">#REF!</definedName>
    <definedName name="ES2_34" localSheetId="1">#REF!</definedName>
    <definedName name="ES2_34">#REF!</definedName>
    <definedName name="ES2_35" localSheetId="1">#REF!</definedName>
    <definedName name="ES2_35">#REF!</definedName>
    <definedName name="ES2_36" localSheetId="1">#REF!</definedName>
    <definedName name="ES2_36">#REF!</definedName>
    <definedName name="ES2_37" localSheetId="1">#REF!</definedName>
    <definedName name="ES2_37">#REF!</definedName>
    <definedName name="ES2_38" localSheetId="1">#REF!</definedName>
    <definedName name="ES2_38">#REF!</definedName>
    <definedName name="ES2_39" localSheetId="1">#REF!</definedName>
    <definedName name="ES2_39">#REF!</definedName>
    <definedName name="ES2_4" localSheetId="1">#REF!</definedName>
    <definedName name="ES2_4">#REF!</definedName>
    <definedName name="ES2_40" localSheetId="1">#REF!</definedName>
    <definedName name="ES2_40">#REF!</definedName>
    <definedName name="ES2_41" localSheetId="1">#REF!</definedName>
    <definedName name="ES2_41">#REF!</definedName>
    <definedName name="ES2_42" localSheetId="1">#REF!</definedName>
    <definedName name="ES2_42">#REF!</definedName>
    <definedName name="ES2_43" localSheetId="1">#REF!</definedName>
    <definedName name="ES2_43">#REF!</definedName>
    <definedName name="ES2_5" localSheetId="1">#REF!</definedName>
    <definedName name="ES2_5">#REF!</definedName>
    <definedName name="ES2_6" localSheetId="1">#REF!</definedName>
    <definedName name="ES2_6">#REF!</definedName>
    <definedName name="ES2_7" localSheetId="1">#REF!</definedName>
    <definedName name="ES2_7">#REF!</definedName>
    <definedName name="ES2_8" localSheetId="1">#REF!</definedName>
    <definedName name="ES2_8">#REF!</definedName>
    <definedName name="ES2_9" localSheetId="1">#REF!</definedName>
    <definedName name="ES2_9">#REF!</definedName>
    <definedName name="ES3_1" localSheetId="1">#REF!</definedName>
    <definedName name="ES3_1">#REF!</definedName>
    <definedName name="ES3_10" localSheetId="1">#REF!</definedName>
    <definedName name="ES3_10">#REF!</definedName>
    <definedName name="ES3_11" localSheetId="1">#REF!</definedName>
    <definedName name="ES3_11">#REF!</definedName>
    <definedName name="ES3_12" localSheetId="1">#REF!</definedName>
    <definedName name="ES3_12">#REF!</definedName>
    <definedName name="ES3_13" localSheetId="1">#REF!</definedName>
    <definedName name="ES3_13">#REF!</definedName>
    <definedName name="ES3_14" localSheetId="1">#REF!</definedName>
    <definedName name="ES3_14">#REF!</definedName>
    <definedName name="ES3_15" localSheetId="1">#REF!</definedName>
    <definedName name="ES3_15">#REF!</definedName>
    <definedName name="ES3_16" localSheetId="1">#REF!</definedName>
    <definedName name="ES3_16">#REF!</definedName>
    <definedName name="ES3_17" localSheetId="1">#REF!</definedName>
    <definedName name="ES3_17">#REF!</definedName>
    <definedName name="ES3_18" localSheetId="1">#REF!</definedName>
    <definedName name="ES3_18">#REF!</definedName>
    <definedName name="ES3_19" localSheetId="1">#REF!</definedName>
    <definedName name="ES3_19">#REF!</definedName>
    <definedName name="ES3_2" localSheetId="1">#REF!</definedName>
    <definedName name="ES3_2">#REF!</definedName>
    <definedName name="ES3_20" localSheetId="1">#REF!</definedName>
    <definedName name="ES3_20">#REF!</definedName>
    <definedName name="ES3_21" localSheetId="1">#REF!</definedName>
    <definedName name="ES3_21">#REF!</definedName>
    <definedName name="ES3_22" localSheetId="1">#REF!</definedName>
    <definedName name="ES3_22">#REF!</definedName>
    <definedName name="ES3_23" localSheetId="1">#REF!</definedName>
    <definedName name="ES3_23">#REF!</definedName>
    <definedName name="ES3_24" localSheetId="1">#REF!</definedName>
    <definedName name="ES3_24">#REF!</definedName>
    <definedName name="ES3_25" localSheetId="1">#REF!</definedName>
    <definedName name="ES3_25">#REF!</definedName>
    <definedName name="ES3_26" localSheetId="1">#REF!</definedName>
    <definedName name="ES3_26">#REF!</definedName>
    <definedName name="ES3_27" localSheetId="1">#REF!</definedName>
    <definedName name="ES3_27">#REF!</definedName>
    <definedName name="ES3_28" localSheetId="1">#REF!</definedName>
    <definedName name="ES3_28">#REF!</definedName>
    <definedName name="ES3_29" localSheetId="1">#REF!</definedName>
    <definedName name="ES3_29">#REF!</definedName>
    <definedName name="ES3_3" localSheetId="1">#REF!</definedName>
    <definedName name="ES3_3">#REF!</definedName>
    <definedName name="ES3_30" localSheetId="1">#REF!</definedName>
    <definedName name="ES3_30">#REF!</definedName>
    <definedName name="ES3_31" localSheetId="1">#REF!</definedName>
    <definedName name="ES3_31">#REF!</definedName>
    <definedName name="ES3_32" localSheetId="1">#REF!</definedName>
    <definedName name="ES3_32">#REF!</definedName>
    <definedName name="ES3_33" localSheetId="1">#REF!</definedName>
    <definedName name="ES3_33">#REF!</definedName>
    <definedName name="ES3_34" localSheetId="1">#REF!</definedName>
    <definedName name="ES3_34">#REF!</definedName>
    <definedName name="ES3_35" localSheetId="1">#REF!</definedName>
    <definedName name="ES3_35">#REF!</definedName>
    <definedName name="ES3_36" localSheetId="1">#REF!</definedName>
    <definedName name="ES3_36">#REF!</definedName>
    <definedName name="ES3_37" localSheetId="1">#REF!</definedName>
    <definedName name="ES3_37">#REF!</definedName>
    <definedName name="ES3_38" localSheetId="1">#REF!</definedName>
    <definedName name="ES3_38">#REF!</definedName>
    <definedName name="ES3_39" localSheetId="1">#REF!</definedName>
    <definedName name="ES3_39">#REF!</definedName>
    <definedName name="ES3_4" localSheetId="1">#REF!</definedName>
    <definedName name="ES3_4">#REF!</definedName>
    <definedName name="ES3_40" localSheetId="1">#REF!</definedName>
    <definedName name="ES3_40">#REF!</definedName>
    <definedName name="ES3_41" localSheetId="1">#REF!</definedName>
    <definedName name="ES3_41">#REF!</definedName>
    <definedName name="ES3_42" localSheetId="1">#REF!</definedName>
    <definedName name="ES3_42">#REF!</definedName>
    <definedName name="ES3_43" localSheetId="1">#REF!</definedName>
    <definedName name="ES3_43">#REF!</definedName>
    <definedName name="ES3_5" localSheetId="1">#REF!</definedName>
    <definedName name="ES3_5">#REF!</definedName>
    <definedName name="ES3_6" localSheetId="1">#REF!</definedName>
    <definedName name="ES3_6">#REF!</definedName>
    <definedName name="ES3_7" localSheetId="1">#REF!</definedName>
    <definedName name="ES3_7">#REF!</definedName>
    <definedName name="ES3_8" localSheetId="1">#REF!</definedName>
    <definedName name="ES3_8">#REF!</definedName>
    <definedName name="ES3_9" localSheetId="1">#REF!</definedName>
    <definedName name="ES3_9">#REF!</definedName>
    <definedName name="ES4_1" localSheetId="1">#REF!</definedName>
    <definedName name="ES4_1">#REF!</definedName>
    <definedName name="ES4_10" localSheetId="1">#REF!</definedName>
    <definedName name="ES4_10">#REF!</definedName>
    <definedName name="ES4_11" localSheetId="1">#REF!</definedName>
    <definedName name="ES4_11">#REF!</definedName>
    <definedName name="ES4_12" localSheetId="1">#REF!</definedName>
    <definedName name="ES4_12">#REF!</definedName>
    <definedName name="ES4_13" localSheetId="1">#REF!</definedName>
    <definedName name="ES4_13">#REF!</definedName>
    <definedName name="ES4_14" localSheetId="1">#REF!</definedName>
    <definedName name="ES4_14">#REF!</definedName>
    <definedName name="ES4_15" localSheetId="1">#REF!</definedName>
    <definedName name="ES4_15">#REF!</definedName>
    <definedName name="ES4_16" localSheetId="1">#REF!</definedName>
    <definedName name="ES4_16">#REF!</definedName>
    <definedName name="ES4_17" localSheetId="1">#REF!</definedName>
    <definedName name="ES4_17">#REF!</definedName>
    <definedName name="ES4_18" localSheetId="1">#REF!</definedName>
    <definedName name="ES4_18">#REF!</definedName>
    <definedName name="ES4_19" localSheetId="1">#REF!</definedName>
    <definedName name="ES4_19">#REF!</definedName>
    <definedName name="ES4_2" localSheetId="1">#REF!</definedName>
    <definedName name="ES4_2">#REF!</definedName>
    <definedName name="ES4_20" localSheetId="1">#REF!</definedName>
    <definedName name="ES4_20">#REF!</definedName>
    <definedName name="ES4_21" localSheetId="1">#REF!</definedName>
    <definedName name="ES4_21">#REF!</definedName>
    <definedName name="ES4_22" localSheetId="1">#REF!</definedName>
    <definedName name="ES4_22">#REF!</definedName>
    <definedName name="ES4_23" localSheetId="1">#REF!</definedName>
    <definedName name="ES4_23">#REF!</definedName>
    <definedName name="ES4_24" localSheetId="1">#REF!</definedName>
    <definedName name="ES4_24">#REF!</definedName>
    <definedName name="ES4_25" localSheetId="1">#REF!</definedName>
    <definedName name="ES4_25">#REF!</definedName>
    <definedName name="ES4_26" localSheetId="1">#REF!</definedName>
    <definedName name="ES4_26">#REF!</definedName>
    <definedName name="ES4_27" localSheetId="1">#REF!</definedName>
    <definedName name="ES4_27">#REF!</definedName>
    <definedName name="ES4_28" localSheetId="1">#REF!</definedName>
    <definedName name="ES4_28">#REF!</definedName>
    <definedName name="ES4_29" localSheetId="1">#REF!</definedName>
    <definedName name="ES4_29">#REF!</definedName>
    <definedName name="ES4_3" localSheetId="1">#REF!</definedName>
    <definedName name="ES4_3">#REF!</definedName>
    <definedName name="ES4_30" localSheetId="1">#REF!</definedName>
    <definedName name="ES4_30">#REF!</definedName>
    <definedName name="ES4_31" localSheetId="1">#REF!</definedName>
    <definedName name="ES4_31">#REF!</definedName>
    <definedName name="ES4_32" localSheetId="1">#REF!</definedName>
    <definedName name="ES4_32">#REF!</definedName>
    <definedName name="ES4_33" localSheetId="1">#REF!</definedName>
    <definedName name="ES4_33">#REF!</definedName>
    <definedName name="ES4_34" localSheetId="1">#REF!</definedName>
    <definedName name="ES4_34">#REF!</definedName>
    <definedName name="ES4_35" localSheetId="1">#REF!</definedName>
    <definedName name="ES4_35">#REF!</definedName>
    <definedName name="ES4_36" localSheetId="1">#REF!</definedName>
    <definedName name="ES4_36">#REF!</definedName>
    <definedName name="ES4_37" localSheetId="1">#REF!</definedName>
    <definedName name="ES4_37">#REF!</definedName>
    <definedName name="ES4_38" localSheetId="1">#REF!</definedName>
    <definedName name="ES4_38">#REF!</definedName>
    <definedName name="ES4_39" localSheetId="1">#REF!</definedName>
    <definedName name="ES4_39">#REF!</definedName>
    <definedName name="ES4_4" localSheetId="1">#REF!</definedName>
    <definedName name="ES4_4">#REF!</definedName>
    <definedName name="ES4_40" localSheetId="1">#REF!</definedName>
    <definedName name="ES4_40">#REF!</definedName>
    <definedName name="ES4_41" localSheetId="1">#REF!</definedName>
    <definedName name="ES4_41">#REF!</definedName>
    <definedName name="ES4_42" localSheetId="1">#REF!</definedName>
    <definedName name="ES4_42">#REF!</definedName>
    <definedName name="ES4_43" localSheetId="1">#REF!</definedName>
    <definedName name="ES4_43">#REF!</definedName>
    <definedName name="ES4_5" localSheetId="1">#REF!</definedName>
    <definedName name="ES4_5">#REF!</definedName>
    <definedName name="ES4_6" localSheetId="1">#REF!</definedName>
    <definedName name="ES4_6">#REF!</definedName>
    <definedName name="ES4_7" localSheetId="1">#REF!</definedName>
    <definedName name="ES4_7">#REF!</definedName>
    <definedName name="ES4_8" localSheetId="1">#REF!</definedName>
    <definedName name="ES4_8">#REF!</definedName>
    <definedName name="ES4_9" localSheetId="1">#REF!</definedName>
    <definedName name="ES4_9">#REF!</definedName>
    <definedName name="ES5_1" localSheetId="1">#REF!</definedName>
    <definedName name="ES5_1">#REF!</definedName>
    <definedName name="ES5_10" localSheetId="1">#REF!</definedName>
    <definedName name="ES5_10">#REF!</definedName>
    <definedName name="ES5_11" localSheetId="1">#REF!</definedName>
    <definedName name="ES5_11">#REF!</definedName>
    <definedName name="ES5_12" localSheetId="1">#REF!</definedName>
    <definedName name="ES5_12">#REF!</definedName>
    <definedName name="ES5_13" localSheetId="1">#REF!</definedName>
    <definedName name="ES5_13">#REF!</definedName>
    <definedName name="ES5_14" localSheetId="1">#REF!</definedName>
    <definedName name="ES5_14">#REF!</definedName>
    <definedName name="ES5_15" localSheetId="1">#REF!</definedName>
    <definedName name="ES5_15">#REF!</definedName>
    <definedName name="ES5_16" localSheetId="1">#REF!</definedName>
    <definedName name="ES5_16">#REF!</definedName>
    <definedName name="ES5_17" localSheetId="1">#REF!</definedName>
    <definedName name="ES5_17">#REF!</definedName>
    <definedName name="ES5_18" localSheetId="1">#REF!</definedName>
    <definedName name="ES5_18">#REF!</definedName>
    <definedName name="ES5_19" localSheetId="1">#REF!</definedName>
    <definedName name="ES5_19">#REF!</definedName>
    <definedName name="ES5_2" localSheetId="1">#REF!</definedName>
    <definedName name="ES5_2">#REF!</definedName>
    <definedName name="ES5_20" localSheetId="1">#REF!</definedName>
    <definedName name="ES5_20">#REF!</definedName>
    <definedName name="ES5_21" localSheetId="1">#REF!</definedName>
    <definedName name="ES5_21">#REF!</definedName>
    <definedName name="ES5_22" localSheetId="1">#REF!</definedName>
    <definedName name="ES5_22">#REF!</definedName>
    <definedName name="ES5_23" localSheetId="1">#REF!</definedName>
    <definedName name="ES5_23">#REF!</definedName>
    <definedName name="ES5_24" localSheetId="1">#REF!</definedName>
    <definedName name="ES5_24">#REF!</definedName>
    <definedName name="ES5_25" localSheetId="1">#REF!</definedName>
    <definedName name="ES5_25">#REF!</definedName>
    <definedName name="ES5_26" localSheetId="1">#REF!</definedName>
    <definedName name="ES5_26">#REF!</definedName>
    <definedName name="ES5_27" localSheetId="1">#REF!</definedName>
    <definedName name="ES5_27">#REF!</definedName>
    <definedName name="ES5_28" localSheetId="1">#REF!</definedName>
    <definedName name="ES5_28">#REF!</definedName>
    <definedName name="ES5_29" localSheetId="1">#REF!</definedName>
    <definedName name="ES5_29">#REF!</definedName>
    <definedName name="ES5_3" localSheetId="1">#REF!</definedName>
    <definedName name="ES5_3">#REF!</definedName>
    <definedName name="ES5_30" localSheetId="1">#REF!</definedName>
    <definedName name="ES5_30">#REF!</definedName>
    <definedName name="ES5_31" localSheetId="1">#REF!</definedName>
    <definedName name="ES5_31">#REF!</definedName>
    <definedName name="ES5_32" localSheetId="1">#REF!</definedName>
    <definedName name="ES5_32">#REF!</definedName>
    <definedName name="ES5_33" localSheetId="1">#REF!</definedName>
    <definedName name="ES5_33">#REF!</definedName>
    <definedName name="ES5_34" localSheetId="1">#REF!</definedName>
    <definedName name="ES5_34">#REF!</definedName>
    <definedName name="ES5_35" localSheetId="1">#REF!</definedName>
    <definedName name="ES5_35">#REF!</definedName>
    <definedName name="ES5_36" localSheetId="1">#REF!</definedName>
    <definedName name="ES5_36">#REF!</definedName>
    <definedName name="ES5_37" localSheetId="1">#REF!</definedName>
    <definedName name="ES5_37">#REF!</definedName>
    <definedName name="ES5_38" localSheetId="1">#REF!</definedName>
    <definedName name="ES5_38">#REF!</definedName>
    <definedName name="ES5_39" localSheetId="1">#REF!</definedName>
    <definedName name="ES5_39">#REF!</definedName>
    <definedName name="ES5_4" localSheetId="1">#REF!</definedName>
    <definedName name="ES5_4">#REF!</definedName>
    <definedName name="ES5_40" localSheetId="1">#REF!</definedName>
    <definedName name="ES5_40">#REF!</definedName>
    <definedName name="ES5_41" localSheetId="1">#REF!</definedName>
    <definedName name="ES5_41">#REF!</definedName>
    <definedName name="ES5_42" localSheetId="1">#REF!</definedName>
    <definedName name="ES5_42">#REF!</definedName>
    <definedName name="ES5_43" localSheetId="1">#REF!</definedName>
    <definedName name="ES5_43">#REF!</definedName>
    <definedName name="ES5_5" localSheetId="1">#REF!</definedName>
    <definedName name="ES5_5">#REF!</definedName>
    <definedName name="ES5_6" localSheetId="1">#REF!</definedName>
    <definedName name="ES5_6">#REF!</definedName>
    <definedName name="ES5_7" localSheetId="1">#REF!</definedName>
    <definedName name="ES5_7">#REF!</definedName>
    <definedName name="ES5_8" localSheetId="1">#REF!</definedName>
    <definedName name="ES5_8">#REF!</definedName>
    <definedName name="ES5_9" localSheetId="1">#REF!</definedName>
    <definedName name="ES5_9">#REF!</definedName>
    <definedName name="ES6_1" localSheetId="1">#REF!</definedName>
    <definedName name="ES6_1">#REF!</definedName>
    <definedName name="ES6_10" localSheetId="1">#REF!</definedName>
    <definedName name="ES6_10">#REF!</definedName>
    <definedName name="ES6_11" localSheetId="1">#REF!</definedName>
    <definedName name="ES6_11">#REF!</definedName>
    <definedName name="ES6_12" localSheetId="1">#REF!</definedName>
    <definedName name="ES6_12">#REF!</definedName>
    <definedName name="ES6_13" localSheetId="1">#REF!</definedName>
    <definedName name="ES6_13">#REF!</definedName>
    <definedName name="ES6_14" localSheetId="1">#REF!</definedName>
    <definedName name="ES6_14">#REF!</definedName>
    <definedName name="ES6_15" localSheetId="1">#REF!</definedName>
    <definedName name="ES6_15">#REF!</definedName>
    <definedName name="ES6_16" localSheetId="1">#REF!</definedName>
    <definedName name="ES6_16">#REF!</definedName>
    <definedName name="ES6_17" localSheetId="1">#REF!</definedName>
    <definedName name="ES6_17">#REF!</definedName>
    <definedName name="ES6_18" localSheetId="1">#REF!</definedName>
    <definedName name="ES6_18">#REF!</definedName>
    <definedName name="ES6_19" localSheetId="1">#REF!</definedName>
    <definedName name="ES6_19">#REF!</definedName>
    <definedName name="ES6_2" localSheetId="1">#REF!</definedName>
    <definedName name="ES6_2">#REF!</definedName>
    <definedName name="ES6_20" localSheetId="1">#REF!</definedName>
    <definedName name="ES6_20">#REF!</definedName>
    <definedName name="ES6_21" localSheetId="1">#REF!</definedName>
    <definedName name="ES6_21">#REF!</definedName>
    <definedName name="ES6_22" localSheetId="1">#REF!</definedName>
    <definedName name="ES6_22">#REF!</definedName>
    <definedName name="ES6_23" localSheetId="1">#REF!</definedName>
    <definedName name="ES6_23">#REF!</definedName>
    <definedName name="ES6_24" localSheetId="1">#REF!</definedName>
    <definedName name="ES6_24">#REF!</definedName>
    <definedName name="ES6_25" localSheetId="1">#REF!</definedName>
    <definedName name="ES6_25">#REF!</definedName>
    <definedName name="ES6_26" localSheetId="1">#REF!</definedName>
    <definedName name="ES6_26">#REF!</definedName>
    <definedName name="ES6_27" localSheetId="1">#REF!</definedName>
    <definedName name="ES6_27">#REF!</definedName>
    <definedName name="ES6_28" localSheetId="1">#REF!</definedName>
    <definedName name="ES6_28">#REF!</definedName>
    <definedName name="ES6_29" localSheetId="1">#REF!</definedName>
    <definedName name="ES6_29">#REF!</definedName>
    <definedName name="ES6_3" localSheetId="1">#REF!</definedName>
    <definedName name="ES6_3">#REF!</definedName>
    <definedName name="ES6_30" localSheetId="1">#REF!</definedName>
    <definedName name="ES6_30">#REF!</definedName>
    <definedName name="ES6_31" localSheetId="1">#REF!</definedName>
    <definedName name="ES6_31">#REF!</definedName>
    <definedName name="ES6_32" localSheetId="1">#REF!</definedName>
    <definedName name="ES6_32">#REF!</definedName>
    <definedName name="ES6_33" localSheetId="1">#REF!</definedName>
    <definedName name="ES6_33">#REF!</definedName>
    <definedName name="ES6_34" localSheetId="1">#REF!</definedName>
    <definedName name="ES6_34">#REF!</definedName>
    <definedName name="ES6_35" localSheetId="1">#REF!</definedName>
    <definedName name="ES6_35">#REF!</definedName>
    <definedName name="ES6_36" localSheetId="1">#REF!</definedName>
    <definedName name="ES6_36">#REF!</definedName>
    <definedName name="ES6_37" localSheetId="1">#REF!</definedName>
    <definedName name="ES6_37">#REF!</definedName>
    <definedName name="ES6_38" localSheetId="1">#REF!</definedName>
    <definedName name="ES6_38">#REF!</definedName>
    <definedName name="ES6_39" localSheetId="1">#REF!</definedName>
    <definedName name="ES6_39">#REF!</definedName>
    <definedName name="ES6_4" localSheetId="1">#REF!</definedName>
    <definedName name="ES6_4">#REF!</definedName>
    <definedName name="ES6_40" localSheetId="1">#REF!</definedName>
    <definedName name="ES6_40">#REF!</definedName>
    <definedName name="ES6_41" localSheetId="1">#REF!</definedName>
    <definedName name="ES6_41">#REF!</definedName>
    <definedName name="ES6_42" localSheetId="1">#REF!</definedName>
    <definedName name="ES6_42">#REF!</definedName>
    <definedName name="ES6_43" localSheetId="1">#REF!</definedName>
    <definedName name="ES6_43">#REF!</definedName>
    <definedName name="ES6_5" localSheetId="1">#REF!</definedName>
    <definedName name="ES6_5">#REF!</definedName>
    <definedName name="ES6_6" localSheetId="1">#REF!</definedName>
    <definedName name="ES6_6">#REF!</definedName>
    <definedName name="ES6_7" localSheetId="1">#REF!</definedName>
    <definedName name="ES6_7">#REF!</definedName>
    <definedName name="ES6_8" localSheetId="1">#REF!</definedName>
    <definedName name="ES6_8">#REF!</definedName>
    <definedName name="ES6_9" localSheetId="1">#REF!</definedName>
    <definedName name="ES6_9">#REF!</definedName>
    <definedName name="ESCALERA" localSheetId="1">#REF!</definedName>
    <definedName name="ESCALERA">#REF!</definedName>
    <definedName name="ESMALTE" localSheetId="1">#REF!</definedName>
    <definedName name="ESMALTE">#REF!</definedName>
    <definedName name="ESMALTMADETOT" localSheetId="1">#REF!</definedName>
    <definedName name="ESMALTMADETOT">#REF!</definedName>
    <definedName name="ESP210.2.2" localSheetId="50">#REF!</definedName>
    <definedName name="ESP210.2.2" localSheetId="1">#REF!</definedName>
    <definedName name="ESP210.2.2">#REF!</definedName>
    <definedName name="ESP225P" localSheetId="50">#REF!</definedName>
    <definedName name="ESP225P" localSheetId="1">#REF!</definedName>
    <definedName name="ESP225P">#REF!</definedName>
    <definedName name="ESP630.4" localSheetId="50">#REF!</definedName>
    <definedName name="ESP630.4" localSheetId="1">#REF!</definedName>
    <definedName name="ESP630.4">#REF!</definedName>
    <definedName name="ESP671.1" localSheetId="50">#REF!</definedName>
    <definedName name="ESP671.1" localSheetId="1">#REF!</definedName>
    <definedName name="ESP671.1">#REF!</definedName>
    <definedName name="Este" localSheetId="50">#REF!</definedName>
    <definedName name="Este" localSheetId="1">#REF!</definedName>
    <definedName name="Este">#REF!</definedName>
    <definedName name="Estribos_ampact" localSheetId="50">#REF!</definedName>
    <definedName name="Estribos_ampact" localSheetId="1">#REF!</definedName>
    <definedName name="Estribos_ampact">#REF!</definedName>
    <definedName name="ESTRUCTURA" localSheetId="50" hidden="1">{#N/A,#N/A,TRUE,"INGENIERIA";#N/A,#N/A,TRUE,"COMPRAS";#N/A,#N/A,TRUE,"DIRECCION";#N/A,#N/A,TRUE,"RESUMEN"}</definedName>
    <definedName name="ESTRUCTURA" localSheetId="1" hidden="1">{#N/A,#N/A,TRUE,"INGENIERIA";#N/A,#N/A,TRUE,"COMPRAS";#N/A,#N/A,TRUE,"DIRECCION";#N/A,#N/A,TRUE,"RESUMEN"}</definedName>
    <definedName name="ESTRUCTURA" localSheetId="73" hidden="1">{#N/A,#N/A,TRUE,"INGENIERIA";#N/A,#N/A,TRUE,"COMPRAS";#N/A,#N/A,TRUE,"DIRECCION";#N/A,#N/A,TRUE,"RESUMEN"}</definedName>
    <definedName name="ESTRUCTURA" hidden="1">{#N/A,#N/A,TRUE,"INGENIERIA";#N/A,#N/A,TRUE,"COMPRAS";#N/A,#N/A,TRUE,"DIRECCION";#N/A,#N/A,TRUE,"RESUMEN"}</definedName>
    <definedName name="ETERNIT6" localSheetId="50">#REF!</definedName>
    <definedName name="ETERNIT6" localSheetId="1">#REF!</definedName>
    <definedName name="ETERNIT6">#REF!</definedName>
    <definedName name="etertgg" localSheetId="50" hidden="1">{"via1",#N/A,TRUE,"general";"via2",#N/A,TRUE,"general";"via3",#N/A,TRUE,"general"}</definedName>
    <definedName name="etertgg" localSheetId="1" hidden="1">{"via1",#N/A,TRUE,"general";"via2",#N/A,TRUE,"general";"via3",#N/A,TRUE,"general"}</definedName>
    <definedName name="etertgg" localSheetId="73" hidden="1">{"via1",#N/A,TRUE,"general";"via2",#N/A,TRUE,"general";"via3",#N/A,TRUE,"general"}</definedName>
    <definedName name="etertgg" hidden="1">{"via1",#N/A,TRUE,"general";"via2",#N/A,TRUE,"general";"via3",#N/A,TRUE,"general"}</definedName>
    <definedName name="etertt" localSheetId="50" hidden="1">{#N/A,#N/A,TRUE,"1842CWN0"}</definedName>
    <definedName name="etertt" localSheetId="1" hidden="1">{#N/A,#N/A,TRUE,"1842CWN0"}</definedName>
    <definedName name="etertt" localSheetId="73" hidden="1">{#N/A,#N/A,TRUE,"1842CWN0"}</definedName>
    <definedName name="etertt" hidden="1">{#N/A,#N/A,TRUE,"1842CWN0"}</definedName>
    <definedName name="etewt" localSheetId="50" hidden="1">{"TAB1",#N/A,TRUE,"GENERAL";"TAB2",#N/A,TRUE,"GENERAL";"TAB3",#N/A,TRUE,"GENERAL";"TAB4",#N/A,TRUE,"GENERAL";"TAB5",#N/A,TRUE,"GENERAL"}</definedName>
    <definedName name="etewt" localSheetId="1" hidden="1">{"TAB1",#N/A,TRUE,"GENERAL";"TAB2",#N/A,TRUE,"GENERAL";"TAB3",#N/A,TRUE,"GENERAL";"TAB4",#N/A,TRUE,"GENERAL";"TAB5",#N/A,TRUE,"GENERAL"}</definedName>
    <definedName name="etewt" localSheetId="73" hidden="1">{"TAB1",#N/A,TRUE,"GENERAL";"TAB2",#N/A,TRUE,"GENERAL";"TAB3",#N/A,TRUE,"GENERAL";"TAB4",#N/A,TRUE,"GENERAL";"TAB5",#N/A,TRUE,"GENERAL"}</definedName>
    <definedName name="etewt" hidden="1">{"TAB1",#N/A,TRUE,"GENERAL";"TAB2",#N/A,TRUE,"GENERAL";"TAB3",#N/A,TRUE,"GENERAL";"TAB4",#N/A,TRUE,"GENERAL";"TAB5",#N/A,TRUE,"GENERAL"}</definedName>
    <definedName name="ETOPO" localSheetId="1">#REF!</definedName>
    <definedName name="ETOPO">#REF!</definedName>
    <definedName name="etu" localSheetId="50" hidden="1">{"via1",#N/A,TRUE,"general";"via2",#N/A,TRUE,"general";"via3",#N/A,TRUE,"general"}</definedName>
    <definedName name="etu" localSheetId="1" hidden="1">{"via1",#N/A,TRUE,"general";"via2",#N/A,TRUE,"general";"via3",#N/A,TRUE,"general"}</definedName>
    <definedName name="etu" localSheetId="73" hidden="1">{"via1",#N/A,TRUE,"general";"via2",#N/A,TRUE,"general";"via3",#N/A,TRUE,"general"}</definedName>
    <definedName name="etu" hidden="1">{"via1",#N/A,TRUE,"general";"via2",#N/A,TRUE,"general";"via3",#N/A,TRUE,"general"}</definedName>
    <definedName name="etueh" localSheetId="50" hidden="1">{"via1",#N/A,TRUE,"general";"via2",#N/A,TRUE,"general";"via3",#N/A,TRUE,"general"}</definedName>
    <definedName name="etueh" localSheetId="1" hidden="1">{"via1",#N/A,TRUE,"general";"via2",#N/A,TRUE,"general";"via3",#N/A,TRUE,"general"}</definedName>
    <definedName name="etueh" localSheetId="73" hidden="1">{"via1",#N/A,TRUE,"general";"via2",#N/A,TRUE,"general";"via3",#N/A,TRUE,"general"}</definedName>
    <definedName name="etueh" hidden="1">{"via1",#N/A,TRUE,"general";"via2",#N/A,TRUE,"general";"via3",#N/A,TRUE,"general"}</definedName>
    <definedName name="etyty" localSheetId="50" hidden="1">{"via1",#N/A,TRUE,"general";"via2",#N/A,TRUE,"general";"via3",#N/A,TRUE,"general"}</definedName>
    <definedName name="etyty" localSheetId="1" hidden="1">{"via1",#N/A,TRUE,"general";"via2",#N/A,TRUE,"general";"via3",#N/A,TRUE,"general"}</definedName>
    <definedName name="etyty" localSheetId="73" hidden="1">{"via1",#N/A,TRUE,"general";"via2",#N/A,TRUE,"general";"via3",#N/A,TRUE,"general"}</definedName>
    <definedName name="etyty" hidden="1">{"via1",#N/A,TRUE,"general";"via2",#N/A,TRUE,"general";"via3",#N/A,TRUE,"general"}</definedName>
    <definedName name="etyu" localSheetId="50" hidden="1">{"TAB1",#N/A,TRUE,"GENERAL";"TAB2",#N/A,TRUE,"GENERAL";"TAB3",#N/A,TRUE,"GENERAL";"TAB4",#N/A,TRUE,"GENERAL";"TAB5",#N/A,TRUE,"GENERAL"}</definedName>
    <definedName name="etyu" localSheetId="1" hidden="1">{"TAB1",#N/A,TRUE,"GENERAL";"TAB2",#N/A,TRUE,"GENERAL";"TAB3",#N/A,TRUE,"GENERAL";"TAB4",#N/A,TRUE,"GENERAL";"TAB5",#N/A,TRUE,"GENERAL"}</definedName>
    <definedName name="etyu" localSheetId="73" hidden="1">{"TAB1",#N/A,TRUE,"GENERAL";"TAB2",#N/A,TRUE,"GENERAL";"TAB3",#N/A,TRUE,"GENERAL";"TAB4",#N/A,TRUE,"GENERAL";"TAB5",#N/A,TRUE,"GENERAL"}</definedName>
    <definedName name="etyu" hidden="1">{"TAB1",#N/A,TRUE,"GENERAL";"TAB2",#N/A,TRUE,"GENERAL";"TAB3",#N/A,TRUE,"GENERAL";"TAB4",#N/A,TRUE,"GENERAL";"TAB5",#N/A,TRUE,"GENERAL"}</definedName>
    <definedName name="eu" localSheetId="50" hidden="1">{"via1",#N/A,TRUE,"general";"via2",#N/A,TRUE,"general";"via3",#N/A,TRUE,"general"}</definedName>
    <definedName name="eu" localSheetId="1" hidden="1">{"via1",#N/A,TRUE,"general";"via2",#N/A,TRUE,"general";"via3",#N/A,TRUE,"general"}</definedName>
    <definedName name="eu" localSheetId="73" hidden="1">{"via1",#N/A,TRUE,"general";"via2",#N/A,TRUE,"general";"via3",#N/A,TRUE,"general"}</definedName>
    <definedName name="eu" hidden="1">{"via1",#N/A,TRUE,"general";"via2",#N/A,TRUE,"general";"via3",#N/A,TRUE,"general"}</definedName>
    <definedName name="eut" localSheetId="50" hidden="1">{"via1",#N/A,TRUE,"general";"via2",#N/A,TRUE,"general";"via3",#N/A,TRUE,"general"}</definedName>
    <definedName name="eut" localSheetId="1" hidden="1">{"via1",#N/A,TRUE,"general";"via2",#N/A,TRUE,"general";"via3",#N/A,TRUE,"general"}</definedName>
    <definedName name="eut" localSheetId="73" hidden="1">{"via1",#N/A,TRUE,"general";"via2",#N/A,TRUE,"general";"via3",#N/A,TRUE,"general"}</definedName>
    <definedName name="eut" hidden="1">{"via1",#N/A,TRUE,"general";"via2",#N/A,TRUE,"general";"via3",#N/A,TRUE,"general"}</definedName>
    <definedName name="euyt" localSheetId="50" hidden="1">{"TAB1",#N/A,TRUE,"GENERAL";"TAB2",#N/A,TRUE,"GENERAL";"TAB3",#N/A,TRUE,"GENERAL";"TAB4",#N/A,TRUE,"GENERAL";"TAB5",#N/A,TRUE,"GENERAL"}</definedName>
    <definedName name="euyt" localSheetId="1" hidden="1">{"TAB1",#N/A,TRUE,"GENERAL";"TAB2",#N/A,TRUE,"GENERAL";"TAB3",#N/A,TRUE,"GENERAL";"TAB4",#N/A,TRUE,"GENERAL";"TAB5",#N/A,TRUE,"GENERAL"}</definedName>
    <definedName name="euyt" localSheetId="73"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egt" localSheetId="50" hidden="1">{"TAB1",#N/A,TRUE,"GENERAL";"TAB2",#N/A,TRUE,"GENERAL";"TAB3",#N/A,TRUE,"GENERAL";"TAB4",#N/A,TRUE,"GENERAL";"TAB5",#N/A,TRUE,"GENERAL"}</definedName>
    <definedName name="ewegt" localSheetId="1" hidden="1">{"TAB1",#N/A,TRUE,"GENERAL";"TAB2",#N/A,TRUE,"GENERAL";"TAB3",#N/A,TRUE,"GENERAL";"TAB4",#N/A,TRUE,"GENERAL";"TAB5",#N/A,TRUE,"GENERAL"}</definedName>
    <definedName name="ewegt" localSheetId="73" hidden="1">{"TAB1",#N/A,TRUE,"GENERAL";"TAB2",#N/A,TRUE,"GENERAL";"TAB3",#N/A,TRUE,"GENERAL";"TAB4",#N/A,TRUE,"GENERAL";"TAB5",#N/A,TRUE,"GENERAL"}</definedName>
    <definedName name="ewegt" hidden="1">{"TAB1",#N/A,TRUE,"GENERAL";"TAB2",#N/A,TRUE,"GENERAL";"TAB3",#N/A,TRUE,"GENERAL";"TAB4",#N/A,TRUE,"GENERAL";"TAB5",#N/A,TRUE,"GENERAL"}</definedName>
    <definedName name="ewfewfg" localSheetId="50"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73" hidden="1">{"TAB1",#N/A,TRUE,"GENERAL";"TAB2",#N/A,TRUE,"GENERAL";"TAB3",#N/A,TRUE,"GENERAL";"TAB4",#N/A,TRUE,"GENERAL";"TAB5",#N/A,TRUE,"GENERAL"}</definedName>
    <definedName name="ewfewfg" hidden="1">{"TAB1",#N/A,TRUE,"GENERAL";"TAB2",#N/A,TRUE,"GENERAL";"TAB3",#N/A,TRUE,"GENERAL";"TAB4",#N/A,TRUE,"GENERAL";"TAB5",#N/A,TRUE,"GENERAL"}</definedName>
    <definedName name="ewre" localSheetId="50" hidden="1">{"TAB1",#N/A,TRUE,"GENERAL";"TAB2",#N/A,TRUE,"GENERAL";"TAB3",#N/A,TRUE,"GENERAL";"TAB4",#N/A,TRUE,"GENERAL";"TAB5",#N/A,TRUE,"GENERAL"}</definedName>
    <definedName name="ewre" localSheetId="1" hidden="1">{"TAB1",#N/A,TRUE,"GENERAL";"TAB2",#N/A,TRUE,"GENERAL";"TAB3",#N/A,TRUE,"GENERAL";"TAB4",#N/A,TRUE,"GENERAL";"TAB5",#N/A,TRUE,"GENERAL"}</definedName>
    <definedName name="ewre" localSheetId="73" hidden="1">{"TAB1",#N/A,TRUE,"GENERAL";"TAB2",#N/A,TRUE,"GENERAL";"TAB3",#N/A,TRUE,"GENERAL";"TAB4",#N/A,TRUE,"GENERAL";"TAB5",#N/A,TRUE,"GENERAL"}</definedName>
    <definedName name="ewre" hidden="1">{"TAB1",#N/A,TRUE,"GENERAL";"TAB2",#N/A,TRUE,"GENERAL";"TAB3",#N/A,TRUE,"GENERAL";"TAB4",#N/A,TRUE,"GENERAL";"TAB5",#N/A,TRUE,"GENERAL"}</definedName>
    <definedName name="ewrewf" localSheetId="50"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73" hidden="1">{"TAB1",#N/A,TRUE,"GENERAL";"TAB2",#N/A,TRUE,"GENERAL";"TAB3",#N/A,TRUE,"GENERAL";"TAB4",#N/A,TRUE,"GENERAL";"TAB5",#N/A,TRUE,"GENERAL"}</definedName>
    <definedName name="ewrewf" hidden="1">{"TAB1",#N/A,TRUE,"GENERAL";"TAB2",#N/A,TRUE,"GENERAL";"TAB3",#N/A,TRUE,"GENERAL";"TAB4",#N/A,TRUE,"GENERAL";"TAB5",#N/A,TRUE,"GENERAL"}</definedName>
    <definedName name="ewrr" localSheetId="50" hidden="1">{"TAB1",#N/A,TRUE,"GENERAL";"TAB2",#N/A,TRUE,"GENERAL";"TAB3",#N/A,TRUE,"GENERAL";"TAB4",#N/A,TRUE,"GENERAL";"TAB5",#N/A,TRUE,"GENERAL"}</definedName>
    <definedName name="ewrr" localSheetId="1" hidden="1">{"TAB1",#N/A,TRUE,"GENERAL";"TAB2",#N/A,TRUE,"GENERAL";"TAB3",#N/A,TRUE,"GENERAL";"TAB4",#N/A,TRUE,"GENERAL";"TAB5",#N/A,TRUE,"GENERAL"}</definedName>
    <definedName name="ewrr" localSheetId="73" hidden="1">{"TAB1",#N/A,TRUE,"GENERAL";"TAB2",#N/A,TRUE,"GENERAL";"TAB3",#N/A,TRUE,"GENERAL";"TAB4",#N/A,TRUE,"GENERAL";"TAB5",#N/A,TRUE,"GENERAL"}</definedName>
    <definedName name="ewrr" hidden="1">{"TAB1",#N/A,TRUE,"GENERAL";"TAB2",#N/A,TRUE,"GENERAL";"TAB3",#N/A,TRUE,"GENERAL";"TAB4",#N/A,TRUE,"GENERAL";"TAB5",#N/A,TRUE,"GENERAL"}</definedName>
    <definedName name="ewrt" localSheetId="50" hidden="1">{"TAB1",#N/A,TRUE,"GENERAL";"TAB2",#N/A,TRUE,"GENERAL";"TAB3",#N/A,TRUE,"GENERAL";"TAB4",#N/A,TRUE,"GENERAL";"TAB5",#N/A,TRUE,"GENERAL"}</definedName>
    <definedName name="ewrt" localSheetId="1" hidden="1">{"TAB1",#N/A,TRUE,"GENERAL";"TAB2",#N/A,TRUE,"GENERAL";"TAB3",#N/A,TRUE,"GENERAL";"TAB4",#N/A,TRUE,"GENERAL";"TAB5",#N/A,TRUE,"GENERAL"}</definedName>
    <definedName name="ewrt" localSheetId="73" hidden="1">{"TAB1",#N/A,TRUE,"GENERAL";"TAB2",#N/A,TRUE,"GENERAL";"TAB3",#N/A,TRUE,"GENERAL";"TAB4",#N/A,TRUE,"GENERAL";"TAB5",#N/A,TRUE,"GENERAL"}</definedName>
    <definedName name="ewrt" hidden="1">{"TAB1",#N/A,TRUE,"GENERAL";"TAB2",#N/A,TRUE,"GENERAL";"TAB3",#N/A,TRUE,"GENERAL";"TAB4",#N/A,TRUE,"GENERAL";"TAB5",#N/A,TRUE,"GENERAL"}</definedName>
    <definedName name="ewrwer" localSheetId="50"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73"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EL" localSheetId="1">#REF!</definedName>
    <definedName name="exCEL">#REF!</definedName>
    <definedName name="Excel_BuiltIn_Print_Area" localSheetId="50">#REF!,#REF!</definedName>
    <definedName name="Excel_BuiltIn_Print_Area" localSheetId="1">#REF!,#REF!</definedName>
    <definedName name="Excel_BuiltIn_Print_Area">#REF!,#REF!</definedName>
    <definedName name="Excel_BuiltIn_Print_Area_1" localSheetId="50">#REF!</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5" localSheetId="50">#REF!</definedName>
    <definedName name="Excel_BuiltIn_Print_Titles_15" localSheetId="1">#REF!</definedName>
    <definedName name="Excel_BuiltIn_Print_Titles_15">#REF!</definedName>
    <definedName name="Excel_BuiltIn_Print_Titles_16" localSheetId="50">#REF!</definedName>
    <definedName name="Excel_BuiltIn_Print_Titles_16" localSheetId="1">#REF!</definedName>
    <definedName name="Excel_BuiltIn_Print_Titles_16">#REF!</definedName>
    <definedName name="Excel_BuiltIn_Print_Titles_17" localSheetId="50">#REF!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20" localSheetId="50">#REF!</definedName>
    <definedName name="Excel_BuiltIn_Print_Titles_20" localSheetId="1">#REF!</definedName>
    <definedName name="Excel_BuiltIn_Print_Titles_20">#REF!</definedName>
    <definedName name="Excel_BuiltIn_Print_Titles_23" localSheetId="50">#REF!</definedName>
    <definedName name="Excel_BuiltIn_Print_Titles_23" localSheetId="1">#REF!</definedName>
    <definedName name="Excel_BuiltIn_Print_Titles_23">#REF!</definedName>
    <definedName name="Excel_BuiltIn_Print_Titles_3" localSheetId="50">#REF!</definedName>
    <definedName name="Excel_BuiltIn_Print_Titles_3" localSheetId="1">#REF!</definedName>
    <definedName name="Excel_BuiltIn_Print_Titles_3">#REF!</definedName>
    <definedName name="Excel_BuiltIn_Print_Titles_6" localSheetId="50">#REF!</definedName>
    <definedName name="Excel_BuiltIn_Print_Titles_6" localSheetId="1">#REF!</definedName>
    <definedName name="Excel_BuiltIn_Print_Titles_6">#REF!</definedName>
    <definedName name="Excel_BuiltIn_Print_Titles_8" localSheetId="50">#REF!</definedName>
    <definedName name="Excel_BuiltIn_Print_Titles_8" localSheetId="1">#REF!</definedName>
    <definedName name="Excel_BuiltIn_Print_Titles_8">#REF!</definedName>
    <definedName name="Executivepb" localSheetId="50" hidden="1">#REF!</definedName>
    <definedName name="Executivepb" localSheetId="1" hidden="1">#REF!</definedName>
    <definedName name="Executivepb" hidden="1">#REF!</definedName>
    <definedName name="Extra_Pay" localSheetId="50">#REF!</definedName>
    <definedName name="Extra_Pay" localSheetId="1">#REF!</definedName>
    <definedName name="Extra_Pay">#REF!</definedName>
    <definedName name="Extracción_IM" localSheetId="50">#REF!</definedName>
    <definedName name="Extracción_IM" localSheetId="1">#REF!</definedName>
    <definedName name="Extracción_IM">#REF!</definedName>
    <definedName name="fa" localSheetId="1">#REF!</definedName>
    <definedName name="fa">#REF!</definedName>
    <definedName name="FABI" localSheetId="2">Scheduled_Payment+Extra_Payment</definedName>
    <definedName name="FABI" localSheetId="3">Scheduled_Payment+Extra_Payment</definedName>
    <definedName name="FABI" localSheetId="4">Scheduled_Payment+Extra_Payment</definedName>
    <definedName name="FABI" localSheetId="5">Scheduled_Payment+Extra_Payment</definedName>
    <definedName name="FABI" localSheetId="6">Scheduled_Payment+Extra_Payment</definedName>
    <definedName name="FABI" localSheetId="7">Scheduled_Payment+Extra_Payment</definedName>
    <definedName name="FABI" localSheetId="8">Scheduled_Payment+Extra_Payment</definedName>
    <definedName name="FABI" localSheetId="9">Scheduled_Payment+Extra_Payment</definedName>
    <definedName name="FABI" localSheetId="10">Scheduled_Payment+Extra_Payment</definedName>
    <definedName name="FABI" localSheetId="11">Scheduled_Payment+Extra_Payment</definedName>
    <definedName name="FABI" localSheetId="12">Scheduled_Payment+Extra_Payment</definedName>
    <definedName name="FABI" localSheetId="13">Scheduled_Payment+Extra_Payment</definedName>
    <definedName name="FABI" localSheetId="14">Scheduled_Payment+Extra_Payment</definedName>
    <definedName name="FABI" localSheetId="15">Scheduled_Payment+Extra_Payment</definedName>
    <definedName name="FABI" localSheetId="16">Scheduled_Payment+Extra_Payment</definedName>
    <definedName name="FABI" localSheetId="17">Scheduled_Payment+Extra_Payment</definedName>
    <definedName name="FABI" localSheetId="18">Scheduled_Payment+Extra_Payment</definedName>
    <definedName name="FABI" localSheetId="19">Scheduled_Payment+Extra_Payment</definedName>
    <definedName name="FABI" localSheetId="20">Scheduled_Payment+Extra_Payment</definedName>
    <definedName name="FABI" localSheetId="21">Scheduled_Payment+Extra_Payment</definedName>
    <definedName name="FABI" localSheetId="22">Scheduled_Payment+Extra_Payment</definedName>
    <definedName name="FABI" localSheetId="23">Scheduled_Payment+Extra_Payment</definedName>
    <definedName name="FABI" localSheetId="24">Scheduled_Payment+Extra_Payment</definedName>
    <definedName name="FABI" localSheetId="25">Scheduled_Payment+Extra_Payment</definedName>
    <definedName name="FABI" localSheetId="26">Scheduled_Payment+Extra_Payment</definedName>
    <definedName name="FABI" localSheetId="27">Scheduled_Payment+Extra_Payment</definedName>
    <definedName name="FABI" localSheetId="28">Scheduled_Payment+Extra_Payment</definedName>
    <definedName name="FABI" localSheetId="29">Scheduled_Payment+Extra_Payment</definedName>
    <definedName name="FABI" localSheetId="30">Scheduled_Payment+Extra_Payment</definedName>
    <definedName name="FABI" localSheetId="31">Scheduled_Payment+Extra_Payment</definedName>
    <definedName name="FABI" localSheetId="32">Scheduled_Payment+Extra_Payment</definedName>
    <definedName name="FABI" localSheetId="33">Scheduled_Payment+Extra_Payment</definedName>
    <definedName name="FABI" localSheetId="34">Scheduled_Payment+Extra_Payment</definedName>
    <definedName name="FABI" localSheetId="35">Scheduled_Payment+Extra_Payment</definedName>
    <definedName name="FABI" localSheetId="36">Scheduled_Payment+Extra_Payment</definedName>
    <definedName name="FABI" localSheetId="37">Scheduled_Payment+Extra_Payment</definedName>
    <definedName name="FABI" localSheetId="39">Scheduled_Payment+Extra_Payment</definedName>
    <definedName name="FABI" localSheetId="40">Scheduled_Payment+Extra_Payment</definedName>
    <definedName name="FABI" localSheetId="41">Scheduled_Payment+Extra_Payment</definedName>
    <definedName name="FABI" localSheetId="42">Scheduled_Payment+Extra_Payment</definedName>
    <definedName name="FABI" localSheetId="43">Scheduled_Payment+Extra_Payment</definedName>
    <definedName name="FABI" localSheetId="44">Scheduled_Payment+Extra_Payment</definedName>
    <definedName name="FABI" localSheetId="45">Scheduled_Payment+Extra_Payment</definedName>
    <definedName name="FABI" localSheetId="46">Scheduled_Payment+Extra_Payment</definedName>
    <definedName name="FABI" localSheetId="47">Scheduled_Payment+Extra_Payment</definedName>
    <definedName name="FABI" localSheetId="48">Scheduled_Payment+Extra_Payment</definedName>
    <definedName name="FABI" localSheetId="49">Scheduled_Payment+Extra_Payment</definedName>
    <definedName name="FABI" localSheetId="50">Scheduled_Payment+Extra_Payment</definedName>
    <definedName name="FABI" localSheetId="51">Scheduled_Payment+Extra_Payment</definedName>
    <definedName name="FABI" localSheetId="52">Scheduled_Payment+Extra_Payment</definedName>
    <definedName name="FABI" localSheetId="53">Scheduled_Payment+Extra_Payment</definedName>
    <definedName name="FABI" localSheetId="54">Scheduled_Payment+Extra_Payment</definedName>
    <definedName name="FABI" localSheetId="55">Scheduled_Payment+Extra_Payment</definedName>
    <definedName name="FABI" localSheetId="56">Scheduled_Payment+Extra_Payment</definedName>
    <definedName name="FABI" localSheetId="57">Scheduled_Payment+Extra_Payment</definedName>
    <definedName name="FABI" localSheetId="58">Scheduled_Payment+Extra_Payment</definedName>
    <definedName name="FABI" localSheetId="59">Scheduled_Payment+Extra_Payment</definedName>
    <definedName name="FABI" localSheetId="60">Scheduled_Payment+Extra_Payment</definedName>
    <definedName name="FABI" localSheetId="61">Scheduled_Payment+Extra_Payment</definedName>
    <definedName name="FABI" localSheetId="62">Scheduled_Payment+Extra_Payment</definedName>
    <definedName name="FABI" localSheetId="63">Scheduled_Payment+Extra_Payment</definedName>
    <definedName name="FABI" localSheetId="64">Scheduled_Payment+Extra_Payment</definedName>
    <definedName name="FABI" localSheetId="65">Scheduled_Payment+Extra_Payment</definedName>
    <definedName name="FABI" localSheetId="66">Scheduled_Payment+Extra_Payment</definedName>
    <definedName name="FABI" localSheetId="67">Scheduled_Payment+Extra_Payment</definedName>
    <definedName name="FABI" localSheetId="68">Scheduled_Payment+Extra_Payment</definedName>
    <definedName name="FABI" localSheetId="69">Scheduled_Payment+Extra_Payment</definedName>
    <definedName name="FABI" localSheetId="70">Scheduled_Payment+Extra_Payment</definedName>
    <definedName name="FABI" localSheetId="1">Scheduled_Payment+Extra_Payment</definedName>
    <definedName name="FABI">Scheduled_Payment+Extra_Payment</definedName>
    <definedName name="FABIAN">#N/A</definedName>
    <definedName name="FAC" localSheetId="50" hidden="1">#REF!</definedName>
    <definedName name="FAC" localSheetId="1" hidden="1">#REF!</definedName>
    <definedName name="FAC" hidden="1">#REF!</definedName>
    <definedName name="factor" localSheetId="50">#REF!</definedName>
    <definedName name="factor" localSheetId="1">#REF!</definedName>
    <definedName name="factor">#REF!</definedName>
    <definedName name="factorr" localSheetId="50">#REF!</definedName>
    <definedName name="factorr" localSheetId="1">#REF!</definedName>
    <definedName name="factorr">#REF!</definedName>
    <definedName name="Factpb" localSheetId="1" hidden="1">#REF!</definedName>
    <definedName name="Factpb" hidden="1">#REF!</definedName>
    <definedName name="Factpb2" localSheetId="1" hidden="1">#REF!</definedName>
    <definedName name="Factpb2" hidden="1">#REF!</definedName>
    <definedName name="fausto" localSheetId="50">#REF!</definedName>
    <definedName name="fausto" localSheetId="1">#REF!</definedName>
    <definedName name="fausto">#REF!</definedName>
    <definedName name="FAYALAD" localSheetId="50">#REF!</definedName>
    <definedName name="FAYALAD" localSheetId="1">#REF!</definedName>
    <definedName name="FAYALAD">#REF!</definedName>
    <definedName name="fb" localSheetId="50">#REF!</definedName>
    <definedName name="fb" localSheetId="1">#REF!</definedName>
    <definedName name="fb">#REF!</definedName>
    <definedName name="fda" localSheetId="50" hidden="1">{"TAB1",#N/A,TRUE,"GENERAL";"TAB2",#N/A,TRUE,"GENERAL";"TAB3",#N/A,TRUE,"GENERAL";"TAB4",#N/A,TRUE,"GENERAL";"TAB5",#N/A,TRUE,"GENERAL"}</definedName>
    <definedName name="fda" localSheetId="1" hidden="1">{"TAB1",#N/A,TRUE,"GENERAL";"TAB2",#N/A,TRUE,"GENERAL";"TAB3",#N/A,TRUE,"GENERAL";"TAB4",#N/A,TRUE,"GENERAL";"TAB5",#N/A,TRUE,"GENERAL"}</definedName>
    <definedName name="fda" localSheetId="73" hidden="1">{"TAB1",#N/A,TRUE,"GENERAL";"TAB2",#N/A,TRUE,"GENERAL";"TAB3",#N/A,TRUE,"GENERAL";"TAB4",#N/A,TRUE,"GENERAL";"TAB5",#N/A,TRUE,"GENERAL"}</definedName>
    <definedName name="fda" hidden="1">{"TAB1",#N/A,TRUE,"GENERAL";"TAB2",#N/A,TRUE,"GENERAL";"TAB3",#N/A,TRUE,"GENERAL";"TAB4",#N/A,TRUE,"GENERAL";"TAB5",#N/A,TRUE,"GENERAL"}</definedName>
    <definedName name="fdbjp" localSheetId="50" hidden="1">{"TAB1",#N/A,TRUE,"GENERAL";"TAB2",#N/A,TRUE,"GENERAL";"TAB3",#N/A,TRUE,"GENERAL";"TAB4",#N/A,TRUE,"GENERAL";"TAB5",#N/A,TRUE,"GENERAL"}</definedName>
    <definedName name="fdbjp" localSheetId="1" hidden="1">{"TAB1",#N/A,TRUE,"GENERAL";"TAB2",#N/A,TRUE,"GENERAL";"TAB3",#N/A,TRUE,"GENERAL";"TAB4",#N/A,TRUE,"GENERAL";"TAB5",#N/A,TRUE,"GENERAL"}</definedName>
    <definedName name="fdbjp" localSheetId="73" hidden="1">{"TAB1",#N/A,TRUE,"GENERAL";"TAB2",#N/A,TRUE,"GENERAL";"TAB3",#N/A,TRUE,"GENERAL";"TAB4",#N/A,TRUE,"GENERAL";"TAB5",#N/A,TRUE,"GENERAL"}</definedName>
    <definedName name="fdbjp" hidden="1">{"TAB1",#N/A,TRUE,"GENERAL";"TAB2",#N/A,TRUE,"GENERAL";"TAB3",#N/A,TRUE,"GENERAL";"TAB4",#N/A,TRUE,"GENERAL";"TAB5",#N/A,TRUE,"GENERAL"}</definedName>
    <definedName name="fdf" localSheetId="1">#REF!</definedName>
    <definedName name="fdf" localSheetId="71" hidden="1">{"TAB1",#N/A,TRUE,"GENERAL";"TAB2",#N/A,TRUE,"GENERAL";"TAB3",#N/A,TRUE,"GENERAL";"TAB4",#N/A,TRUE,"GENERAL";"TAB5",#N/A,TRUE,"GENERAL"}</definedName>
    <definedName name="fdf" localSheetId="73" hidden="1">{"TAB1",#N/A,TRUE,"GENERAL";"TAB2",#N/A,TRUE,"GENERAL";"TAB3",#N/A,TRUE,"GENERAL";"TAB4",#N/A,TRUE,"GENERAL";"TAB5",#N/A,TRUE,"GENERAL"}</definedName>
    <definedName name="fdf">#REF!</definedName>
    <definedName name="fdg" localSheetId="50" hidden="1">{"via1",#N/A,TRUE,"general";"via2",#N/A,TRUE,"general";"via3",#N/A,TRUE,"general"}</definedName>
    <definedName name="fdg" localSheetId="1" hidden="1">{"via1",#N/A,TRUE,"general";"via2",#N/A,TRUE,"general";"via3",#N/A,TRUE,"general"}</definedName>
    <definedName name="fdg" localSheetId="73" hidden="1">{"via1",#N/A,TRUE,"general";"via2",#N/A,TRUE,"general";"via3",#N/A,TRUE,"general"}</definedName>
    <definedName name="fdg" hidden="1">{"via1",#N/A,TRUE,"general";"via2",#N/A,TRUE,"general";"via3",#N/A,TRUE,"general"}</definedName>
    <definedName name="FDGD" localSheetId="50" hidden="1">{"TAB1",#N/A,TRUE,"GENERAL";"TAB2",#N/A,TRUE,"GENERAL";"TAB3",#N/A,TRUE,"GENERAL";"TAB4",#N/A,TRUE,"GENERAL";"TAB5",#N/A,TRUE,"GENERAL"}</definedName>
    <definedName name="FDGD" localSheetId="1" hidden="1">{"TAB1",#N/A,TRUE,"GENERAL";"TAB2",#N/A,TRUE,"GENERAL";"TAB3",#N/A,TRUE,"GENERAL";"TAB4",#N/A,TRUE,"GENERAL";"TAB5",#N/A,TRUE,"GENERAL"}</definedName>
    <definedName name="FDGD" localSheetId="73" hidden="1">{"TAB1",#N/A,TRUE,"GENERAL";"TAB2",#N/A,TRUE,"GENERAL";"TAB3",#N/A,TRUE,"GENERAL";"TAB4",#N/A,TRUE,"GENERAL";"TAB5",#N/A,TRUE,"GENERAL"}</definedName>
    <definedName name="FDGD" hidden="1">{"TAB1",#N/A,TRUE,"GENERAL";"TAB2",#N/A,TRUE,"GENERAL";"TAB3",#N/A,TRUE,"GENERAL";"TAB4",#N/A,TRUE,"GENERAL";"TAB5",#N/A,TRUE,"GENERAL"}</definedName>
    <definedName name="FDGFDBBP" localSheetId="50"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73" hidden="1">{"TAB1",#N/A,TRUE,"GENERAL";"TAB2",#N/A,TRUE,"GENERAL";"TAB3",#N/A,TRUE,"GENERAL";"TAB4",#N/A,TRUE,"GENERAL";"TAB5",#N/A,TRUE,"GENERAL"}</definedName>
    <definedName name="FDGFDBBP" hidden="1">{"TAB1",#N/A,TRUE,"GENERAL";"TAB2",#N/A,TRUE,"GENERAL";"TAB3",#N/A,TRUE,"GENERAL";"TAB4",#N/A,TRUE,"GENERAL";"TAB5",#N/A,TRUE,"GENERAL"}</definedName>
    <definedName name="fdh" localSheetId="50" hidden="1">{"TAB1",#N/A,TRUE,"GENERAL";"TAB2",#N/A,TRUE,"GENERAL";"TAB3",#N/A,TRUE,"GENERAL";"TAB4",#N/A,TRUE,"GENERAL";"TAB5",#N/A,TRUE,"GENERAL"}</definedName>
    <definedName name="fdh" localSheetId="1" hidden="1">{"TAB1",#N/A,TRUE,"GENERAL";"TAB2",#N/A,TRUE,"GENERAL";"TAB3",#N/A,TRUE,"GENERAL";"TAB4",#N/A,TRUE,"GENERAL";"TAB5",#N/A,TRUE,"GENERAL"}</definedName>
    <definedName name="fdh" localSheetId="73" hidden="1">{"TAB1",#N/A,TRUE,"GENERAL";"TAB2",#N/A,TRUE,"GENERAL";"TAB3",#N/A,TRUE,"GENERAL";"TAB4",#N/A,TRUE,"GENERAL";"TAB5",#N/A,TRUE,"GENERAL"}</definedName>
    <definedName name="fdh" hidden="1">{"TAB1",#N/A,TRUE,"GENERAL";"TAB2",#N/A,TRUE,"GENERAL";"TAB3",#N/A,TRUE,"GENERAL";"TAB4",#N/A,TRUE,"GENERAL";"TAB5",#N/A,TRUE,"GENERAL"}</definedName>
    <definedName name="fdsafd" localSheetId="1">#REF!</definedName>
    <definedName name="fdsafd">#REF!</definedName>
    <definedName name="fdsf" localSheetId="50" hidden="1">{"TAB1",#N/A,TRUE,"GENERAL";"TAB2",#N/A,TRUE,"GENERAL";"TAB3",#N/A,TRUE,"GENERAL";"TAB4",#N/A,TRUE,"GENERAL";"TAB5",#N/A,TRUE,"GENERAL"}</definedName>
    <definedName name="fdsf" localSheetId="1" hidden="1">{"TAB1",#N/A,TRUE,"GENERAL";"TAB2",#N/A,TRUE,"GENERAL";"TAB3",#N/A,TRUE,"GENERAL";"TAB4",#N/A,TRUE,"GENERAL";"TAB5",#N/A,TRUE,"GENERAL"}</definedName>
    <definedName name="fdsf" localSheetId="73" hidden="1">{"TAB1",#N/A,TRUE,"GENERAL";"TAB2",#N/A,TRUE,"GENERAL";"TAB3",#N/A,TRUE,"GENERAL";"TAB4",#N/A,TRUE,"GENERAL";"TAB5",#N/A,TRUE,"GENERAL"}</definedName>
    <definedName name="fdsf" hidden="1">{"TAB1",#N/A,TRUE,"GENERAL";"TAB2",#N/A,TRUE,"GENERAL";"TAB3",#N/A,TRUE,"GENERAL";"TAB4",#N/A,TRUE,"GENERAL";"TAB5",#N/A,TRUE,"GENERAL"}</definedName>
    <definedName name="fdsfds" localSheetId="50"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73" hidden="1">{"TAB1",#N/A,TRUE,"GENERAL";"TAB2",#N/A,TRUE,"GENERAL";"TAB3",#N/A,TRUE,"GENERAL";"TAB4",#N/A,TRUE,"GENERAL";"TAB5",#N/A,TRUE,"GENERAL"}</definedName>
    <definedName name="fdsfds" hidden="1">{"TAB1",#N/A,TRUE,"GENERAL";"TAB2",#N/A,TRUE,"GENERAL";"TAB3",#N/A,TRUE,"GENERAL";"TAB4",#N/A,TRUE,"GENERAL";"TAB5",#N/A,TRUE,"GENERAL"}</definedName>
    <definedName name="fdsfdsf" localSheetId="50" hidden="1">{"via1",#N/A,TRUE,"general";"via2",#N/A,TRUE,"general";"via3",#N/A,TRUE,"general"}</definedName>
    <definedName name="fdsfdsf" localSheetId="1" hidden="1">{"via1",#N/A,TRUE,"general";"via2",#N/A,TRUE,"general";"via3",#N/A,TRUE,"general"}</definedName>
    <definedName name="fdsfdsf" localSheetId="73" hidden="1">{"via1",#N/A,TRUE,"general";"via2",#N/A,TRUE,"general";"via3",#N/A,TRUE,"general"}</definedName>
    <definedName name="fdsfdsf" hidden="1">{"via1",#N/A,TRUE,"general";"via2",#N/A,TRUE,"general";"via3",#N/A,TRUE,"general"}</definedName>
    <definedName name="fdsgfds" localSheetId="50" hidden="1">{"via1",#N/A,TRUE,"general";"via2",#N/A,TRUE,"general";"via3",#N/A,TRUE,"general"}</definedName>
    <definedName name="fdsgfds" localSheetId="1" hidden="1">{"via1",#N/A,TRUE,"general";"via2",#N/A,TRUE,"general";"via3",#N/A,TRUE,"general"}</definedName>
    <definedName name="fdsgfds" localSheetId="73" hidden="1">{"via1",#N/A,TRUE,"general";"via2",#N/A,TRUE,"general";"via3",#N/A,TRUE,"general"}</definedName>
    <definedName name="fdsgfds" hidden="1">{"via1",#N/A,TRUE,"general";"via2",#N/A,TRUE,"general";"via3",#N/A,TRUE,"general"}</definedName>
    <definedName name="fdsgsdfu" localSheetId="50"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73" hidden="1">{"TAB1",#N/A,TRUE,"GENERAL";"TAB2",#N/A,TRUE,"GENERAL";"TAB3",#N/A,TRUE,"GENERAL";"TAB4",#N/A,TRUE,"GENERAL";"TAB5",#N/A,TRUE,"GENERAL"}</definedName>
    <definedName name="fdsgsdfu" hidden="1">{"TAB1",#N/A,TRUE,"GENERAL";"TAB2",#N/A,TRUE,"GENERAL";"TAB3",#N/A,TRUE,"GENERAL";"TAB4",#N/A,TRUE,"GENERAL";"TAB5",#N/A,TRUE,"GENERAL"}</definedName>
    <definedName name="FDSIO" localSheetId="50" hidden="1">{"TAB1",#N/A,TRUE,"GENERAL";"TAB2",#N/A,TRUE,"GENERAL";"TAB3",#N/A,TRUE,"GENERAL";"TAB4",#N/A,TRUE,"GENERAL";"TAB5",#N/A,TRUE,"GENERAL"}</definedName>
    <definedName name="FDSIO" localSheetId="1" hidden="1">{"TAB1",#N/A,TRUE,"GENERAL";"TAB2",#N/A,TRUE,"GENERAL";"TAB3",#N/A,TRUE,"GENERAL";"TAB4",#N/A,TRUE,"GENERAL";"TAB5",#N/A,TRUE,"GENERAL"}</definedName>
    <definedName name="FDSIO" localSheetId="73" hidden="1">{"TAB1",#N/A,TRUE,"GENERAL";"TAB2",#N/A,TRUE,"GENERAL";"TAB3",#N/A,TRUE,"GENERAL";"TAB4",#N/A,TRUE,"GENERAL";"TAB5",#N/A,TRUE,"GENERAL"}</definedName>
    <definedName name="FDSIO" hidden="1">{"TAB1",#N/A,TRUE,"GENERAL";"TAB2",#N/A,TRUE,"GENERAL";"TAB3",#N/A,TRUE,"GENERAL";"TAB4",#N/A,TRUE,"GENERAL";"TAB5",#N/A,TRUE,"GENERAL"}</definedName>
    <definedName name="ferfer" localSheetId="50" hidden="1">{"via1",#N/A,TRUE,"general";"via2",#N/A,TRUE,"general";"via3",#N/A,TRUE,"general"}</definedName>
    <definedName name="ferfer" localSheetId="1" hidden="1">{"via1",#N/A,TRUE,"general";"via2",#N/A,TRUE,"general";"via3",#N/A,TRUE,"general"}</definedName>
    <definedName name="ferfer" localSheetId="73" hidden="1">{"via1",#N/A,TRUE,"general";"via2",#N/A,TRUE,"general";"via3",#N/A,TRUE,"general"}</definedName>
    <definedName name="ferfer" hidden="1">{"via1",#N/A,TRUE,"general";"via2",#N/A,TRUE,"general";"via3",#N/A,TRUE,"general"}</definedName>
    <definedName name="ff" localSheetId="50">#REF!</definedName>
    <definedName name="ff" localSheetId="1">#REF!</definedName>
    <definedName name="ff">#REF!</definedName>
    <definedName name="fff" localSheetId="50" hidden="1">{"via1",#N/A,TRUE,"general";"via2",#N/A,TRUE,"general";"via3",#N/A,TRUE,"general"}</definedName>
    <definedName name="fff" localSheetId="1" hidden="1">{"via1",#N/A,TRUE,"general";"via2",#N/A,TRUE,"general";"via3",#N/A,TRUE,"general"}</definedName>
    <definedName name="fff" localSheetId="73" hidden="1">{"via1",#N/A,TRUE,"general";"via2",#N/A,TRUE,"general";"via3",#N/A,TRUE,"general"}</definedName>
    <definedName name="fff" hidden="1">{"via1",#N/A,TRUE,"general";"via2",#N/A,TRUE,"general";"via3",#N/A,TRUE,"general"}</definedName>
    <definedName name="ffffd" localSheetId="50" hidden="1">{"via1",#N/A,TRUE,"general";"via2",#N/A,TRUE,"general";"via3",#N/A,TRUE,"general"}</definedName>
    <definedName name="ffffd" localSheetId="1" hidden="1">{"via1",#N/A,TRUE,"general";"via2",#N/A,TRUE,"general";"via3",#N/A,TRUE,"general"}</definedName>
    <definedName name="ffffd" localSheetId="73" hidden="1">{"via1",#N/A,TRUE,"general";"via2",#N/A,TRUE,"general";"via3",#N/A,TRUE,"general"}</definedName>
    <definedName name="ffffd" hidden="1">{"via1",#N/A,TRUE,"general";"via2",#N/A,TRUE,"general";"via3",#N/A,TRUE,"general"}</definedName>
    <definedName name="fffffft" localSheetId="50"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73" hidden="1">{"TAB1",#N/A,TRUE,"GENERAL";"TAB2",#N/A,TRUE,"GENERAL";"TAB3",#N/A,TRUE,"GENERAL";"TAB4",#N/A,TRUE,"GENERAL";"TAB5",#N/A,TRUE,"GENERAL"}</definedName>
    <definedName name="fffffft" hidden="1">{"TAB1",#N/A,TRUE,"GENERAL";"TAB2",#N/A,TRUE,"GENERAL";"TAB3",#N/A,TRUE,"GENERAL";"TAB4",#N/A,TRUE,"GENERAL";"TAB5",#N/A,TRUE,"GENERAL"}</definedName>
    <definedName name="fffffik" localSheetId="50"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73" hidden="1">{"TAB1",#N/A,TRUE,"GENERAL";"TAB2",#N/A,TRUE,"GENERAL";"TAB3",#N/A,TRUE,"GENERAL";"TAB4",#N/A,TRUE,"GENERAL";"TAB5",#N/A,TRUE,"GENERAL"}</definedName>
    <definedName name="fffffik" hidden="1">{"TAB1",#N/A,TRUE,"GENERAL";"TAB2",#N/A,TRUE,"GENERAL";"TAB3",#N/A,TRUE,"GENERAL";"TAB4",#N/A,TRUE,"GENERAL";"TAB5",#N/A,TRUE,"GENERAL"}</definedName>
    <definedName name="fffffj" localSheetId="50"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73" hidden="1">{"TAB1",#N/A,TRUE,"GENERAL";"TAB2",#N/A,TRUE,"GENERAL";"TAB3",#N/A,TRUE,"GENERAL";"TAB4",#N/A,TRUE,"GENERAL";"TAB5",#N/A,TRUE,"GENERAL"}</definedName>
    <definedName name="fffffj" hidden="1">{"TAB1",#N/A,TRUE,"GENERAL";"TAB2",#N/A,TRUE,"GENERAL";"TAB3",#N/A,TRUE,"GENERAL";"TAB4",#N/A,TRUE,"GENERAL";"TAB5",#N/A,TRUE,"GENERAL"}</definedName>
    <definedName name="ffffrd" localSheetId="50" hidden="1">{"via1",#N/A,TRUE,"general";"via2",#N/A,TRUE,"general";"via3",#N/A,TRUE,"general"}</definedName>
    <definedName name="ffffrd" localSheetId="1" hidden="1">{"via1",#N/A,TRUE,"general";"via2",#N/A,TRUE,"general";"via3",#N/A,TRUE,"general"}</definedName>
    <definedName name="ffffrd" localSheetId="73" hidden="1">{"via1",#N/A,TRUE,"general";"via2",#N/A,TRUE,"general";"via3",#N/A,TRUE,"general"}</definedName>
    <definedName name="ffffrd" hidden="1">{"via1",#N/A,TRUE,"general";"via2",#N/A,TRUE,"general";"via3",#N/A,TRUE,"general"}</definedName>
    <definedName name="ffffy" localSheetId="50" hidden="1">{"TAB1",#N/A,TRUE,"GENERAL";"TAB2",#N/A,TRUE,"GENERAL";"TAB3",#N/A,TRUE,"GENERAL";"TAB4",#N/A,TRUE,"GENERAL";"TAB5",#N/A,TRUE,"GENERAL"}</definedName>
    <definedName name="ffffy" localSheetId="1" hidden="1">{"TAB1",#N/A,TRUE,"GENERAL";"TAB2",#N/A,TRUE,"GENERAL";"TAB3",#N/A,TRUE,"GENERAL";"TAB4",#N/A,TRUE,"GENERAL";"TAB5",#N/A,TRUE,"GENERAL"}</definedName>
    <definedName name="ffffy" localSheetId="73" hidden="1">{"TAB1",#N/A,TRUE,"GENERAL";"TAB2",#N/A,TRUE,"GENERAL";"TAB3",#N/A,TRUE,"GENERAL";"TAB4",#N/A,TRUE,"GENERAL";"TAB5",#N/A,TRUE,"GENERAL"}</definedName>
    <definedName name="ffffy" hidden="1">{"TAB1",#N/A,TRUE,"GENERAL";"TAB2",#N/A,TRUE,"GENERAL";"TAB3",#N/A,TRUE,"GENERAL";"TAB4",#N/A,TRUE,"GENERAL";"TAB5",#N/A,TRUE,"GENERAL"}</definedName>
    <definedName name="fffrfr" localSheetId="50"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73" hidden="1">{"TAB1",#N/A,TRUE,"GENERAL";"TAB2",#N/A,TRUE,"GENERAL";"TAB3",#N/A,TRUE,"GENERAL";"TAB4",#N/A,TRUE,"GENERAL";"TAB5",#N/A,TRUE,"GENERAL"}</definedName>
    <definedName name="fffrfr" hidden="1">{"TAB1",#N/A,TRUE,"GENERAL";"TAB2",#N/A,TRUE,"GENERAL";"TAB3",#N/A,TRUE,"GENERAL";"TAB4",#N/A,TRUE,"GENERAL";"TAB5",#N/A,TRUE,"GENERAL"}</definedName>
    <definedName name="fffs" localSheetId="50" hidden="1">{"TAB1",#N/A,TRUE,"GENERAL";"TAB2",#N/A,TRUE,"GENERAL";"TAB3",#N/A,TRUE,"GENERAL";"TAB4",#N/A,TRUE,"GENERAL";"TAB5",#N/A,TRUE,"GENERAL"}</definedName>
    <definedName name="fffs" localSheetId="1" hidden="1">{"TAB1",#N/A,TRUE,"GENERAL";"TAB2",#N/A,TRUE,"GENERAL";"TAB3",#N/A,TRUE,"GENERAL";"TAB4",#N/A,TRUE,"GENERAL";"TAB5",#N/A,TRUE,"GENERAL"}</definedName>
    <definedName name="fffs" localSheetId="73" hidden="1">{"TAB1",#N/A,TRUE,"GENERAL";"TAB2",#N/A,TRUE,"GENERAL";"TAB3",#N/A,TRUE,"GENERAL";"TAB4",#N/A,TRUE,"GENERAL";"TAB5",#N/A,TRUE,"GENERAL"}</definedName>
    <definedName name="fffs" hidden="1">{"TAB1",#N/A,TRUE,"GENERAL";"TAB2",#N/A,TRUE,"GENERAL";"TAB3",#N/A,TRUE,"GENERAL";"TAB4",#N/A,TRUE,"GENERAL";"TAB5",#N/A,TRUE,"GENERAL"}</definedName>
    <definedName name="fg" localSheetId="1">#REF!</definedName>
    <definedName name="fg">#REF!</definedName>
    <definedName name="fgdfg" localSheetId="50" hidden="1">{"TAB1",#N/A,TRUE,"GENERAL";"TAB2",#N/A,TRUE,"GENERAL";"TAB3",#N/A,TRUE,"GENERAL";"TAB4",#N/A,TRUE,"GENERAL";"TAB5",#N/A,TRUE,"GENERAL"}</definedName>
    <definedName name="fgdfg" localSheetId="1" hidden="1">{"TAB1",#N/A,TRUE,"GENERAL";"TAB2",#N/A,TRUE,"GENERAL";"TAB3",#N/A,TRUE,"GENERAL";"TAB4",#N/A,TRUE,"GENERAL";"TAB5",#N/A,TRUE,"GENERAL"}</definedName>
    <definedName name="fgdfg" localSheetId="73" hidden="1">{"TAB1",#N/A,TRUE,"GENERAL";"TAB2",#N/A,TRUE,"GENERAL";"TAB3",#N/A,TRUE,"GENERAL";"TAB4",#N/A,TRUE,"GENERAL";"TAB5",#N/A,TRUE,"GENERAL"}</definedName>
    <definedName name="fgdfg" hidden="1">{"TAB1",#N/A,TRUE,"GENERAL";"TAB2",#N/A,TRUE,"GENERAL";"TAB3",#N/A,TRUE,"GENERAL";"TAB4",#N/A,TRUE,"GENERAL";"TAB5",#N/A,TRUE,"GENERAL"}</definedName>
    <definedName name="fgdfsgr" localSheetId="50" hidden="1">{"via1",#N/A,TRUE,"general";"via2",#N/A,TRUE,"general";"via3",#N/A,TRUE,"general"}</definedName>
    <definedName name="fgdfsgr" localSheetId="1" hidden="1">{"via1",#N/A,TRUE,"general";"via2",#N/A,TRUE,"general";"via3",#N/A,TRUE,"general"}</definedName>
    <definedName name="fgdfsgr" localSheetId="73" hidden="1">{"via1",#N/A,TRUE,"general";"via2",#N/A,TRUE,"general";"via3",#N/A,TRUE,"general"}</definedName>
    <definedName name="fgdfsgr" hidden="1">{"via1",#N/A,TRUE,"general";"via2",#N/A,TRUE,"general";"via3",#N/A,TRUE,"general"}</definedName>
    <definedName name="fgdsfg" localSheetId="50"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73" hidden="1">{"TAB1",#N/A,TRUE,"GENERAL";"TAB2",#N/A,TRUE,"GENERAL";"TAB3",#N/A,TRUE,"GENERAL";"TAB4",#N/A,TRUE,"GENERAL";"TAB5",#N/A,TRUE,"GENERAL"}</definedName>
    <definedName name="fgdsfg" hidden="1">{"TAB1",#N/A,TRUE,"GENERAL";"TAB2",#N/A,TRUE,"GENERAL";"TAB3",#N/A,TRUE,"GENERAL";"TAB4",#N/A,TRUE,"GENERAL";"TAB5",#N/A,TRUE,"GENERAL"}</definedName>
    <definedName name="FGFDH" localSheetId="50" hidden="1">{"via1",#N/A,TRUE,"general";"via2",#N/A,TRUE,"general";"via3",#N/A,TRUE,"general"}</definedName>
    <definedName name="FGFDH" localSheetId="1" hidden="1">{"via1",#N/A,TRUE,"general";"via2",#N/A,TRUE,"general";"via3",#N/A,TRUE,"general"}</definedName>
    <definedName name="FGFDH" localSheetId="73" hidden="1">{"via1",#N/A,TRUE,"general";"via2",#N/A,TRUE,"general";"via3",#N/A,TRUE,"general"}</definedName>
    <definedName name="FGFDH" hidden="1">{"via1",#N/A,TRUE,"general";"via2",#N/A,TRUE,"general";"via3",#N/A,TRUE,"general"}</definedName>
    <definedName name="fgghhj" localSheetId="50" hidden="1">{"via1",#N/A,TRUE,"general";"via2",#N/A,TRUE,"general";"via3",#N/A,TRUE,"general"}</definedName>
    <definedName name="fgghhj" localSheetId="1" hidden="1">{"via1",#N/A,TRUE,"general";"via2",#N/A,TRUE,"general";"via3",#N/A,TRUE,"general"}</definedName>
    <definedName name="fgghhj" localSheetId="73" hidden="1">{"via1",#N/A,TRUE,"general";"via2",#N/A,TRUE,"general";"via3",#N/A,TRUE,"general"}</definedName>
    <definedName name="fgghhj" hidden="1">{"via1",#N/A,TRUE,"general";"via2",#N/A,TRUE,"general";"via3",#N/A,TRUE,"general"}</definedName>
    <definedName name="FGHFBC" localSheetId="50" hidden="1">{"via1",#N/A,TRUE,"general";"via2",#N/A,TRUE,"general";"via3",#N/A,TRUE,"general"}</definedName>
    <definedName name="FGHFBC" localSheetId="1" hidden="1">{"via1",#N/A,TRUE,"general";"via2",#N/A,TRUE,"general";"via3",#N/A,TRUE,"general"}</definedName>
    <definedName name="FGHFBC" localSheetId="73" hidden="1">{"via1",#N/A,TRUE,"general";"via2",#N/A,TRUE,"general";"via3",#N/A,TRUE,"general"}</definedName>
    <definedName name="FGHFBC" hidden="1">{"via1",#N/A,TRUE,"general";"via2",#N/A,TRUE,"general";"via3",#N/A,TRUE,"general"}</definedName>
    <definedName name="fghfg" localSheetId="50" hidden="1">{"TAB1",#N/A,TRUE,"GENERAL";"TAB2",#N/A,TRUE,"GENERAL";"TAB3",#N/A,TRUE,"GENERAL";"TAB4",#N/A,TRUE,"GENERAL";"TAB5",#N/A,TRUE,"GENERAL"}</definedName>
    <definedName name="fghfg" localSheetId="1" hidden="1">{"TAB1",#N/A,TRUE,"GENERAL";"TAB2",#N/A,TRUE,"GENERAL";"TAB3",#N/A,TRUE,"GENERAL";"TAB4",#N/A,TRUE,"GENERAL";"TAB5",#N/A,TRUE,"GENERAL"}</definedName>
    <definedName name="fghfg" localSheetId="73" hidden="1">{"TAB1",#N/A,TRUE,"GENERAL";"TAB2",#N/A,TRUE,"GENERAL";"TAB3",#N/A,TRUE,"GENERAL";"TAB4",#N/A,TRUE,"GENERAL";"TAB5",#N/A,TRUE,"GENERAL"}</definedName>
    <definedName name="fghfg" hidden="1">{"TAB1",#N/A,TRUE,"GENERAL";"TAB2",#N/A,TRUE,"GENERAL";"TAB3",#N/A,TRUE,"GENERAL";"TAB4",#N/A,TRUE,"GENERAL";"TAB5",#N/A,TRUE,"GENERAL"}</definedName>
    <definedName name="fghfgh" localSheetId="50" hidden="1">{"via1",#N/A,TRUE,"general";"via2",#N/A,TRUE,"general";"via3",#N/A,TRUE,"general"}</definedName>
    <definedName name="fghfgh" localSheetId="1" hidden="1">{"via1",#N/A,TRUE,"general";"via2",#N/A,TRUE,"general";"via3",#N/A,TRUE,"general"}</definedName>
    <definedName name="fghfgh" localSheetId="73" hidden="1">{"via1",#N/A,TRUE,"general";"via2",#N/A,TRUE,"general";"via3",#N/A,TRUE,"general"}</definedName>
    <definedName name="fghfgh" hidden="1">{"via1",#N/A,TRUE,"general";"via2",#N/A,TRUE,"general";"via3",#N/A,TRUE,"general"}</definedName>
    <definedName name="FGHFW" localSheetId="50" hidden="1">{"via1",#N/A,TRUE,"general";"via2",#N/A,TRUE,"general";"via3",#N/A,TRUE,"general"}</definedName>
    <definedName name="FGHFW" localSheetId="1" hidden="1">{"via1",#N/A,TRUE,"general";"via2",#N/A,TRUE,"general";"via3",#N/A,TRUE,"general"}</definedName>
    <definedName name="FGHFW" localSheetId="73" hidden="1">{"via1",#N/A,TRUE,"general";"via2",#N/A,TRUE,"general";"via3",#N/A,TRUE,"general"}</definedName>
    <definedName name="FGHFW" hidden="1">{"via1",#N/A,TRUE,"general";"via2",#N/A,TRUE,"general";"via3",#N/A,TRUE,"general"}</definedName>
    <definedName name="fghhh" localSheetId="50" hidden="1">{"TAB1",#N/A,TRUE,"GENERAL";"TAB2",#N/A,TRUE,"GENERAL";"TAB3",#N/A,TRUE,"GENERAL";"TAB4",#N/A,TRUE,"GENERAL";"TAB5",#N/A,TRUE,"GENERAL"}</definedName>
    <definedName name="fghhh" localSheetId="1" hidden="1">{"TAB1",#N/A,TRUE,"GENERAL";"TAB2",#N/A,TRUE,"GENERAL";"TAB3",#N/A,TRUE,"GENERAL";"TAB4",#N/A,TRUE,"GENERAL";"TAB5",#N/A,TRUE,"GENERAL"}</definedName>
    <definedName name="fghhh" localSheetId="73" hidden="1">{"TAB1",#N/A,TRUE,"GENERAL";"TAB2",#N/A,TRUE,"GENERAL";"TAB3",#N/A,TRUE,"GENERAL";"TAB4",#N/A,TRUE,"GENERAL";"TAB5",#N/A,TRUE,"GENERAL"}</definedName>
    <definedName name="fghhh" hidden="1">{"TAB1",#N/A,TRUE,"GENERAL";"TAB2",#N/A,TRUE,"GENERAL";"TAB3",#N/A,TRUE,"GENERAL";"TAB4",#N/A,TRUE,"GENERAL";"TAB5",#N/A,TRUE,"GENERAL"}</definedName>
    <definedName name="fghsfgh" localSheetId="50" hidden="1">{"via1",#N/A,TRUE,"general";"via2",#N/A,TRUE,"general";"via3",#N/A,TRUE,"general"}</definedName>
    <definedName name="fghsfgh" localSheetId="1" hidden="1">{"via1",#N/A,TRUE,"general";"via2",#N/A,TRUE,"general";"via3",#N/A,TRUE,"general"}</definedName>
    <definedName name="fghsfgh" localSheetId="73" hidden="1">{"via1",#N/A,TRUE,"general";"via2",#N/A,TRUE,"general";"via3",#N/A,TRUE,"general"}</definedName>
    <definedName name="fghsfgh" hidden="1">{"via1",#N/A,TRUE,"general";"via2",#N/A,TRUE,"general";"via3",#N/A,TRUE,"general"}</definedName>
    <definedName name="fght" localSheetId="50" hidden="1">{"TAB1",#N/A,TRUE,"GENERAL";"TAB2",#N/A,TRUE,"GENERAL";"TAB3",#N/A,TRUE,"GENERAL";"TAB4",#N/A,TRUE,"GENERAL";"TAB5",#N/A,TRUE,"GENERAL"}</definedName>
    <definedName name="fght" localSheetId="1" hidden="1">{"TAB1",#N/A,TRUE,"GENERAL";"TAB2",#N/A,TRUE,"GENERAL";"TAB3",#N/A,TRUE,"GENERAL";"TAB4",#N/A,TRUE,"GENERAL";"TAB5",#N/A,TRUE,"GENERAL"}</definedName>
    <definedName name="fght" localSheetId="73" hidden="1">{"TAB1",#N/A,TRUE,"GENERAL";"TAB2",#N/A,TRUE,"GENERAL";"TAB3",#N/A,TRUE,"GENERAL";"TAB4",#N/A,TRUE,"GENERAL";"TAB5",#N/A,TRUE,"GENERAL"}</definedName>
    <definedName name="fght" hidden="1">{"TAB1",#N/A,TRUE,"GENERAL";"TAB2",#N/A,TRUE,"GENERAL";"TAB3",#N/A,TRUE,"GENERAL";"TAB4",#N/A,TRUE,"GENERAL";"TAB5",#N/A,TRUE,"GENERAL"}</definedName>
    <definedName name="fgjgryi" localSheetId="50"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73" hidden="1">{"TAB1",#N/A,TRUE,"GENERAL";"TAB2",#N/A,TRUE,"GENERAL";"TAB3",#N/A,TRUE,"GENERAL";"TAB4",#N/A,TRUE,"GENERAL";"TAB5",#N/A,TRUE,"GENERAL"}</definedName>
    <definedName name="fgjgryi" hidden="1">{"TAB1",#N/A,TRUE,"GENERAL";"TAB2",#N/A,TRUE,"GENERAL";"TAB3",#N/A,TRUE,"GENERAL";"TAB4",#N/A,TRUE,"GENERAL";"TAB5",#N/A,TRUE,"GENERAL"}</definedName>
    <definedName name="FGV" localSheetId="1">#REF!</definedName>
    <definedName name="FGV">#REF!</definedName>
    <definedName name="fhfg" localSheetId="50" hidden="1">{"TAB1",#N/A,TRUE,"GENERAL";"TAB2",#N/A,TRUE,"GENERAL";"TAB3",#N/A,TRUE,"GENERAL";"TAB4",#N/A,TRUE,"GENERAL";"TAB5",#N/A,TRUE,"GENERAL"}</definedName>
    <definedName name="fhfg" localSheetId="1" hidden="1">{"TAB1",#N/A,TRUE,"GENERAL";"TAB2",#N/A,TRUE,"GENERAL";"TAB3",#N/A,TRUE,"GENERAL";"TAB4",#N/A,TRUE,"GENERAL";"TAB5",#N/A,TRUE,"GENERAL"}</definedName>
    <definedName name="fhfg" localSheetId="73" hidden="1">{"TAB1",#N/A,TRUE,"GENERAL";"TAB2",#N/A,TRUE,"GENERAL";"TAB3",#N/A,TRUE,"GENERAL";"TAB4",#N/A,TRUE,"GENERAL";"TAB5",#N/A,TRUE,"GENERAL"}</definedName>
    <definedName name="fhfg" hidden="1">{"TAB1",#N/A,TRUE,"GENERAL";"TAB2",#N/A,TRUE,"GENERAL";"TAB3",#N/A,TRUE,"GENERAL";"TAB4",#N/A,TRUE,"GENERAL";"TAB5",#N/A,TRUE,"GENERAL"}</definedName>
    <definedName name="fhfgh" localSheetId="50" hidden="1">{"via1",#N/A,TRUE,"general";"via2",#N/A,TRUE,"general";"via3",#N/A,TRUE,"general"}</definedName>
    <definedName name="fhfgh" localSheetId="1" hidden="1">{"via1",#N/A,TRUE,"general";"via2",#N/A,TRUE,"general";"via3",#N/A,TRUE,"general"}</definedName>
    <definedName name="fhfgh" localSheetId="73" hidden="1">{"via1",#N/A,TRUE,"general";"via2",#N/A,TRUE,"general";"via3",#N/A,TRUE,"general"}</definedName>
    <definedName name="fhfgh" hidden="1">{"via1",#N/A,TRUE,"general";"via2",#N/A,TRUE,"general";"via3",#N/A,TRUE,"general"}</definedName>
    <definedName name="fhg" localSheetId="50" hidden="1">{#N/A,#N/A,TRUE,"1842CWN0"}</definedName>
    <definedName name="fhg" localSheetId="1" hidden="1">{#N/A,#N/A,TRUE,"1842CWN0"}</definedName>
    <definedName name="fhg" localSheetId="73" hidden="1">{#N/A,#N/A,TRUE,"1842CWN0"}</definedName>
    <definedName name="fhg" hidden="1">{#N/A,#N/A,TRUE,"1842CWN0"}</definedName>
    <definedName name="fhgh" localSheetId="50" hidden="1">{"via1",#N/A,TRUE,"general";"via2",#N/A,TRUE,"general";"via3",#N/A,TRUE,"general"}</definedName>
    <definedName name="fhgh" localSheetId="1" hidden="1">{"via1",#N/A,TRUE,"general";"via2",#N/A,TRUE,"general";"via3",#N/A,TRUE,"general"}</definedName>
    <definedName name="fhgh" localSheetId="73" hidden="1">{"via1",#N/A,TRUE,"general";"via2",#N/A,TRUE,"general";"via3",#N/A,TRUE,"general"}</definedName>
    <definedName name="fhgh" hidden="1">{"via1",#N/A,TRUE,"general";"via2",#N/A,TRUE,"general";"via3",#N/A,TRUE,"general"}</definedName>
    <definedName name="fhpltyunh" localSheetId="50" hidden="1">{"via1",#N/A,TRUE,"general";"via2",#N/A,TRUE,"general";"via3",#N/A,TRUE,"general"}</definedName>
    <definedName name="fhpltyunh" localSheetId="1" hidden="1">{"via1",#N/A,TRUE,"general";"via2",#N/A,TRUE,"general";"via3",#N/A,TRUE,"general"}</definedName>
    <definedName name="fhpltyunh" localSheetId="73" hidden="1">{"via1",#N/A,TRUE,"general";"via2",#N/A,TRUE,"general";"via3",#N/A,TRUE,"general"}</definedName>
    <definedName name="fhpltyunh" hidden="1">{"via1",#N/A,TRUE,"general";"via2",#N/A,TRUE,"general";"via3",#N/A,TRUE,"general"}</definedName>
    <definedName name="fi" localSheetId="1">#REF!</definedName>
    <definedName name="fi">#REF!</definedName>
    <definedName name="FIL3453464" localSheetId="1" hidden="1">#REF!</definedName>
    <definedName name="FIL3453464" hidden="1">#REF!</definedName>
    <definedName name="fill1" localSheetId="50" hidden="1">#REF!</definedName>
    <definedName name="fill1" localSheetId="1" hidden="1">#REF!</definedName>
    <definedName name="fill1" hidden="1">#REF!</definedName>
    <definedName name="FILL2" localSheetId="50" hidden="1">#REF!</definedName>
    <definedName name="FILL2" localSheetId="1" hidden="1">#REF!</definedName>
    <definedName name="FILL2" hidden="1">#REF!</definedName>
    <definedName name="FILL34" localSheetId="50" hidden="1">#REF!</definedName>
    <definedName name="FILL34" localSheetId="1" hidden="1">#REF!</definedName>
    <definedName name="FILL34" hidden="1">#REF!</definedName>
    <definedName name="FILL4" localSheetId="1" hidden="1">#REF!</definedName>
    <definedName name="FILL4" hidden="1">#REF!</definedName>
    <definedName name="FILL547665" localSheetId="1" hidden="1">#REF!</definedName>
    <definedName name="FILL547665" hidden="1">#REF!</definedName>
    <definedName name="FILL6" localSheetId="1" hidden="1">#REF!</definedName>
    <definedName name="FILL6" hidden="1">#REF!</definedName>
    <definedName name="FILL8" localSheetId="1" hidden="1">#REF!</definedName>
    <definedName name="FILL8" hidden="1">#REF!</definedName>
    <definedName name="filll3" localSheetId="1" hidden="1">#REF!</definedName>
    <definedName name="filll3" hidden="1">#REF!</definedName>
    <definedName name="Filtro_Cat" localSheetId="1">#REF!</definedName>
    <definedName name="Filtro_Cat">#REF!</definedName>
    <definedName name="Financialpb" localSheetId="50" hidden="1">#REF!</definedName>
    <definedName name="Financialpb" localSheetId="1" hidden="1">#REF!</definedName>
    <definedName name="Financialpb" hidden="1">#REF!</definedName>
    <definedName name="Financialpb2" localSheetId="50" hidden="1">#REF!</definedName>
    <definedName name="Financialpb2" localSheetId="1" hidden="1">#REF!</definedName>
    <definedName name="Financialpb2" hidden="1">#REF!</definedName>
    <definedName name="fk" localSheetId="50">#REF!</definedName>
    <definedName name="fk" localSheetId="1">#REF!</definedName>
    <definedName name="fk">#REF!</definedName>
    <definedName name="FLOTACANAL" localSheetId="1">#REF!</definedName>
    <definedName name="FLOTACANAL">#REF!</definedName>
    <definedName name="flq" localSheetId="1">#REF!</definedName>
    <definedName name="flq">#REF!</definedName>
    <definedName name="FLUJO" localSheetId="1">#REF!</definedName>
    <definedName name="FLUJO">#REF!</definedName>
    <definedName name="fm" localSheetId="1">#REF!</definedName>
    <definedName name="fm">#REF!</definedName>
    <definedName name="FORMA" localSheetId="1">#REF!</definedName>
    <definedName name="FORMA">#REF!</definedName>
    <definedName name="FORMACOL" localSheetId="1">#REF!</definedName>
    <definedName name="FORMACOL">#REF!</definedName>
    <definedName name="FORMALETAM2" localSheetId="1">#REF!</definedName>
    <definedName name="FORMALETAM2">#REF!</definedName>
    <definedName name="FORMALOSA" localSheetId="1">#REF!</definedName>
    <definedName name="FORMALOSA">#REF!</definedName>
    <definedName name="FORMAV" localSheetId="1">#REF!</definedName>
    <definedName name="FORMAV">#REF!</definedName>
    <definedName name="FORMAVIGACIMIEN" localSheetId="1">#REF!</definedName>
    <definedName name="FORMAVIGACIMIEN">#REF!</definedName>
    <definedName name="FORMAZAPATA" localSheetId="1">#REF!</definedName>
    <definedName name="FORMAZAPATA">#REF!</definedName>
    <definedName name="FORMCU" localSheetId="1">#REF!</definedName>
    <definedName name="FORMCU">#REF!</definedName>
    <definedName name="FORMPI" localSheetId="1">#REF!</definedName>
    <definedName name="FORMPI">#REF!</definedName>
    <definedName name="FORMSÑ" localSheetId="1">#REF!</definedName>
    <definedName name="FORMSÑ">#REF!</definedName>
    <definedName name="FORMTA" localSheetId="1">#REF!</definedName>
    <definedName name="FORMTA">#REF!</definedName>
    <definedName name="frbgsd" localSheetId="50"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73" hidden="1">{"TAB1",#N/A,TRUE,"GENERAL";"TAB2",#N/A,TRUE,"GENERAL";"TAB3",#N/A,TRUE,"GENERAL";"TAB4",#N/A,TRUE,"GENERAL";"TAB5",#N/A,TRUE,"GENERAL"}</definedName>
    <definedName name="frbgsd" hidden="1">{"TAB1",#N/A,TRUE,"GENERAL";"TAB2",#N/A,TRUE,"GENERAL";"TAB3",#N/A,TRUE,"GENERAL";"TAB4",#N/A,TRUE,"GENERAL";"TAB5",#N/A,TRUE,"GENERAL"}</definedName>
    <definedName name="frefr" localSheetId="50" hidden="1">{"via1",#N/A,TRUE,"general";"via2",#N/A,TRUE,"general";"via3",#N/A,TRUE,"general"}</definedName>
    <definedName name="frefr" localSheetId="1" hidden="1">{"via1",#N/A,TRUE,"general";"via2",#N/A,TRUE,"general";"via3",#N/A,TRUE,"general"}</definedName>
    <definedName name="frefr" localSheetId="73" hidden="1">{"via1",#N/A,TRUE,"general";"via2",#N/A,TRUE,"general";"via3",#N/A,TRUE,"general"}</definedName>
    <definedName name="frefr" hidden="1">{"via1",#N/A,TRUE,"general";"via2",#N/A,TRUE,"general";"via3",#N/A,TRUE,"general"}</definedName>
    <definedName name="fres" localSheetId="1">#REF!</definedName>
    <definedName name="fres">#REF!</definedName>
    <definedName name="frfa" localSheetId="50" hidden="1">{"via1",#N/A,TRUE,"general";"via2",#N/A,TRUE,"general";"via3",#N/A,TRUE,"general"}</definedName>
    <definedName name="frfa" localSheetId="1" hidden="1">{"via1",#N/A,TRUE,"general";"via2",#N/A,TRUE,"general";"via3",#N/A,TRUE,"general"}</definedName>
    <definedName name="frfa" localSheetId="73" hidden="1">{"via1",#N/A,TRUE,"general";"via2",#N/A,TRUE,"general";"via3",#N/A,TRUE,"general"}</definedName>
    <definedName name="frfa" hidden="1">{"via1",#N/A,TRUE,"general";"via2",#N/A,TRUE,"general";"via3",#N/A,TRUE,"general"}</definedName>
    <definedName name="frfr" localSheetId="50" hidden="1">{"TAB1",#N/A,TRUE,"GENERAL";"TAB2",#N/A,TRUE,"GENERAL";"TAB3",#N/A,TRUE,"GENERAL";"TAB4",#N/A,TRUE,"GENERAL";"TAB5",#N/A,TRUE,"GENERAL"}</definedName>
    <definedName name="frfr" localSheetId="1" hidden="1">{"TAB1",#N/A,TRUE,"GENERAL";"TAB2",#N/A,TRUE,"GENERAL";"TAB3",#N/A,TRUE,"GENERAL";"TAB4",#N/A,TRUE,"GENERAL";"TAB5",#N/A,TRUE,"GENERAL"}</definedName>
    <definedName name="frfr" localSheetId="73" hidden="1">{"TAB1",#N/A,TRUE,"GENERAL";"TAB2",#N/A,TRUE,"GENERAL";"TAB3",#N/A,TRUE,"GENERAL";"TAB4",#N/A,TRUE,"GENERAL";"TAB5",#N/A,TRUE,"GENERAL"}</definedName>
    <definedName name="frfr" hidden="1">{"TAB1",#N/A,TRUE,"GENERAL";"TAB2",#N/A,TRUE,"GENERAL";"TAB3",#N/A,TRUE,"GENERAL";"TAB4",#N/A,TRUE,"GENERAL";"TAB5",#N/A,TRUE,"GENERAL"}</definedName>
    <definedName name="FSFCDFSFSD" localSheetId="1" hidden="1">#REF!</definedName>
    <definedName name="FSFCDFSFSD" hidden="1">#REF!</definedName>
    <definedName name="fu" localSheetId="1">#REF!</definedName>
    <definedName name="fu">#REF!</definedName>
    <definedName name="Full_Print" localSheetId="1">#REF!</definedName>
    <definedName name="Full_Print">#REF!</definedName>
    <definedName name="fv" localSheetId="1">#REF!</definedName>
    <definedName name="fv">#REF!</definedName>
    <definedName name="fwff" localSheetId="50" hidden="1">{"via1",#N/A,TRUE,"general";"via2",#N/A,TRUE,"general";"via3",#N/A,TRUE,"general"}</definedName>
    <definedName name="fwff" localSheetId="1" hidden="1">{"via1",#N/A,TRUE,"general";"via2",#N/A,TRUE,"general";"via3",#N/A,TRUE,"general"}</definedName>
    <definedName name="fwff" localSheetId="73" hidden="1">{"via1",#N/A,TRUE,"general";"via2",#N/A,TRUE,"general";"via3",#N/A,TRUE,"general"}</definedName>
    <definedName name="fwff" hidden="1">{"via1",#N/A,TRUE,"general";"via2",#N/A,TRUE,"general";"via3",#N/A,TRUE,"general"}</definedName>
    <definedName name="fwwe" localSheetId="50" hidden="1">{"via1",#N/A,TRUE,"general";"via2",#N/A,TRUE,"general";"via3",#N/A,TRUE,"general"}</definedName>
    <definedName name="fwwe" localSheetId="1" hidden="1">{"via1",#N/A,TRUE,"general";"via2",#N/A,TRUE,"general";"via3",#N/A,TRUE,"general"}</definedName>
    <definedName name="fwwe" localSheetId="73" hidden="1">{"via1",#N/A,TRUE,"general";"via2",#N/A,TRUE,"general";"via3",#N/A,TRUE,"general"}</definedName>
    <definedName name="fwwe" hidden="1">{"via1",#N/A,TRUE,"general";"via2",#N/A,TRUE,"general";"via3",#N/A,TRUE,"general"}</definedName>
    <definedName name="fy" localSheetId="1">#REF!</definedName>
    <definedName name="fy">#REF!</definedName>
    <definedName name="Ga" localSheetId="1">#REF!</definedName>
    <definedName name="Ga">#REF!</definedName>
    <definedName name="Gabinete_30_40_20" localSheetId="1">#REF!</definedName>
    <definedName name="Gabinete_30_40_20">#REF!</definedName>
    <definedName name="GANCHO" localSheetId="1">#REF!</definedName>
    <definedName name="GANCHO">#REF!</definedName>
    <definedName name="Gb" localSheetId="1">#REF!</definedName>
    <definedName name="Gb">#REF!</definedName>
    <definedName name="gba" localSheetId="5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localSheetId="73"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5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localSheetId="73"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50"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73" hidden="1">{"TAB1",#N/A,TRUE,"GENERAL";"TAB2",#N/A,TRUE,"GENERAL";"TAB3",#N/A,TRUE,"GENERAL";"TAB4",#N/A,TRUE,"GENERAL";"TAB5",#N/A,TRUE,"GENERAL"}</definedName>
    <definedName name="gbbfghghj" hidden="1">{"TAB1",#N/A,TRUE,"GENERAL";"TAB2",#N/A,TRUE,"GENERAL";"TAB3",#N/A,TRUE,"GENERAL";"TAB4",#N/A,TRUE,"GENERAL";"TAB5",#N/A,TRUE,"GENERAL"}</definedName>
    <definedName name="Gc" localSheetId="1">#REF!</definedName>
    <definedName name="Gc">#REF!</definedName>
    <definedName name="Gd" localSheetId="1">#REF!</definedName>
    <definedName name="Gd">#REF!</definedName>
    <definedName name="gdj" localSheetId="1">#REF!</definedName>
    <definedName name="gdj">#REF!</definedName>
    <definedName name="GDS" localSheetId="5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GD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GD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gdt" localSheetId="50" hidden="1">{"TAB1",#N/A,TRUE,"GENERAL";"TAB2",#N/A,TRUE,"GENERAL";"TAB3",#N/A,TRUE,"GENERAL";"TAB4",#N/A,TRUE,"GENERAL";"TAB5",#N/A,TRUE,"GENERAL"}</definedName>
    <definedName name="gdt" localSheetId="1" hidden="1">{"TAB1",#N/A,TRUE,"GENERAL";"TAB2",#N/A,TRUE,"GENERAL";"TAB3",#N/A,TRUE,"GENERAL";"TAB4",#N/A,TRUE,"GENERAL";"TAB5",#N/A,TRUE,"GENERAL"}</definedName>
    <definedName name="gdt" localSheetId="73" hidden="1">{"TAB1",#N/A,TRUE,"GENERAL";"TAB2",#N/A,TRUE,"GENERAL";"TAB3",#N/A,TRUE,"GENERAL";"TAB4",#N/A,TRUE,"GENERAL";"TAB5",#N/A,TRUE,"GENERAL"}</definedName>
    <definedName name="gdt" hidden="1">{"TAB1",#N/A,TRUE,"GENERAL";"TAB2",#N/A,TRUE,"GENERAL";"TAB3",#N/A,TRUE,"GENERAL";"TAB4",#N/A,TRUE,"GENERAL";"TAB5",#N/A,TRUE,"GENERAL"}</definedName>
    <definedName name="Ge" localSheetId="1">#REF!</definedName>
    <definedName name="Ge">#REF!</definedName>
    <definedName name="geg" localSheetId="50" hidden="1">{"via1",#N/A,TRUE,"general";"via2",#N/A,TRUE,"general";"via3",#N/A,TRUE,"general"}</definedName>
    <definedName name="geg" localSheetId="1" hidden="1">{"via1",#N/A,TRUE,"general";"via2",#N/A,TRUE,"general";"via3",#N/A,TRUE,"general"}</definedName>
    <definedName name="geg" localSheetId="73" hidden="1">{"via1",#N/A,TRUE,"general";"via2",#N/A,TRUE,"general";"via3",#N/A,TRUE,"general"}</definedName>
    <definedName name="geg" hidden="1">{"via1",#N/A,TRUE,"general";"via2",#N/A,TRUE,"general";"via3",#N/A,TRUE,"general"}</definedName>
    <definedName name="GEOTEXTIL" localSheetId="1">#REF!</definedName>
    <definedName name="GEOTEXTIL">#REF!</definedName>
    <definedName name="gerg" localSheetId="50" hidden="1">{"TAB1",#N/A,TRUE,"GENERAL";"TAB2",#N/A,TRUE,"GENERAL";"TAB3",#N/A,TRUE,"GENERAL";"TAB4",#N/A,TRUE,"GENERAL";"TAB5",#N/A,TRUE,"GENERAL"}</definedName>
    <definedName name="gerg" localSheetId="1" hidden="1">{"TAB1",#N/A,TRUE,"GENERAL";"TAB2",#N/A,TRUE,"GENERAL";"TAB3",#N/A,TRUE,"GENERAL";"TAB4",#N/A,TRUE,"GENERAL";"TAB5",#N/A,TRUE,"GENERAL"}</definedName>
    <definedName name="gerg" localSheetId="73" hidden="1">{"TAB1",#N/A,TRUE,"GENERAL";"TAB2",#N/A,TRUE,"GENERAL";"TAB3",#N/A,TRUE,"GENERAL";"TAB4",#N/A,TRUE,"GENERAL";"TAB5",#N/A,TRUE,"GENERAL"}</definedName>
    <definedName name="gerg" hidden="1">{"TAB1",#N/A,TRUE,"GENERAL";"TAB2",#N/A,TRUE,"GENERAL";"TAB3",#N/A,TRUE,"GENERAL";"TAB4",#N/A,TRUE,"GENERAL";"TAB5",#N/A,TRUE,"GENERAL"}</definedName>
    <definedName name="gerg54" localSheetId="50" hidden="1">{"via1",#N/A,TRUE,"general";"via2",#N/A,TRUE,"general";"via3",#N/A,TRUE,"general"}</definedName>
    <definedName name="gerg54" localSheetId="1" hidden="1">{"via1",#N/A,TRUE,"general";"via2",#N/A,TRUE,"general";"via3",#N/A,TRUE,"general"}</definedName>
    <definedName name="gerg54" localSheetId="73" hidden="1">{"via1",#N/A,TRUE,"general";"via2",#N/A,TRUE,"general";"via3",#N/A,TRUE,"general"}</definedName>
    <definedName name="gerg54" hidden="1">{"via1",#N/A,TRUE,"general";"via2",#N/A,TRUE,"general";"via3",#N/A,TRUE,"general"}</definedName>
    <definedName name="gergew" localSheetId="50"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73" hidden="1">{"TAB1",#N/A,TRUE,"GENERAL";"TAB2",#N/A,TRUE,"GENERAL";"TAB3",#N/A,TRUE,"GENERAL";"TAB4",#N/A,TRUE,"GENERAL";"TAB5",#N/A,TRUE,"GENERAL"}</definedName>
    <definedName name="gergew" hidden="1">{"TAB1",#N/A,TRUE,"GENERAL";"TAB2",#N/A,TRUE,"GENERAL";"TAB3",#N/A,TRUE,"GENERAL";"TAB4",#N/A,TRUE,"GENERAL";"TAB5",#N/A,TRUE,"GENERAL"}</definedName>
    <definedName name="gergw" localSheetId="50" hidden="1">{"TAB1",#N/A,TRUE,"GENERAL";"TAB2",#N/A,TRUE,"GENERAL";"TAB3",#N/A,TRUE,"GENERAL";"TAB4",#N/A,TRUE,"GENERAL";"TAB5",#N/A,TRUE,"GENERAL"}</definedName>
    <definedName name="gergw" localSheetId="1" hidden="1">{"TAB1",#N/A,TRUE,"GENERAL";"TAB2",#N/A,TRUE,"GENERAL";"TAB3",#N/A,TRUE,"GENERAL";"TAB4",#N/A,TRUE,"GENERAL";"TAB5",#N/A,TRUE,"GENERAL"}</definedName>
    <definedName name="gergw" localSheetId="73" hidden="1">{"TAB1",#N/A,TRUE,"GENERAL";"TAB2",#N/A,TRUE,"GENERAL";"TAB3",#N/A,TRUE,"GENERAL";"TAB4",#N/A,TRUE,"GENERAL";"TAB5",#N/A,TRUE,"GENERAL"}</definedName>
    <definedName name="gergw" hidden="1">{"TAB1",#N/A,TRUE,"GENERAL";"TAB2",#N/A,TRUE,"GENERAL";"TAB3",#N/A,TRUE,"GENERAL";"TAB4",#N/A,TRUE,"GENERAL";"TAB5",#N/A,TRUE,"GENERAL"}</definedName>
    <definedName name="Gf" localSheetId="1">#REF!</definedName>
    <definedName name="Gf">#REF!</definedName>
    <definedName name="gfd" localSheetId="50" hidden="1">{"TAB1",#N/A,TRUE,"GENERAL";"TAB2",#N/A,TRUE,"GENERAL";"TAB3",#N/A,TRUE,"GENERAL";"TAB4",#N/A,TRUE,"GENERAL";"TAB5",#N/A,TRUE,"GENERAL"}</definedName>
    <definedName name="gfd" localSheetId="1" hidden="1">{"TAB1",#N/A,TRUE,"GENERAL";"TAB2",#N/A,TRUE,"GENERAL";"TAB3",#N/A,TRUE,"GENERAL";"TAB4",#N/A,TRUE,"GENERAL";"TAB5",#N/A,TRUE,"GENERAL"}</definedName>
    <definedName name="gfd" localSheetId="73" hidden="1">{"TAB1",#N/A,TRUE,"GENERAL";"TAB2",#N/A,TRUE,"GENERAL";"TAB3",#N/A,TRUE,"GENERAL";"TAB4",#N/A,TRUE,"GENERAL";"TAB5",#N/A,TRUE,"GENERAL"}</definedName>
    <definedName name="gfd" hidden="1">{"TAB1",#N/A,TRUE,"GENERAL";"TAB2",#N/A,TRUE,"GENERAL";"TAB3",#N/A,TRUE,"GENERAL";"TAB4",#N/A,TRUE,"GENERAL";"TAB5",#N/A,TRUE,"GENERAL"}</definedName>
    <definedName name="gfdg" localSheetId="50" hidden="1">{"via1",#N/A,TRUE,"general";"via2",#N/A,TRUE,"general";"via3",#N/A,TRUE,"general"}</definedName>
    <definedName name="gfdg" localSheetId="1" hidden="1">{"via1",#N/A,TRUE,"general";"via2",#N/A,TRUE,"general";"via3",#N/A,TRUE,"general"}</definedName>
    <definedName name="gfdg" localSheetId="73" hidden="1">{"via1",#N/A,TRUE,"general";"via2",#N/A,TRUE,"general";"via3",#N/A,TRUE,"general"}</definedName>
    <definedName name="gfdg" hidden="1">{"via1",#N/A,TRUE,"general";"via2",#N/A,TRUE,"general";"via3",#N/A,TRUE,"general"}</definedName>
    <definedName name="gffgfhhf" localSheetId="50" hidden="1">{#N/A,#N/A,TRUE,"INGENIERIA";#N/A,#N/A,TRUE,"COMPRAS";#N/A,#N/A,TRUE,"DIRECCION";#N/A,#N/A,TRUE,"RESUMEN"}</definedName>
    <definedName name="gffgfhhf" localSheetId="1" hidden="1">{#N/A,#N/A,TRUE,"INGENIERIA";#N/A,#N/A,TRUE,"COMPRAS";#N/A,#N/A,TRUE,"DIRECCION";#N/A,#N/A,TRUE,"RESUMEN"}</definedName>
    <definedName name="gffgfhhf" localSheetId="73" hidden="1">{#N/A,#N/A,TRUE,"INGENIERIA";#N/A,#N/A,TRUE,"COMPRAS";#N/A,#N/A,TRUE,"DIRECCION";#N/A,#N/A,TRUE,"RESUMEN"}</definedName>
    <definedName name="gffgfhhf" hidden="1">{#N/A,#N/A,TRUE,"INGENIERIA";#N/A,#N/A,TRUE,"COMPRAS";#N/A,#N/A,TRUE,"DIRECCION";#N/A,#N/A,TRUE,"RESUMEN"}</definedName>
    <definedName name="gfgfgr" localSheetId="50" hidden="1">{"via1",#N/A,TRUE,"general";"via2",#N/A,TRUE,"general";"via3",#N/A,TRUE,"general"}</definedName>
    <definedName name="gfgfgr" localSheetId="1" hidden="1">{"via1",#N/A,TRUE,"general";"via2",#N/A,TRUE,"general";"via3",#N/A,TRUE,"general"}</definedName>
    <definedName name="gfgfgr" localSheetId="73" hidden="1">{"via1",#N/A,TRUE,"general";"via2",#N/A,TRUE,"general";"via3",#N/A,TRUE,"general"}</definedName>
    <definedName name="gfgfgr" hidden="1">{"via1",#N/A,TRUE,"general";"via2",#N/A,TRUE,"general";"via3",#N/A,TRUE,"general"}</definedName>
    <definedName name="gfhf" localSheetId="50" hidden="1">{"via1",#N/A,TRUE,"general";"via2",#N/A,TRUE,"general";"via3",#N/A,TRUE,"general"}</definedName>
    <definedName name="gfhf" localSheetId="1" hidden="1">{"via1",#N/A,TRUE,"general";"via2",#N/A,TRUE,"general";"via3",#N/A,TRUE,"general"}</definedName>
    <definedName name="gfhf" localSheetId="73" hidden="1">{"via1",#N/A,TRUE,"general";"via2",#N/A,TRUE,"general";"via3",#N/A,TRUE,"general"}</definedName>
    <definedName name="gfhf" hidden="1">{"via1",#N/A,TRUE,"general";"via2",#N/A,TRUE,"general";"via3",#N/A,TRUE,"general"}</definedName>
    <definedName name="gfhfdh" localSheetId="50"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73" hidden="1">{"TAB1",#N/A,TRUE,"GENERAL";"TAB2",#N/A,TRUE,"GENERAL";"TAB3",#N/A,TRUE,"GENERAL";"TAB4",#N/A,TRUE,"GENERAL";"TAB5",#N/A,TRUE,"GENERAL"}</definedName>
    <definedName name="gfhfdh" hidden="1">{"TAB1",#N/A,TRUE,"GENERAL";"TAB2",#N/A,TRUE,"GENERAL";"TAB3",#N/A,TRUE,"GENERAL";"TAB4",#N/A,TRUE,"GENERAL";"TAB5",#N/A,TRUE,"GENERAL"}</definedName>
    <definedName name="gfhgfh" localSheetId="50"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73" hidden="1">{"TAB1",#N/A,TRUE,"GENERAL";"TAB2",#N/A,TRUE,"GENERAL";"TAB3",#N/A,TRUE,"GENERAL";"TAB4",#N/A,TRUE,"GENERAL";"TAB5",#N/A,TRUE,"GENERAL"}</definedName>
    <definedName name="gfhgfh" hidden="1">{"TAB1",#N/A,TRUE,"GENERAL";"TAB2",#N/A,TRUE,"GENERAL";"TAB3",#N/A,TRUE,"GENERAL";"TAB4",#N/A,TRUE,"GENERAL";"TAB5",#N/A,TRUE,"GENERAL"}</definedName>
    <definedName name="GFJHGJ" localSheetId="50"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73" hidden="1">{"TAB1",#N/A,TRUE,"GENERAL";"TAB2",#N/A,TRUE,"GENERAL";"TAB3",#N/A,TRUE,"GENERAL";"TAB4",#N/A,TRUE,"GENERAL";"TAB5",#N/A,TRUE,"GENERAL"}</definedName>
    <definedName name="GFJHGJ" hidden="1">{"TAB1",#N/A,TRUE,"GENERAL";"TAB2",#N/A,TRUE,"GENERAL";"TAB3",#N/A,TRUE,"GENERAL";"TAB4",#N/A,TRUE,"GENERAL";"TAB5",#N/A,TRUE,"GENERAL"}</definedName>
    <definedName name="gfjjh" localSheetId="50" hidden="1">{"via1",#N/A,TRUE,"general";"via2",#N/A,TRUE,"general";"via3",#N/A,TRUE,"general"}</definedName>
    <definedName name="gfjjh" localSheetId="1" hidden="1">{"via1",#N/A,TRUE,"general";"via2",#N/A,TRUE,"general";"via3",#N/A,TRUE,"general"}</definedName>
    <definedName name="gfjjh" localSheetId="73" hidden="1">{"via1",#N/A,TRUE,"general";"via2",#N/A,TRUE,"general";"via3",#N/A,TRUE,"general"}</definedName>
    <definedName name="gfjjh" hidden="1">{"via1",#N/A,TRUE,"general";"via2",#N/A,TRUE,"general";"via3",#N/A,TRUE,"general"}</definedName>
    <definedName name="gft" localSheetId="1">#REF!</definedName>
    <definedName name="gft">#REF!</definedName>
    <definedName name="GFTUY" localSheetId="1">#REF!</definedName>
    <definedName name="GFTUY">#REF!</definedName>
    <definedName name="gfutyj6" localSheetId="50" hidden="1">{"via1",#N/A,TRUE,"general";"via2",#N/A,TRUE,"general";"via3",#N/A,TRUE,"general"}</definedName>
    <definedName name="gfutyj6" localSheetId="1" hidden="1">{"via1",#N/A,TRUE,"general";"via2",#N/A,TRUE,"general";"via3",#N/A,TRUE,"general"}</definedName>
    <definedName name="gfutyj6" localSheetId="73" hidden="1">{"via1",#N/A,TRUE,"general";"via2",#N/A,TRUE,"general";"via3",#N/A,TRUE,"general"}</definedName>
    <definedName name="gfutyj6" hidden="1">{"via1",#N/A,TRUE,"general";"via2",#N/A,TRUE,"general";"via3",#N/A,TRUE,"general"}</definedName>
    <definedName name="Gg" localSheetId="1">#REF!</definedName>
    <definedName name="gg" localSheetId="71" hidden="1">{"TAB1",#N/A,TRUE,"GENERAL";"TAB2",#N/A,TRUE,"GENERAL";"TAB3",#N/A,TRUE,"GENERAL";"TAB4",#N/A,TRUE,"GENERAL";"TAB5",#N/A,TRUE,"GENERAL"}</definedName>
    <definedName name="gg" localSheetId="73" hidden="1">{"TAB1",#N/A,TRUE,"GENERAL";"TAB2",#N/A,TRUE,"GENERAL";"TAB3",#N/A,TRUE,"GENERAL";"TAB4",#N/A,TRUE,"GENERAL";"TAB5",#N/A,TRUE,"GENERAL"}</definedName>
    <definedName name="Gg">#REF!</definedName>
    <definedName name="ggdr" localSheetId="50" hidden="1">{"via1",#N/A,TRUE,"general";"via2",#N/A,TRUE,"general";"via3",#N/A,TRUE,"general"}</definedName>
    <definedName name="ggdr" localSheetId="1" hidden="1">{"via1",#N/A,TRUE,"general";"via2",#N/A,TRUE,"general";"via3",#N/A,TRUE,"general"}</definedName>
    <definedName name="ggdr" localSheetId="73" hidden="1">{"via1",#N/A,TRUE,"general";"via2",#N/A,TRUE,"general";"via3",#N/A,TRUE,"general"}</definedName>
    <definedName name="ggdr" hidden="1">{"via1",#N/A,TRUE,"general";"via2",#N/A,TRUE,"general";"via3",#N/A,TRUE,"general"}</definedName>
    <definedName name="ggerg" localSheetId="50" hidden="1">{"TAB1",#N/A,TRUE,"GENERAL";"TAB2",#N/A,TRUE,"GENERAL";"TAB3",#N/A,TRUE,"GENERAL";"TAB4",#N/A,TRUE,"GENERAL";"TAB5",#N/A,TRUE,"GENERAL"}</definedName>
    <definedName name="ggerg" localSheetId="1" hidden="1">{"TAB1",#N/A,TRUE,"GENERAL";"TAB2",#N/A,TRUE,"GENERAL";"TAB3",#N/A,TRUE,"GENERAL";"TAB4",#N/A,TRUE,"GENERAL";"TAB5",#N/A,TRUE,"GENERAL"}</definedName>
    <definedName name="ggerg" localSheetId="73" hidden="1">{"TAB1",#N/A,TRUE,"GENERAL";"TAB2",#N/A,TRUE,"GENERAL";"TAB3",#N/A,TRUE,"GENERAL";"TAB4",#N/A,TRUE,"GENERAL";"TAB5",#N/A,TRUE,"GENERAL"}</definedName>
    <definedName name="ggerg" hidden="1">{"TAB1",#N/A,TRUE,"GENERAL";"TAB2",#N/A,TRUE,"GENERAL";"TAB3",#N/A,TRUE,"GENERAL";"TAB4",#N/A,TRUE,"GENERAL";"TAB5",#N/A,TRUE,"GENERAL"}</definedName>
    <definedName name="gggb" localSheetId="50" hidden="1">{"TAB1",#N/A,TRUE,"GENERAL";"TAB2",#N/A,TRUE,"GENERAL";"TAB3",#N/A,TRUE,"GENERAL";"TAB4",#N/A,TRUE,"GENERAL";"TAB5",#N/A,TRUE,"GENERAL"}</definedName>
    <definedName name="gggb" localSheetId="1" hidden="1">{"TAB1",#N/A,TRUE,"GENERAL";"TAB2",#N/A,TRUE,"GENERAL";"TAB3",#N/A,TRUE,"GENERAL";"TAB4",#N/A,TRUE,"GENERAL";"TAB5",#N/A,TRUE,"GENERAL"}</definedName>
    <definedName name="gggb" localSheetId="73" hidden="1">{"TAB1",#N/A,TRUE,"GENERAL";"TAB2",#N/A,TRUE,"GENERAL";"TAB3",#N/A,TRUE,"GENERAL";"TAB4",#N/A,TRUE,"GENERAL";"TAB5",#N/A,TRUE,"GENERAL"}</definedName>
    <definedName name="gggb" hidden="1">{"TAB1",#N/A,TRUE,"GENERAL";"TAB2",#N/A,TRUE,"GENERAL";"TAB3",#N/A,TRUE,"GENERAL";"TAB4",#N/A,TRUE,"GENERAL";"TAB5",#N/A,TRUE,"GENERAL"}</definedName>
    <definedName name="gggg" localSheetId="50" hidden="1">{"via1",#N/A,TRUE,"general";"via2",#N/A,TRUE,"general";"via3",#N/A,TRUE,"general"}</definedName>
    <definedName name="gggg" localSheetId="1" hidden="1">{"via1",#N/A,TRUE,"general";"via2",#N/A,TRUE,"general";"via3",#N/A,TRUE,"general"}</definedName>
    <definedName name="gggg" localSheetId="73" hidden="1">{"via1",#N/A,TRUE,"general";"via2",#N/A,TRUE,"general";"via3",#N/A,TRUE,"general"}</definedName>
    <definedName name="gggg" hidden="1">{"via1",#N/A,TRUE,"general";"via2",#N/A,TRUE,"general";"via3",#N/A,TRUE,"general"}</definedName>
    <definedName name="ggggd" localSheetId="50" hidden="1">{"TAB1",#N/A,TRUE,"GENERAL";"TAB2",#N/A,TRUE,"GENERAL";"TAB3",#N/A,TRUE,"GENERAL";"TAB4",#N/A,TRUE,"GENERAL";"TAB5",#N/A,TRUE,"GENERAL"}</definedName>
    <definedName name="ggggd" localSheetId="1" hidden="1">{"TAB1",#N/A,TRUE,"GENERAL";"TAB2",#N/A,TRUE,"GENERAL";"TAB3",#N/A,TRUE,"GENERAL";"TAB4",#N/A,TRUE,"GENERAL";"TAB5",#N/A,TRUE,"GENERAL"}</definedName>
    <definedName name="ggggd" localSheetId="73" hidden="1">{"TAB1",#N/A,TRUE,"GENERAL";"TAB2",#N/A,TRUE,"GENERAL";"TAB3",#N/A,TRUE,"GENERAL";"TAB4",#N/A,TRUE,"GENERAL";"TAB5",#N/A,TRUE,"GENERAL"}</definedName>
    <definedName name="ggggd" hidden="1">{"TAB1",#N/A,TRUE,"GENERAL";"TAB2",#N/A,TRUE,"GENERAL";"TAB3",#N/A,TRUE,"GENERAL";"TAB4",#N/A,TRUE,"GENERAL";"TAB5",#N/A,TRUE,"GENERAL"}</definedName>
    <definedName name="gggggt" localSheetId="50" hidden="1">{"via1",#N/A,TRUE,"general";"via2",#N/A,TRUE,"general";"via3",#N/A,TRUE,"general"}</definedName>
    <definedName name="gggggt" localSheetId="1" hidden="1">{"via1",#N/A,TRUE,"general";"via2",#N/A,TRUE,"general";"via3",#N/A,TRUE,"general"}</definedName>
    <definedName name="gggggt" localSheetId="73" hidden="1">{"via1",#N/A,TRUE,"general";"via2",#N/A,TRUE,"general";"via3",#N/A,TRUE,"general"}</definedName>
    <definedName name="gggggt" hidden="1">{"via1",#N/A,TRUE,"general";"via2",#N/A,TRUE,"general";"via3",#N/A,TRUE,"general"}</definedName>
    <definedName name="gggghn" localSheetId="50"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73" hidden="1">{"TAB1",#N/A,TRUE,"GENERAL";"TAB2",#N/A,TRUE,"GENERAL";"TAB3",#N/A,TRUE,"GENERAL";"TAB4",#N/A,TRUE,"GENERAL";"TAB5",#N/A,TRUE,"GENERAL"}</definedName>
    <definedName name="gggghn" hidden="1">{"TAB1",#N/A,TRUE,"GENERAL";"TAB2",#N/A,TRUE,"GENERAL";"TAB3",#N/A,TRUE,"GENERAL";"TAB4",#N/A,TRUE,"GENERAL";"TAB5",#N/A,TRUE,"GENERAL"}</definedName>
    <definedName name="ggggt" localSheetId="50" hidden="1">{"TAB1",#N/A,TRUE,"GENERAL";"TAB2",#N/A,TRUE,"GENERAL";"TAB3",#N/A,TRUE,"GENERAL";"TAB4",#N/A,TRUE,"GENERAL";"TAB5",#N/A,TRUE,"GENERAL"}</definedName>
    <definedName name="ggggt" localSheetId="1" hidden="1">{"TAB1",#N/A,TRUE,"GENERAL";"TAB2",#N/A,TRUE,"GENERAL";"TAB3",#N/A,TRUE,"GENERAL";"TAB4",#N/A,TRUE,"GENERAL";"TAB5",#N/A,TRUE,"GENERAL"}</definedName>
    <definedName name="ggggt" localSheetId="73" hidden="1">{"TAB1",#N/A,TRUE,"GENERAL";"TAB2",#N/A,TRUE,"GENERAL";"TAB3",#N/A,TRUE,"GENERAL";"TAB4",#N/A,TRUE,"GENERAL";"TAB5",#N/A,TRUE,"GENERAL"}</definedName>
    <definedName name="ggggt" hidden="1">{"TAB1",#N/A,TRUE,"GENERAL";"TAB2",#N/A,TRUE,"GENERAL";"TAB3",#N/A,TRUE,"GENERAL";"TAB4",#N/A,TRUE,"GENERAL";"TAB5",#N/A,TRUE,"GENERAL"}</definedName>
    <definedName name="ggggy" localSheetId="50" hidden="1">{"TAB1",#N/A,TRUE,"GENERAL";"TAB2",#N/A,TRUE,"GENERAL";"TAB3",#N/A,TRUE,"GENERAL";"TAB4",#N/A,TRUE,"GENERAL";"TAB5",#N/A,TRUE,"GENERAL"}</definedName>
    <definedName name="ggggy" localSheetId="1" hidden="1">{"TAB1",#N/A,TRUE,"GENERAL";"TAB2",#N/A,TRUE,"GENERAL";"TAB3",#N/A,TRUE,"GENERAL";"TAB4",#N/A,TRUE,"GENERAL";"TAB5",#N/A,TRUE,"GENERAL"}</definedName>
    <definedName name="ggggy" localSheetId="73" hidden="1">{"TAB1",#N/A,TRUE,"GENERAL";"TAB2",#N/A,TRUE,"GENERAL";"TAB3",#N/A,TRUE,"GENERAL";"TAB4",#N/A,TRUE,"GENERAL";"TAB5",#N/A,TRUE,"GENERAL"}</definedName>
    <definedName name="ggggy" hidden="1">{"TAB1",#N/A,TRUE,"GENERAL";"TAB2",#N/A,TRUE,"GENERAL";"TAB3",#N/A,TRUE,"GENERAL";"TAB4",#N/A,TRUE,"GENERAL";"TAB5",#N/A,TRUE,"GENERAL"}</definedName>
    <definedName name="gggtgd" localSheetId="50" hidden="1">{"via1",#N/A,TRUE,"general";"via2",#N/A,TRUE,"general";"via3",#N/A,TRUE,"general"}</definedName>
    <definedName name="gggtgd" localSheetId="1" hidden="1">{"via1",#N/A,TRUE,"general";"via2",#N/A,TRUE,"general";"via3",#N/A,TRUE,"general"}</definedName>
    <definedName name="gggtgd" localSheetId="73" hidden="1">{"via1",#N/A,TRUE,"general";"via2",#N/A,TRUE,"general";"via3",#N/A,TRUE,"general"}</definedName>
    <definedName name="gggtgd" hidden="1">{"via1",#N/A,TRUE,"general";"via2",#N/A,TRUE,"general";"via3",#N/A,TRUE,"general"}</definedName>
    <definedName name="ggjgjkg" localSheetId="50" hidden="1">{#N/A,#N/A,TRUE,"1842CWN0"}</definedName>
    <definedName name="ggjgjkg" localSheetId="1" hidden="1">{#N/A,#N/A,TRUE,"1842CWN0"}</definedName>
    <definedName name="ggjgjkg" localSheetId="73" hidden="1">{#N/A,#N/A,TRUE,"1842CWN0"}</definedName>
    <definedName name="ggjgjkg" hidden="1">{#N/A,#N/A,TRUE,"1842CWN0"}</definedName>
    <definedName name="ggtgt" localSheetId="50" hidden="1">{"via1",#N/A,TRUE,"general";"via2",#N/A,TRUE,"general";"via3",#N/A,TRUE,"general"}</definedName>
    <definedName name="ggtgt" localSheetId="1" hidden="1">{"via1",#N/A,TRUE,"general";"via2",#N/A,TRUE,"general";"via3",#N/A,TRUE,"general"}</definedName>
    <definedName name="ggtgt" localSheetId="73" hidden="1">{"via1",#N/A,TRUE,"general";"via2",#N/A,TRUE,"general";"via3",#N/A,TRUE,"general"}</definedName>
    <definedName name="ggtgt" hidden="1">{"via1",#N/A,TRUE,"general";"via2",#N/A,TRUE,"general";"via3",#N/A,TRUE,"general"}</definedName>
    <definedName name="Gh" localSheetId="1">#REF!</definedName>
    <definedName name="Gh">#REF!</definedName>
    <definedName name="ghdghuy" localSheetId="50" hidden="1">{"via1",#N/A,TRUE,"general";"via2",#N/A,TRUE,"general";"via3",#N/A,TRUE,"general"}</definedName>
    <definedName name="ghdghuy" localSheetId="1" hidden="1">{"via1",#N/A,TRUE,"general";"via2",#N/A,TRUE,"general";"via3",#N/A,TRUE,"general"}</definedName>
    <definedName name="ghdghuy" localSheetId="73" hidden="1">{"via1",#N/A,TRUE,"general";"via2",#N/A,TRUE,"general";"via3",#N/A,TRUE,"general"}</definedName>
    <definedName name="ghdghuy" hidden="1">{"via1",#N/A,TRUE,"general";"via2",#N/A,TRUE,"general";"via3",#N/A,TRUE,"general"}</definedName>
    <definedName name="GHDP" localSheetId="50" hidden="1">{"via1",#N/A,TRUE,"general";"via2",#N/A,TRUE,"general";"via3",#N/A,TRUE,"general"}</definedName>
    <definedName name="GHDP" localSheetId="1" hidden="1">{"via1",#N/A,TRUE,"general";"via2",#N/A,TRUE,"general";"via3",#N/A,TRUE,"general"}</definedName>
    <definedName name="GHDP" localSheetId="73" hidden="1">{"via1",#N/A,TRUE,"general";"via2",#N/A,TRUE,"general";"via3",#N/A,TRUE,"general"}</definedName>
    <definedName name="GHDP" hidden="1">{"via1",#N/A,TRUE,"general";"via2",#N/A,TRUE,"general";"via3",#N/A,TRUE,"general"}</definedName>
    <definedName name="GHEYER" localSheetId="50" hidden="1">{#N/A,#N/A,TRUE,"INGENIERIA";#N/A,#N/A,TRUE,"COMPRAS";#N/A,#N/A,TRUE,"DIRECCION";#N/A,#N/A,TRUE,"RESUMEN"}</definedName>
    <definedName name="GHEYER" localSheetId="1" hidden="1">{#N/A,#N/A,TRUE,"INGENIERIA";#N/A,#N/A,TRUE,"COMPRAS";#N/A,#N/A,TRUE,"DIRECCION";#N/A,#N/A,TRUE,"RESUMEN"}</definedName>
    <definedName name="GHEYER" hidden="1">{#N/A,#N/A,TRUE,"INGENIERIA";#N/A,#N/A,TRUE,"COMPRAS";#N/A,#N/A,TRUE,"DIRECCION";#N/A,#N/A,TRUE,"RESUMEN"}</definedName>
    <definedName name="ghfg" localSheetId="50" hidden="1">{"via1",#N/A,TRUE,"general";"via2",#N/A,TRUE,"general";"via3",#N/A,TRUE,"general"}</definedName>
    <definedName name="ghfg" localSheetId="1" hidden="1">{"via1",#N/A,TRUE,"general";"via2",#N/A,TRUE,"general";"via3",#N/A,TRUE,"general"}</definedName>
    <definedName name="ghfg" localSheetId="73" hidden="1">{"via1",#N/A,TRUE,"general";"via2",#N/A,TRUE,"general";"via3",#N/A,TRUE,"general"}</definedName>
    <definedName name="ghfg" hidden="1">{"via1",#N/A,TRUE,"general";"via2",#N/A,TRUE,"general";"via3",#N/A,TRUE,"general"}</definedName>
    <definedName name="ghjghj" localSheetId="50"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73" hidden="1">{"TAB1",#N/A,TRUE,"GENERAL";"TAB2",#N/A,TRUE,"GENERAL";"TAB3",#N/A,TRUE,"GENERAL";"TAB4",#N/A,TRUE,"GENERAL";"TAB5",#N/A,TRUE,"GENERAL"}</definedName>
    <definedName name="ghjghj" hidden="1">{"TAB1",#N/A,TRUE,"GENERAL";"TAB2",#N/A,TRUE,"GENERAL";"TAB3",#N/A,TRUE,"GENERAL";"TAB4",#N/A,TRUE,"GENERAL";"TAB5",#N/A,TRUE,"GENERAL"}</definedName>
    <definedName name="GHKJHK" localSheetId="50"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73" hidden="1">{"TAB1",#N/A,TRUE,"GENERAL";"TAB2",#N/A,TRUE,"GENERAL";"TAB3",#N/A,TRUE,"GENERAL";"TAB4",#N/A,TRUE,"GENERAL";"TAB5",#N/A,TRUE,"GENERAL"}</definedName>
    <definedName name="GHKJHK" hidden="1">{"TAB1",#N/A,TRUE,"GENERAL";"TAB2",#N/A,TRUE,"GENERAL";"TAB3",#N/A,TRUE,"GENERAL";"TAB4",#N/A,TRUE,"GENERAL";"TAB5",#N/A,TRUE,"GENERAL"}</definedName>
    <definedName name="ghnbbfr" localSheetId="50" hidden="1">{#N/A,#N/A,TRUE,"1842CWN0"}</definedName>
    <definedName name="ghnbbfr" localSheetId="1" hidden="1">{#N/A,#N/A,TRUE,"1842CWN0"}</definedName>
    <definedName name="ghnbbfr" localSheetId="73" hidden="1">{#N/A,#N/A,TRUE,"1842CWN0"}</definedName>
    <definedName name="ghnbbfr" hidden="1">{#N/A,#N/A,TRUE,"1842CWN0"}</definedName>
    <definedName name="ghu" localSheetId="1">#REF!</definedName>
    <definedName name="ghu">#REF!</definedName>
    <definedName name="GHYJ" localSheetId="50" hidden="1">{#N/A,#N/A,TRUE,"INGENIERIA";#N/A,#N/A,TRUE,"COMPRAS";#N/A,#N/A,TRUE,"DIRECCION";#N/A,#N/A,TRUE,"RESUMEN"}</definedName>
    <definedName name="GHYJ" localSheetId="1" hidden="1">{#N/A,#N/A,TRUE,"INGENIERIA";#N/A,#N/A,TRUE,"COMPRAS";#N/A,#N/A,TRUE,"DIRECCION";#N/A,#N/A,TRUE,"RESUMEN"}</definedName>
    <definedName name="GHYJ" hidden="1">{#N/A,#N/A,TRUE,"INGENIERIA";#N/A,#N/A,TRUE,"COMPRAS";#N/A,#N/A,TRUE,"DIRECCION";#N/A,#N/A,TRUE,"RESUMEN"}</definedName>
    <definedName name="Gi" localSheetId="1">#REF!</definedName>
    <definedName name="Gi">#REF!</definedName>
    <definedName name="gj" localSheetId="1">#REF!</definedName>
    <definedName name="gj">#REF!</definedName>
    <definedName name="GJHVCB" localSheetId="50"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73" hidden="1">{"TAB1",#N/A,TRUE,"GENERAL";"TAB2",#N/A,TRUE,"GENERAL";"TAB3",#N/A,TRUE,"GENERAL";"TAB4",#N/A,TRUE,"GENERAL";"TAB5",#N/A,TRUE,"GENERAL"}</definedName>
    <definedName name="GJHVCB" hidden="1">{"TAB1",#N/A,TRUE,"GENERAL";"TAB2",#N/A,TRUE,"GENERAL";"TAB3",#N/A,TRUE,"GENERAL";"TAB4",#N/A,TRUE,"GENERAL";"TAB5",#N/A,TRUE,"GENERAL"}</definedName>
    <definedName name="Gk" localSheetId="1">#REF!</definedName>
    <definedName name="gk" localSheetId="71" hidden="1">{"via1",#N/A,TRUE,"general";"via2",#N/A,TRUE,"general";"via3",#N/A,TRUE,"general"}</definedName>
    <definedName name="gk" localSheetId="73" hidden="1">{"via1",#N/A,TRUE,"general";"via2",#N/A,TRUE,"general";"via3",#N/A,TRUE,"general"}</definedName>
    <definedName name="Gk">#REF!</definedName>
    <definedName name="gl" localSheetId="1">#REF!</definedName>
    <definedName name="gl">#REF!</definedName>
    <definedName name="gmt" localSheetId="1">#REF!</definedName>
    <definedName name="gmt">#REF!</definedName>
    <definedName name="gn" localSheetId="1">#REF!</definedName>
    <definedName name="gn">#REF!</definedName>
    <definedName name="gnm" localSheetId="1">#REF!</definedName>
    <definedName name="gnm">#REF!</definedName>
    <definedName name="gñ" localSheetId="1">#REF!</definedName>
    <definedName name="gñ">#REF!</definedName>
    <definedName name="gp" localSheetId="1">#REF!</definedName>
    <definedName name="gp">#REF!</definedName>
    <definedName name="_xlnm.Recorder" localSheetId="1">#REF!</definedName>
    <definedName name="_xlnm.Recorder">#REF!</definedName>
    <definedName name="Grados" localSheetId="1">#REF!</definedName>
    <definedName name="Grados">#REF!</definedName>
    <definedName name="GRAF1ANO" localSheetId="50" hidden="1">{"via1",#N/A,TRUE,"general";"via2",#N/A,TRUE,"general";"via3",#N/A,TRUE,"general"}</definedName>
    <definedName name="GRAF1ANO" localSheetId="1" hidden="1">{"via1",#N/A,TRUE,"general";"via2",#N/A,TRUE,"general";"via3",#N/A,TRUE,"general"}</definedName>
    <definedName name="GRAF1ANO" localSheetId="73" hidden="1">{"via1",#N/A,TRUE,"general";"via2",#N/A,TRUE,"general";"via3",#N/A,TRUE,"general"}</definedName>
    <definedName name="GRAF1ANO" hidden="1">{"via1",#N/A,TRUE,"general";"via2",#N/A,TRUE,"general";"via3",#N/A,TRUE,"general"}</definedName>
    <definedName name="GRAF1AÑO" localSheetId="50"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73" hidden="1">{"TAB1",#N/A,TRUE,"GENERAL";"TAB2",#N/A,TRUE,"GENERAL";"TAB3",#N/A,TRUE,"GENERAL";"TAB4",#N/A,TRUE,"GENERAL";"TAB5",#N/A,TRUE,"GENERAL"}</definedName>
    <definedName name="GRAF1AÑO" hidden="1">{"TAB1",#N/A,TRUE,"GENERAL";"TAB2",#N/A,TRUE,"GENERAL";"TAB3",#N/A,TRUE,"GENERAL";"TAB4",#N/A,TRUE,"GENERAL";"TAB5",#N/A,TRUE,"GENERAL"}</definedName>
    <definedName name="GRAMOQUIN" localSheetId="1">#REF!</definedName>
    <definedName name="GRAMOQUIN">#REF!</definedName>
    <definedName name="GRANIPLAST" localSheetId="1">#REF!</definedName>
    <definedName name="GRANIPLAST">#REF!</definedName>
    <definedName name="granito" localSheetId="1">#REF!</definedName>
    <definedName name="granito">#REF!</definedName>
    <definedName name="GRANO" localSheetId="1">#REF!</definedName>
    <definedName name="GRANO">#REF!</definedName>
    <definedName name="GRASAL" localSheetId="1">#REF!</definedName>
    <definedName name="GRASAL">#REF!</definedName>
    <definedName name="gregds" localSheetId="50"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73" hidden="1">{"TAB1",#N/A,TRUE,"GENERAL";"TAB2",#N/A,TRUE,"GENERAL";"TAB3",#N/A,TRUE,"GENERAL";"TAB4",#N/A,TRUE,"GENERAL";"TAB5",#N/A,TRUE,"GENERAL"}</definedName>
    <definedName name="gregds" hidden="1">{"TAB1",#N/A,TRUE,"GENERAL";"TAB2",#N/A,TRUE,"GENERAL";"TAB3",#N/A,TRUE,"GENERAL";"TAB4",#N/A,TRUE,"GENERAL";"TAB5",#N/A,TRUE,"GENERAL"}</definedName>
    <definedName name="grehrtyh" localSheetId="50"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73" hidden="1">{"TAB1",#N/A,TRUE,"GENERAL";"TAB2",#N/A,TRUE,"GENERAL";"TAB3",#N/A,TRUE,"GENERAL";"TAB4",#N/A,TRUE,"GENERAL";"TAB5",#N/A,TRUE,"GENERAL"}</definedName>
    <definedName name="grehrtyh" hidden="1">{"TAB1",#N/A,TRUE,"GENERAL";"TAB2",#N/A,TRUE,"GENERAL";"TAB3",#N/A,TRUE,"GENERAL";"TAB4",#N/A,TRUE,"GENERAL";"TAB5",#N/A,TRUE,"GENERAL"}</definedName>
    <definedName name="grggwero" localSheetId="50" hidden="1">{"via1",#N/A,TRUE,"general";"via2",#N/A,TRUE,"general";"via3",#N/A,TRUE,"general"}</definedName>
    <definedName name="grggwero" localSheetId="1" hidden="1">{"via1",#N/A,TRUE,"general";"via2",#N/A,TRUE,"general";"via3",#N/A,TRUE,"general"}</definedName>
    <definedName name="grggwero" localSheetId="73" hidden="1">{"via1",#N/A,TRUE,"general";"via2",#N/A,TRUE,"general";"via3",#N/A,TRUE,"general"}</definedName>
    <definedName name="grggwero" hidden="1">{"via1",#N/A,TRUE,"general";"via2",#N/A,TRUE,"general";"via3",#N/A,TRUE,"general"}</definedName>
    <definedName name="grl" localSheetId="1">#REF!</definedName>
    <definedName name="grl">#REF!</definedName>
    <definedName name="grtyerh" localSheetId="50"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73" hidden="1">{"TAB1",#N/A,TRUE,"GENERAL";"TAB2",#N/A,TRUE,"GENERAL";"TAB3",#N/A,TRUE,"GENERAL";"TAB4",#N/A,TRUE,"GENERAL";"TAB5",#N/A,TRUE,"GENERAL"}</definedName>
    <definedName name="grtyerh" hidden="1">{"TAB1",#N/A,TRUE,"GENERAL";"TAB2",#N/A,TRUE,"GENERAL";"TAB3",#N/A,TRUE,"GENERAL";"TAB4",#N/A,TRUE,"GENERAL";"TAB5",#N/A,TRUE,"GENERAL"}</definedName>
    <definedName name="GRUAS" localSheetId="1">#REF!</definedName>
    <definedName name="GRUAS">#REF!</definedName>
    <definedName name="GSDG" localSheetId="50" hidden="1">{"TAB1",#N/A,TRUE,"GENERAL";"TAB2",#N/A,TRUE,"GENERAL";"TAB3",#N/A,TRUE,"GENERAL";"TAB4",#N/A,TRUE,"GENERAL";"TAB5",#N/A,TRUE,"GENERAL"}</definedName>
    <definedName name="GSDG" localSheetId="1" hidden="1">{"TAB1",#N/A,TRUE,"GENERAL";"TAB2",#N/A,TRUE,"GENERAL";"TAB3",#N/A,TRUE,"GENERAL";"TAB4",#N/A,TRUE,"GENERAL";"TAB5",#N/A,TRUE,"GENERAL"}</definedName>
    <definedName name="GSDG" localSheetId="73" hidden="1">{"TAB1",#N/A,TRUE,"GENERAL";"TAB2",#N/A,TRUE,"GENERAL";"TAB3",#N/A,TRUE,"GENERAL";"TAB4",#N/A,TRUE,"GENERAL";"TAB5",#N/A,TRUE,"GENERAL"}</definedName>
    <definedName name="GSDG" hidden="1">{"TAB1",#N/A,TRUE,"GENERAL";"TAB2",#N/A,TRUE,"GENERAL";"TAB3",#N/A,TRUE,"GENERAL";"TAB4",#N/A,TRUE,"GENERAL";"TAB5",#N/A,TRUE,"GENERAL"}</definedName>
    <definedName name="gsfsf" localSheetId="50" hidden="1">{"via1",#N/A,TRUE,"general";"via2",#N/A,TRUE,"general";"via3",#N/A,TRUE,"general"}</definedName>
    <definedName name="gsfsf" localSheetId="1" hidden="1">{"via1",#N/A,TRUE,"general";"via2",#N/A,TRUE,"general";"via3",#N/A,TRUE,"general"}</definedName>
    <definedName name="gsfsf" localSheetId="73" hidden="1">{"via1",#N/A,TRUE,"general";"via2",#N/A,TRUE,"general";"via3",#N/A,TRUE,"general"}</definedName>
    <definedName name="gsfsf" hidden="1">{"via1",#N/A,TRUE,"general";"via2",#N/A,TRUE,"general";"via3",#N/A,TRUE,"general"}</definedName>
    <definedName name="gte" localSheetId="1">#REF!</definedName>
    <definedName name="gte">#REF!</definedName>
    <definedName name="gtgt" localSheetId="50" hidden="1">{"via1",#N/A,TRUE,"general";"via2",#N/A,TRUE,"general";"via3",#N/A,TRUE,"general"}</definedName>
    <definedName name="gtgt" localSheetId="1" hidden="1">{"via1",#N/A,TRUE,"general";"via2",#N/A,TRUE,"general";"via3",#N/A,TRUE,"general"}</definedName>
    <definedName name="gtgt" localSheetId="73" hidden="1">{"via1",#N/A,TRUE,"general";"via2",#N/A,TRUE,"general";"via3",#N/A,TRUE,"general"}</definedName>
    <definedName name="gtgt" hidden="1">{"via1",#N/A,TRUE,"general";"via2",#N/A,TRUE,"general";"via3",#N/A,TRUE,"general"}</definedName>
    <definedName name="gtgtg" localSheetId="50" hidden="1">{"via1",#N/A,TRUE,"general";"via2",#N/A,TRUE,"general";"via3",#N/A,TRUE,"general"}</definedName>
    <definedName name="gtgtg" localSheetId="1" hidden="1">{"via1",#N/A,TRUE,"general";"via2",#N/A,TRUE,"general";"via3",#N/A,TRUE,"general"}</definedName>
    <definedName name="gtgtg" localSheetId="73" hidden="1">{"via1",#N/A,TRUE,"general";"via2",#N/A,TRUE,"general";"via3",#N/A,TRUE,"general"}</definedName>
    <definedName name="gtgtg" hidden="1">{"via1",#N/A,TRUE,"general";"via2",#N/A,TRUE,"general";"via3",#N/A,TRUE,"general"}</definedName>
    <definedName name="gtgtgff" localSheetId="50" hidden="1">{"via1",#N/A,TRUE,"general";"via2",#N/A,TRUE,"general";"via3",#N/A,TRUE,"general"}</definedName>
    <definedName name="gtgtgff" localSheetId="1" hidden="1">{"via1",#N/A,TRUE,"general";"via2",#N/A,TRUE,"general";"via3",#N/A,TRUE,"general"}</definedName>
    <definedName name="gtgtgff" localSheetId="73" hidden="1">{"via1",#N/A,TRUE,"general";"via2",#N/A,TRUE,"general";"via3",#N/A,TRUE,"general"}</definedName>
    <definedName name="gtgtgff" hidden="1">{"via1",#N/A,TRUE,"general";"via2",#N/A,TRUE,"general";"via3",#N/A,TRUE,"general"}</definedName>
    <definedName name="gtgtgyh" localSheetId="50"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73" hidden="1">{"TAB1",#N/A,TRUE,"GENERAL";"TAB2",#N/A,TRUE,"GENERAL";"TAB3",#N/A,TRUE,"GENERAL";"TAB4",#N/A,TRUE,"GENERAL";"TAB5",#N/A,TRUE,"GENERAL"}</definedName>
    <definedName name="gtgtgyh" hidden="1">{"TAB1",#N/A,TRUE,"GENERAL";"TAB2",#N/A,TRUE,"GENERAL";"TAB3",#N/A,TRUE,"GENERAL";"TAB4",#N/A,TRUE,"GENERAL";"TAB5",#N/A,TRUE,"GENERAL"}</definedName>
    <definedName name="gtgth" localSheetId="50" hidden="1">{"TAB1",#N/A,TRUE,"GENERAL";"TAB2",#N/A,TRUE,"GENERAL";"TAB3",#N/A,TRUE,"GENERAL";"TAB4",#N/A,TRUE,"GENERAL";"TAB5",#N/A,TRUE,"GENERAL"}</definedName>
    <definedName name="gtgth" localSheetId="1" hidden="1">{"TAB1",#N/A,TRUE,"GENERAL";"TAB2",#N/A,TRUE,"GENERAL";"TAB3",#N/A,TRUE,"GENERAL";"TAB4",#N/A,TRUE,"GENERAL";"TAB5",#N/A,TRUE,"GENERAL"}</definedName>
    <definedName name="gtgth" localSheetId="73" hidden="1">{"TAB1",#N/A,TRUE,"GENERAL";"TAB2",#N/A,TRUE,"GENERAL";"TAB3",#N/A,TRUE,"GENERAL";"TAB4",#N/A,TRUE,"GENERAL";"TAB5",#N/A,TRUE,"GENERAL"}</definedName>
    <definedName name="gtgth" hidden="1">{"TAB1",#N/A,TRUE,"GENERAL";"TAB2",#N/A,TRUE,"GENERAL";"TAB3",#N/A,TRUE,"GENERAL";"TAB4",#N/A,TRUE,"GENERAL";"TAB5",#N/A,TRUE,"GENERAL"}</definedName>
    <definedName name="GTI" localSheetId="1">#REF!</definedName>
    <definedName name="GTI">#REF!</definedName>
    <definedName name="GTTHG" localSheetId="50" hidden="1">{#N/A,#N/A,TRUE,"INGENIERIA";#N/A,#N/A,TRUE,"COMPRAS";#N/A,#N/A,TRUE,"DIRECCION";#N/A,#N/A,TRUE,"RESUMEN"}</definedName>
    <definedName name="GTTHG" localSheetId="1" hidden="1">{#N/A,#N/A,TRUE,"INGENIERIA";#N/A,#N/A,TRUE,"COMPRAS";#N/A,#N/A,TRUE,"DIRECCION";#N/A,#N/A,TRUE,"RESUMEN"}</definedName>
    <definedName name="GTTHG" hidden="1">{#N/A,#N/A,TRUE,"INGENIERIA";#N/A,#N/A,TRUE,"COMPRAS";#N/A,#N/A,TRUE,"DIRECCION";#N/A,#N/A,TRUE,"RESUMEN"}</definedName>
    <definedName name="Gv" localSheetId="1">#REF!</definedName>
    <definedName name="Gv">#REF!</definedName>
    <definedName name="Gw" localSheetId="1">#REF!</definedName>
    <definedName name="Gw">#REF!</definedName>
    <definedName name="gy" localSheetId="1">#REF!</definedName>
    <definedName name="gy">#REF!</definedName>
    <definedName name="h9h" localSheetId="50" hidden="1">{"via1",#N/A,TRUE,"general";"via2",#N/A,TRUE,"general";"via3",#N/A,TRUE,"general"}</definedName>
    <definedName name="h9h" localSheetId="1" hidden="1">{"via1",#N/A,TRUE,"general";"via2",#N/A,TRUE,"general";"via3",#N/A,TRUE,"general"}</definedName>
    <definedName name="h9h" localSheetId="73" hidden="1">{"via1",#N/A,TRUE,"general";"via2",#N/A,TRUE,"general";"via3",#N/A,TRUE,"general"}</definedName>
    <definedName name="h9h" hidden="1">{"via1",#N/A,TRUE,"general";"via2",#N/A,TRUE,"general";"via3",#N/A,TRUE,"general"}</definedName>
    <definedName name="Ha" localSheetId="1">#REF!</definedName>
    <definedName name="Ha">#REF!</definedName>
    <definedName name="hab___viv" localSheetId="1">#REF!</definedName>
    <definedName name="hab___viv">#REF!</definedName>
    <definedName name="hayud" localSheetId="1">#REF!</definedName>
    <definedName name="hayud">#REF!</definedName>
    <definedName name="Hb" localSheetId="1">#REF!</definedName>
    <definedName name="Hb">#REF!</definedName>
    <definedName name="hbfdhrw" localSheetId="50"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73" hidden="1">{"TAB1",#N/A,TRUE,"GENERAL";"TAB2",#N/A,TRUE,"GENERAL";"TAB3",#N/A,TRUE,"GENERAL";"TAB4",#N/A,TRUE,"GENERAL";"TAB5",#N/A,TRUE,"GENERAL"}</definedName>
    <definedName name="hbfdhrw" hidden="1">{"TAB1",#N/A,TRUE,"GENERAL";"TAB2",#N/A,TRUE,"GENERAL";"TAB3",#N/A,TRUE,"GENERAL";"TAB4",#N/A,TRUE,"GENERAL";"TAB5",#N/A,TRUE,"GENERAL"}</definedName>
    <definedName name="hcamion" localSheetId="1">#REF!</definedName>
    <definedName name="hcamion">#REF!</definedName>
    <definedName name="hdfh" localSheetId="50" hidden="1">{"via1",#N/A,TRUE,"general";"via2",#N/A,TRUE,"general";"via3",#N/A,TRUE,"general"}</definedName>
    <definedName name="hdfh" localSheetId="1" hidden="1">{"via1",#N/A,TRUE,"general";"via2",#N/A,TRUE,"general";"via3",#N/A,TRUE,"general"}</definedName>
    <definedName name="hdfh" localSheetId="73" hidden="1">{"via1",#N/A,TRUE,"general";"via2",#N/A,TRUE,"general";"via3",#N/A,TRUE,"general"}</definedName>
    <definedName name="hdfh" hidden="1">{"via1",#N/A,TRUE,"general";"via2",#N/A,TRUE,"general";"via3",#N/A,TRUE,"general"}</definedName>
    <definedName name="hdfh4" localSheetId="50" hidden="1">{"TAB1",#N/A,TRUE,"GENERAL";"TAB2",#N/A,TRUE,"GENERAL";"TAB3",#N/A,TRUE,"GENERAL";"TAB4",#N/A,TRUE,"GENERAL";"TAB5",#N/A,TRUE,"GENERAL"}</definedName>
    <definedName name="hdfh4" localSheetId="1" hidden="1">{"TAB1",#N/A,TRUE,"GENERAL";"TAB2",#N/A,TRUE,"GENERAL";"TAB3",#N/A,TRUE,"GENERAL";"TAB4",#N/A,TRUE,"GENERAL";"TAB5",#N/A,TRUE,"GENERAL"}</definedName>
    <definedName name="hdfh4" localSheetId="73" hidden="1">{"TAB1",#N/A,TRUE,"GENERAL";"TAB2",#N/A,TRUE,"GENERAL";"TAB3",#N/A,TRUE,"GENERAL";"TAB4",#N/A,TRUE,"GENERAL";"TAB5",#N/A,TRUE,"GENERAL"}</definedName>
    <definedName name="hdfh4" hidden="1">{"TAB1",#N/A,TRUE,"GENERAL";"TAB2",#N/A,TRUE,"GENERAL";"TAB3",#N/A,TRUE,"GENERAL";"TAB4",#N/A,TRUE,"GENERAL";"TAB5",#N/A,TRUE,"GENERAL"}</definedName>
    <definedName name="hdfhwq" localSheetId="50"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73" hidden="1">{"TAB1",#N/A,TRUE,"GENERAL";"TAB2",#N/A,TRUE,"GENERAL";"TAB3",#N/A,TRUE,"GENERAL";"TAB4",#N/A,TRUE,"GENERAL";"TAB5",#N/A,TRUE,"GENERAL"}</definedName>
    <definedName name="hdfhwq" hidden="1">{"TAB1",#N/A,TRUE,"GENERAL";"TAB2",#N/A,TRUE,"GENERAL";"TAB3",#N/A,TRUE,"GENERAL";"TAB4",#N/A,TRUE,"GENERAL";"TAB5",#N/A,TRUE,"GENERAL"}</definedName>
    <definedName name="hdgh" localSheetId="50" hidden="1">{"via1",#N/A,TRUE,"general";"via2",#N/A,TRUE,"general";"via3",#N/A,TRUE,"general"}</definedName>
    <definedName name="hdgh" localSheetId="1" hidden="1">{"via1",#N/A,TRUE,"general";"via2",#N/A,TRUE,"general";"via3",#N/A,TRUE,"general"}</definedName>
    <definedName name="hdgh" localSheetId="73" hidden="1">{"via1",#N/A,TRUE,"general";"via2",#N/A,TRUE,"general";"via3",#N/A,TRUE,"general"}</definedName>
    <definedName name="hdgh" hidden="1">{"via1",#N/A,TRUE,"general";"via2",#N/A,TRUE,"general";"via3",#N/A,TRUE,"general"}</definedName>
    <definedName name="HDH" localSheetId="50" hidden="1">{#N/A,#N/A,TRUE,"INGENIERIA";#N/A,#N/A,TRUE,"COMPRAS";#N/A,#N/A,TRUE,"DIRECCION";#N/A,#N/A,TRUE,"RESUMEN"}</definedName>
    <definedName name="HDH" localSheetId="1" hidden="1">{#N/A,#N/A,TRUE,"INGENIERIA";#N/A,#N/A,TRUE,"COMPRAS";#N/A,#N/A,TRUE,"DIRECCION";#N/A,#N/A,TRUE,"RESUMEN"}</definedName>
    <definedName name="HDH" hidden="1">{#N/A,#N/A,TRUE,"INGENIERIA";#N/A,#N/A,TRUE,"COMPRAS";#N/A,#N/A,TRUE,"DIRECCION";#N/A,#N/A,TRUE,"RESUMEN"}</definedName>
    <definedName name="hdhf" localSheetId="50" hidden="1">{"TAB1",#N/A,TRUE,"GENERAL";"TAB2",#N/A,TRUE,"GENERAL";"TAB3",#N/A,TRUE,"GENERAL";"TAB4",#N/A,TRUE,"GENERAL";"TAB5",#N/A,TRUE,"GENERAL"}</definedName>
    <definedName name="hdhf" localSheetId="1" hidden="1">{"TAB1",#N/A,TRUE,"GENERAL";"TAB2",#N/A,TRUE,"GENERAL";"TAB3",#N/A,TRUE,"GENERAL";"TAB4",#N/A,TRUE,"GENERAL";"TAB5",#N/A,TRUE,"GENERAL"}</definedName>
    <definedName name="hdhf" localSheetId="7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ramientas" localSheetId="1">#REF!</definedName>
    <definedName name="herramientas">#REF!</definedName>
    <definedName name="hfgh" localSheetId="50" hidden="1">{"via1",#N/A,TRUE,"general";"via2",#N/A,TRUE,"general";"via3",#N/A,TRUE,"general"}</definedName>
    <definedName name="hfgh" localSheetId="1" hidden="1">{"via1",#N/A,TRUE,"general";"via2",#N/A,TRUE,"general";"via3",#N/A,TRUE,"general"}</definedName>
    <definedName name="hfgh" localSheetId="73" hidden="1">{"via1",#N/A,TRUE,"general";"via2",#N/A,TRUE,"general";"via3",#N/A,TRUE,"general"}</definedName>
    <definedName name="hfgh" hidden="1">{"via1",#N/A,TRUE,"general";"via2",#N/A,TRUE,"general";"via3",#N/A,TRUE,"general"}</definedName>
    <definedName name="hfh" localSheetId="50" hidden="1">{"TAB1",#N/A,TRUE,"GENERAL";"TAB2",#N/A,TRUE,"GENERAL";"TAB3",#N/A,TRUE,"GENERAL";"TAB4",#N/A,TRUE,"GENERAL";"TAB5",#N/A,TRUE,"GENERAL"}</definedName>
    <definedName name="hfh" localSheetId="1" hidden="1">{"TAB1",#N/A,TRUE,"GENERAL";"TAB2",#N/A,TRUE,"GENERAL";"TAB3",#N/A,TRUE,"GENERAL";"TAB4",#N/A,TRUE,"GENERAL";"TAB5",#N/A,TRUE,"GENERAL"}</definedName>
    <definedName name="hfh" localSheetId="73" hidden="1">{"TAB1",#N/A,TRUE,"GENERAL";"TAB2",#N/A,TRUE,"GENERAL";"TAB3",#N/A,TRUE,"GENERAL";"TAB4",#N/A,TRUE,"GENERAL";"TAB5",#N/A,TRUE,"GENERAL"}</definedName>
    <definedName name="hfh" hidden="1">{"TAB1",#N/A,TRUE,"GENERAL";"TAB2",#N/A,TRUE,"GENERAL";"TAB3",#N/A,TRUE,"GENERAL";"TAB4",#N/A,TRUE,"GENERAL";"TAB5",#N/A,TRUE,"GENERAL"}</definedName>
    <definedName name="hfhg" localSheetId="50" hidden="1">{"TAB1",#N/A,TRUE,"GENERAL";"TAB2",#N/A,TRUE,"GENERAL";"TAB3",#N/A,TRUE,"GENERAL";"TAB4",#N/A,TRUE,"GENERAL";"TAB5",#N/A,TRUE,"GENERAL"}</definedName>
    <definedName name="hfhg" localSheetId="1" hidden="1">{"TAB1",#N/A,TRUE,"GENERAL";"TAB2",#N/A,TRUE,"GENERAL";"TAB3",#N/A,TRUE,"GENERAL";"TAB4",#N/A,TRUE,"GENERAL";"TAB5",#N/A,TRUE,"GENERAL"}</definedName>
    <definedName name="hfhg" localSheetId="73" hidden="1">{"TAB1",#N/A,TRUE,"GENERAL";"TAB2",#N/A,TRUE,"GENERAL";"TAB3",#N/A,TRUE,"GENERAL";"TAB4",#N/A,TRUE,"GENERAL";"TAB5",#N/A,TRUE,"GENERAL"}</definedName>
    <definedName name="hfhg" hidden="1">{"TAB1",#N/A,TRUE,"GENERAL";"TAB2",#N/A,TRUE,"GENERAL";"TAB3",#N/A,TRUE,"GENERAL";"TAB4",#N/A,TRUE,"GENERAL";"TAB5",#N/A,TRUE,"GENERAL"}</definedName>
    <definedName name="hfthr" localSheetId="50" hidden="1">{"via1",#N/A,TRUE,"general";"via2",#N/A,TRUE,"general";"via3",#N/A,TRUE,"general"}</definedName>
    <definedName name="hfthr" localSheetId="1" hidden="1">{"via1",#N/A,TRUE,"general";"via2",#N/A,TRUE,"general";"via3",#N/A,TRUE,"general"}</definedName>
    <definedName name="hfthr" localSheetId="73" hidden="1">{"via1",#N/A,TRUE,"general";"via2",#N/A,TRUE,"general";"via3",#N/A,TRUE,"general"}</definedName>
    <definedName name="hfthr" hidden="1">{"via1",#N/A,TRUE,"general";"via2",#N/A,TRUE,"general";"via3",#N/A,TRUE,"general"}</definedName>
    <definedName name="HG" localSheetId="1">#REF!</definedName>
    <definedName name="hg" localSheetId="71" hidden="1">{"via1",#N/A,TRUE,"general";"via2",#N/A,TRUE,"general";"via3",#N/A,TRUE,"general"}</definedName>
    <definedName name="hg" localSheetId="73" hidden="1">{"via1",#N/A,TRUE,"general";"via2",#N/A,TRUE,"general";"via3",#N/A,TRUE,"general"}</definedName>
    <definedName name="HG">#REF!</definedName>
    <definedName name="HGFH" localSheetId="50" hidden="1">{"via1",#N/A,TRUE,"general";"via2",#N/A,TRUE,"general";"via3",#N/A,TRUE,"general"}</definedName>
    <definedName name="HGFH" localSheetId="1" hidden="1">{"via1",#N/A,TRUE,"general";"via2",#N/A,TRUE,"general";"via3",#N/A,TRUE,"general"}</definedName>
    <definedName name="HGFH" localSheetId="73" hidden="1">{"via1",#N/A,TRUE,"general";"via2",#N/A,TRUE,"general";"via3",#N/A,TRUE,"general"}</definedName>
    <definedName name="HGFH" hidden="1">{"via1",#N/A,TRUE,"general";"via2",#N/A,TRUE,"general";"via3",#N/A,TRUE,"general"}</definedName>
    <definedName name="hgfhty" localSheetId="50" hidden="1">{"via1",#N/A,TRUE,"general";"via2",#N/A,TRUE,"general";"via3",#N/A,TRUE,"general"}</definedName>
    <definedName name="hgfhty" localSheetId="1" hidden="1">{"via1",#N/A,TRUE,"general";"via2",#N/A,TRUE,"general";"via3",#N/A,TRUE,"general"}</definedName>
    <definedName name="hgfhty" localSheetId="73" hidden="1">{"via1",#N/A,TRUE,"general";"via2",#N/A,TRUE,"general";"via3",#N/A,TRUE,"general"}</definedName>
    <definedName name="hgfhty" hidden="1">{"via1",#N/A,TRUE,"general";"via2",#N/A,TRUE,"general";"via3",#N/A,TRUE,"general"}</definedName>
    <definedName name="HGHFH7" localSheetId="50"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73" hidden="1">{"TAB1",#N/A,TRUE,"GENERAL";"TAB2",#N/A,TRUE,"GENERAL";"TAB3",#N/A,TRUE,"GENERAL";"TAB4",#N/A,TRUE,"GENERAL";"TAB5",#N/A,TRUE,"GENERAL"}</definedName>
    <definedName name="HGHFH7" hidden="1">{"TAB1",#N/A,TRUE,"GENERAL";"TAB2",#N/A,TRUE,"GENERAL";"TAB3",#N/A,TRUE,"GENERAL";"TAB4",#N/A,TRUE,"GENERAL";"TAB5",#N/A,TRUE,"GENERAL"}</definedName>
    <definedName name="hghhj" localSheetId="50" hidden="1">{"TAB1",#N/A,TRUE,"GENERAL";"TAB2",#N/A,TRUE,"GENERAL";"TAB3",#N/A,TRUE,"GENERAL";"TAB4",#N/A,TRUE,"GENERAL";"TAB5",#N/A,TRUE,"GENERAL"}</definedName>
    <definedName name="hghhj" localSheetId="1" hidden="1">{"TAB1",#N/A,TRUE,"GENERAL";"TAB2",#N/A,TRUE,"GENERAL";"TAB3",#N/A,TRUE,"GENERAL";"TAB4",#N/A,TRUE,"GENERAL";"TAB5",#N/A,TRUE,"GENERAL"}</definedName>
    <definedName name="hghhj" localSheetId="73" hidden="1">{"TAB1",#N/A,TRUE,"GENERAL";"TAB2",#N/A,TRUE,"GENERAL";"TAB3",#N/A,TRUE,"GENERAL";"TAB4",#N/A,TRUE,"GENERAL";"TAB5",#N/A,TRUE,"GENERAL"}</definedName>
    <definedName name="hghhj" hidden="1">{"TAB1",#N/A,TRUE,"GENERAL";"TAB2",#N/A,TRUE,"GENERAL";"TAB3",#N/A,TRUE,"GENERAL";"TAB4",#N/A,TRUE,"GENERAL";"TAB5",#N/A,TRUE,"GENERAL"}</definedName>
    <definedName name="hghydj" localSheetId="50" hidden="1">{"via1",#N/A,TRUE,"general";"via2",#N/A,TRUE,"general";"via3",#N/A,TRUE,"general"}</definedName>
    <definedName name="hghydj" localSheetId="1" hidden="1">{"via1",#N/A,TRUE,"general";"via2",#N/A,TRUE,"general";"via3",#N/A,TRUE,"general"}</definedName>
    <definedName name="hghydj" localSheetId="73" hidden="1">{"via1",#N/A,TRUE,"general";"via2",#N/A,TRUE,"general";"via3",#N/A,TRUE,"general"}</definedName>
    <definedName name="hghydj" hidden="1">{"via1",#N/A,TRUE,"general";"via2",#N/A,TRUE,"general";"via3",#N/A,TRUE,"general"}</definedName>
    <definedName name="hgjfjw" localSheetId="50" hidden="1">{"via1",#N/A,TRUE,"general";"via2",#N/A,TRUE,"general";"via3",#N/A,TRUE,"general"}</definedName>
    <definedName name="hgjfjw" localSheetId="1" hidden="1">{"via1",#N/A,TRUE,"general";"via2",#N/A,TRUE,"general";"via3",#N/A,TRUE,"general"}</definedName>
    <definedName name="hgjfjw" localSheetId="73" hidden="1">{"via1",#N/A,TRUE,"general";"via2",#N/A,TRUE,"general";"via3",#N/A,TRUE,"general"}</definedName>
    <definedName name="hgjfjw" hidden="1">{"via1",#N/A,TRUE,"general";"via2",#N/A,TRUE,"general";"via3",#N/A,TRUE,"general"}</definedName>
    <definedName name="HGJG" localSheetId="50" hidden="1">{"TAB1",#N/A,TRUE,"GENERAL";"TAB2",#N/A,TRUE,"GENERAL";"TAB3",#N/A,TRUE,"GENERAL";"TAB4",#N/A,TRUE,"GENERAL";"TAB5",#N/A,TRUE,"GENERAL"}</definedName>
    <definedName name="HGJG" localSheetId="1" hidden="1">{"TAB1",#N/A,TRUE,"GENERAL";"TAB2",#N/A,TRUE,"GENERAL";"TAB3",#N/A,TRUE,"GENERAL";"TAB4",#N/A,TRUE,"GENERAL";"TAB5",#N/A,TRUE,"GENERAL"}</definedName>
    <definedName name="HGJG" localSheetId="73" hidden="1">{"TAB1",#N/A,TRUE,"GENERAL";"TAB2",#N/A,TRUE,"GENERAL";"TAB3",#N/A,TRUE,"GENERAL";"TAB4",#N/A,TRUE,"GENERAL";"TAB5",#N/A,TRUE,"GENERAL"}</definedName>
    <definedName name="HGJG" hidden="1">{"TAB1",#N/A,TRUE,"GENERAL";"TAB2",#N/A,TRUE,"GENERAL";"TAB3",#N/A,TRUE,"GENERAL";"TAB4",#N/A,TRUE,"GENERAL";"TAB5",#N/A,TRUE,"GENERAL"}</definedName>
    <definedName name="hgrua" localSheetId="1">#REF!</definedName>
    <definedName name="hgrua">#REF!</definedName>
    <definedName name="hgt" localSheetId="1">#REF!</definedName>
    <definedName name="hgt">#REF!</definedName>
    <definedName name="hgu" localSheetId="1">#REF!</definedName>
    <definedName name="hgu">#REF!</definedName>
    <definedName name="hh" localSheetId="1">#REF!</definedName>
    <definedName name="hh">#REF!</definedName>
    <definedName name="hhg" localSheetId="50" hidden="1">{#N/A,#N/A,TRUE,"1842CWN0"}</definedName>
    <definedName name="hhg" localSheetId="1" hidden="1">{#N/A,#N/A,TRUE,"1842CWN0"}</definedName>
    <definedName name="hhg" localSheetId="73" hidden="1">{#N/A,#N/A,TRUE,"1842CWN0"}</definedName>
    <definedName name="hhg" hidden="1">{#N/A,#N/A,TRUE,"1842CWN0"}</definedName>
    <definedName name="hhh" localSheetId="50" hidden="1">{"TAB1",#N/A,TRUE,"GENERAL";"TAB2",#N/A,TRUE,"GENERAL";"TAB3",#N/A,TRUE,"GENERAL";"TAB4",#N/A,TRUE,"GENERAL";"TAB5",#N/A,TRUE,"GENERAL"}</definedName>
    <definedName name="hhh" localSheetId="1" hidden="1">{"TAB1",#N/A,TRUE,"GENERAL";"TAB2",#N/A,TRUE,"GENERAL";"TAB3",#N/A,TRUE,"GENERAL";"TAB4",#N/A,TRUE,"GENERAL";"TAB5",#N/A,TRUE,"GENERAL"}</definedName>
    <definedName name="hhh" localSheetId="73" hidden="1">{"TAB1",#N/A,TRUE,"GENERAL";"TAB2",#N/A,TRUE,"GENERAL";"TAB3",#N/A,TRUE,"GENERAL";"TAB4",#N/A,TRUE,"GENERAL";"TAB5",#N/A,TRUE,"GENERAL"}</definedName>
    <definedName name="hhh" hidden="1">{"TAB1",#N/A,TRUE,"GENERAL";"TAB2",#N/A,TRUE,"GENERAL";"TAB3",#N/A,TRUE,"GENERAL";"TAB4",#N/A,TRUE,"GENERAL";"TAB5",#N/A,TRUE,"GENERAL"}</definedName>
    <definedName name="hhhhhh" localSheetId="50" hidden="1">{"via1",#N/A,TRUE,"general";"via2",#N/A,TRUE,"general";"via3",#N/A,TRUE,"general"}</definedName>
    <definedName name="hhhhhh" localSheetId="1" hidden="1">{"via1",#N/A,TRUE,"general";"via2",#N/A,TRUE,"general";"via3",#N/A,TRUE,"general"}</definedName>
    <definedName name="hhhhhh" localSheetId="73" hidden="1">{"via1",#N/A,TRUE,"general";"via2",#N/A,TRUE,"general";"via3",#N/A,TRUE,"general"}</definedName>
    <definedName name="hhhhhh" hidden="1">{"via1",#N/A,TRUE,"general";"via2",#N/A,TRUE,"general";"via3",#N/A,TRUE,"general"}</definedName>
    <definedName name="hhhhhho" localSheetId="50"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73" hidden="1">{"TAB1",#N/A,TRUE,"GENERAL";"TAB2",#N/A,TRUE,"GENERAL";"TAB3",#N/A,TRUE,"GENERAL";"TAB4",#N/A,TRUE,"GENERAL";"TAB5",#N/A,TRUE,"GENERAL"}</definedName>
    <definedName name="hhhhhho" hidden="1">{"TAB1",#N/A,TRUE,"GENERAL";"TAB2",#N/A,TRUE,"GENERAL";"TAB3",#N/A,TRUE,"GENERAL";"TAB4",#N/A,TRUE,"GENERAL";"TAB5",#N/A,TRUE,"GENERAL"}</definedName>
    <definedName name="hhhhhpy" localSheetId="50"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73" hidden="1">{"TAB1",#N/A,TRUE,"GENERAL";"TAB2",#N/A,TRUE,"GENERAL";"TAB3",#N/A,TRUE,"GENERAL";"TAB4",#N/A,TRUE,"GENERAL";"TAB5",#N/A,TRUE,"GENERAL"}</definedName>
    <definedName name="hhhhhpy" hidden="1">{"TAB1",#N/A,TRUE,"GENERAL";"TAB2",#N/A,TRUE,"GENERAL";"TAB3",#N/A,TRUE,"GENERAL";"TAB4",#N/A,TRUE,"GENERAL";"TAB5",#N/A,TRUE,"GENERAL"}</definedName>
    <definedName name="hhhhth" localSheetId="50" hidden="1">{"via1",#N/A,TRUE,"general";"via2",#N/A,TRUE,"general";"via3",#N/A,TRUE,"general"}</definedName>
    <definedName name="hhhhth" localSheetId="1" hidden="1">{"via1",#N/A,TRUE,"general";"via2",#N/A,TRUE,"general";"via3",#N/A,TRUE,"general"}</definedName>
    <definedName name="hhhhth" localSheetId="73" hidden="1">{"via1",#N/A,TRUE,"general";"via2",#N/A,TRUE,"general";"via3",#N/A,TRUE,"general"}</definedName>
    <definedName name="hhhhth" hidden="1">{"via1",#N/A,TRUE,"general";"via2",#N/A,TRUE,"general";"via3",#N/A,TRUE,"general"}</definedName>
    <definedName name="hhhyhyh" localSheetId="50"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73" hidden="1">{"TAB1",#N/A,TRUE,"GENERAL";"TAB2",#N/A,TRUE,"GENERAL";"TAB3",#N/A,TRUE,"GENERAL";"TAB4",#N/A,TRUE,"GENERAL";"TAB5",#N/A,TRUE,"GENERAL"}</definedName>
    <definedName name="hhhyhyh" hidden="1">{"TAB1",#N/A,TRUE,"GENERAL";"TAB2",#N/A,TRUE,"GENERAL";"TAB3",#N/A,TRUE,"GENERAL";"TAB4",#N/A,TRUE,"GENERAL";"TAB5",#N/A,TRUE,"GENERAL"}</definedName>
    <definedName name="hhtrhreh" localSheetId="50" hidden="1">{"via1",#N/A,TRUE,"general";"via2",#N/A,TRUE,"general";"via3",#N/A,TRUE,"general"}</definedName>
    <definedName name="hhtrhreh" localSheetId="1" hidden="1">{"via1",#N/A,TRUE,"general";"via2",#N/A,TRUE,"general";"via3",#N/A,TRUE,"general"}</definedName>
    <definedName name="hhtrhreh" localSheetId="73" hidden="1">{"via1",#N/A,TRUE,"general";"via2",#N/A,TRUE,"general";"via3",#N/A,TRUE,"general"}</definedName>
    <definedName name="hhtrhreh" hidden="1">{"via1",#N/A,TRUE,"general";"via2",#N/A,TRUE,"general";"via3",#N/A,TRUE,"general"}</definedName>
    <definedName name="HHTYUU" localSheetId="1">#REF!</definedName>
    <definedName name="HHTYUU">#REF!</definedName>
    <definedName name="HIDR160PE_S1" localSheetId="1">#REF!</definedName>
    <definedName name="HIDR160PE_S1">#REF!</definedName>
    <definedName name="HIDR160PE_S2" localSheetId="1">#REF!</definedName>
    <definedName name="HIDR160PE_S2">#REF!</definedName>
    <definedName name="HIDR160PE_S3" localSheetId="1">#REF!</definedName>
    <definedName name="HIDR160PE_S3">#REF!</definedName>
    <definedName name="HIDR160PE_S4" localSheetId="1">#REF!</definedName>
    <definedName name="HIDR160PE_S4">#REF!</definedName>
    <definedName name="HIDR160PE_S5" localSheetId="1">#REF!</definedName>
    <definedName name="HIDR160PE_S5">#REF!</definedName>
    <definedName name="HIDR160PE_S6" localSheetId="1">#REF!</definedName>
    <definedName name="HIDR160PE_S6">#REF!</definedName>
    <definedName name="HIDR200PE_S1" localSheetId="1">#REF!</definedName>
    <definedName name="HIDR200PE_S1">#REF!</definedName>
    <definedName name="HIDR200PE_S2" localSheetId="1">#REF!</definedName>
    <definedName name="HIDR200PE_S2">#REF!</definedName>
    <definedName name="HIDR200PE_S3" localSheetId="1">#REF!</definedName>
    <definedName name="HIDR200PE_S3">#REF!</definedName>
    <definedName name="HIDR200PE_S4" localSheetId="1">#REF!</definedName>
    <definedName name="HIDR200PE_S4">#REF!</definedName>
    <definedName name="HIDR200PE_S5" localSheetId="1">#REF!</definedName>
    <definedName name="HIDR200PE_S5">#REF!</definedName>
    <definedName name="HIDR200PE_S6" localSheetId="1">#REF!</definedName>
    <definedName name="HIDR200PE_S6">#REF!</definedName>
    <definedName name="HIERR" localSheetId="1">#REF!</definedName>
    <definedName name="HIERR">#REF!</definedName>
    <definedName name="hierro" localSheetId="1">#REF!</definedName>
    <definedName name="hierro">#REF!</definedName>
    <definedName name="hierro1" localSheetId="1">#REF!</definedName>
    <definedName name="hierro1">#REF!</definedName>
    <definedName name="hing" localSheetId="1">#REF!</definedName>
    <definedName name="hing">#REF!</definedName>
    <definedName name="HisYear_0" localSheetId="1" hidden="1">#REF!</definedName>
    <definedName name="HisYear_0" hidden="1">#REF!</definedName>
    <definedName name="HisYear_1" localSheetId="1" hidden="1">#REF!</definedName>
    <definedName name="HisYear_1" hidden="1">#REF!</definedName>
    <definedName name="HisYear_2" localSheetId="1" hidden="1">#REF!</definedName>
    <definedName name="HisYear_2" hidden="1">#REF!</definedName>
    <definedName name="HisYear_3" localSheetId="1" hidden="1">#REF!</definedName>
    <definedName name="HisYear_3" hidden="1">#REF!</definedName>
    <definedName name="HJ" localSheetId="1">#REF!</definedName>
    <definedName name="HJ">#REF!</definedName>
    <definedName name="hjfg" localSheetId="50" hidden="1">{"via1",#N/A,TRUE,"general";"via2",#N/A,TRUE,"general";"via3",#N/A,TRUE,"general"}</definedName>
    <definedName name="hjfg" localSheetId="1" hidden="1">{"via1",#N/A,TRUE,"general";"via2",#N/A,TRUE,"general";"via3",#N/A,TRUE,"general"}</definedName>
    <definedName name="hjfg" localSheetId="73" hidden="1">{"via1",#N/A,TRUE,"general";"via2",#N/A,TRUE,"general";"via3",#N/A,TRUE,"general"}</definedName>
    <definedName name="hjfg" hidden="1">{"via1",#N/A,TRUE,"general";"via2",#N/A,TRUE,"general";"via3",#N/A,TRUE,"general"}</definedName>
    <definedName name="hjgh" localSheetId="50" hidden="1">{"TAB1",#N/A,TRUE,"GENERAL";"TAB2",#N/A,TRUE,"GENERAL";"TAB3",#N/A,TRUE,"GENERAL";"TAB4",#N/A,TRUE,"GENERAL";"TAB5",#N/A,TRUE,"GENERAL"}</definedName>
    <definedName name="hjgh" localSheetId="1" hidden="1">{"TAB1",#N/A,TRUE,"GENERAL";"TAB2",#N/A,TRUE,"GENERAL";"TAB3",#N/A,TRUE,"GENERAL";"TAB4",#N/A,TRUE,"GENERAL";"TAB5",#N/A,TRUE,"GENERAL"}</definedName>
    <definedName name="hjgh" localSheetId="73" hidden="1">{"TAB1",#N/A,TRUE,"GENERAL";"TAB2",#N/A,TRUE,"GENERAL";"TAB3",#N/A,TRUE,"GENERAL";"TAB4",#N/A,TRUE,"GENERAL";"TAB5",#N/A,TRUE,"GENERAL"}</definedName>
    <definedName name="hjgh" hidden="1">{"TAB1",#N/A,TRUE,"GENERAL";"TAB2",#N/A,TRUE,"GENERAL";"TAB3",#N/A,TRUE,"GENERAL";"TAB4",#N/A,TRUE,"GENERAL";"TAB5",#N/A,TRUE,"GENERAL"}</definedName>
    <definedName name="hjghj" localSheetId="50" hidden="1">{"TAB1",#N/A,TRUE,"GENERAL";"TAB2",#N/A,TRUE,"GENERAL";"TAB3",#N/A,TRUE,"GENERAL";"TAB4",#N/A,TRUE,"GENERAL";"TAB5",#N/A,TRUE,"GENERAL"}</definedName>
    <definedName name="hjghj" localSheetId="1" hidden="1">{"TAB1",#N/A,TRUE,"GENERAL";"TAB2",#N/A,TRUE,"GENERAL";"TAB3",#N/A,TRUE,"GENERAL";"TAB4",#N/A,TRUE,"GENERAL";"TAB5",#N/A,TRUE,"GENERAL"}</definedName>
    <definedName name="hjghj" localSheetId="73" hidden="1">{"TAB1",#N/A,TRUE,"GENERAL";"TAB2",#N/A,TRUE,"GENERAL";"TAB3",#N/A,TRUE,"GENERAL";"TAB4",#N/A,TRUE,"GENERAL";"TAB5",#N/A,TRUE,"GENERAL"}</definedName>
    <definedName name="hjghj" hidden="1">{"TAB1",#N/A,TRUE,"GENERAL";"TAB2",#N/A,TRUE,"GENERAL";"TAB3",#N/A,TRUE,"GENERAL";"TAB4",#N/A,TRUE,"GENERAL";"TAB5",#N/A,TRUE,"GENERAL"}</definedName>
    <definedName name="hjhjhg" localSheetId="50"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73" hidden="1">{"TAB1",#N/A,TRUE,"GENERAL";"TAB2",#N/A,TRUE,"GENERAL";"TAB3",#N/A,TRUE,"GENERAL";"TAB4",#N/A,TRUE,"GENERAL";"TAB5",#N/A,TRUE,"GENERAL"}</definedName>
    <definedName name="hjhjhg" hidden="1">{"TAB1",#N/A,TRUE,"GENERAL";"TAB2",#N/A,TRUE,"GENERAL";"TAB3",#N/A,TRUE,"GENERAL";"TAB4",#N/A,TRUE,"GENERAL";"TAB5",#N/A,TRUE,"GENERAL"}</definedName>
    <definedName name="hjk" localSheetId="1">#REF!</definedName>
    <definedName name="hjk">#REF!</definedName>
    <definedName name="HJKH" localSheetId="50" hidden="1">{"via1",#N/A,TRUE,"general";"via2",#N/A,TRUE,"general";"via3",#N/A,TRUE,"general"}</definedName>
    <definedName name="HJKH" localSheetId="1" hidden="1">{"via1",#N/A,TRUE,"general";"via2",#N/A,TRUE,"general";"via3",#N/A,TRUE,"general"}</definedName>
    <definedName name="HJKH" localSheetId="73" hidden="1">{"via1",#N/A,TRUE,"general";"via2",#N/A,TRUE,"general";"via3",#N/A,TRUE,"general"}</definedName>
    <definedName name="HJKH" hidden="1">{"via1",#N/A,TRUE,"general";"via2",#N/A,TRUE,"general";"via3",#N/A,TRUE,"general"}</definedName>
    <definedName name="hjkjk" localSheetId="50" hidden="1">{"via1",#N/A,TRUE,"general";"via2",#N/A,TRUE,"general";"via3",#N/A,TRUE,"general"}</definedName>
    <definedName name="hjkjk" localSheetId="1" hidden="1">{"via1",#N/A,TRUE,"general";"via2",#N/A,TRUE,"general";"via3",#N/A,TRUE,"general"}</definedName>
    <definedName name="hjkjk" localSheetId="73" hidden="1">{"via1",#N/A,TRUE,"general";"via2",#N/A,TRUE,"general";"via3",#N/A,TRUE,"general"}</definedName>
    <definedName name="hjkjk" hidden="1">{"via1",#N/A,TRUE,"general";"via2",#N/A,TRUE,"general";"via3",#N/A,TRUE,"general"}</definedName>
    <definedName name="hl" localSheetId="1">#REF!</definedName>
    <definedName name="hl">#REF!</definedName>
    <definedName name="HMEN" localSheetId="1">#REF!</definedName>
    <definedName name="HMEN">#REF!</definedName>
    <definedName name="hmont" localSheetId="1">#REF!</definedName>
    <definedName name="hmont">#REF!</definedName>
    <definedName name="hn" localSheetId="50" hidden="1">{"TAB1",#N/A,TRUE,"GENERAL";"TAB2",#N/A,TRUE,"GENERAL";"TAB3",#N/A,TRUE,"GENERAL";"TAB4",#N/A,TRUE,"GENERAL";"TAB5",#N/A,TRUE,"GENERAL"}</definedName>
    <definedName name="hn" localSheetId="1" hidden="1">{"TAB1",#N/A,TRUE,"GENERAL";"TAB2",#N/A,TRUE,"GENERAL";"TAB3",#N/A,TRUE,"GENERAL";"TAB4",#N/A,TRUE,"GENERAL";"TAB5",#N/A,TRUE,"GENERAL"}</definedName>
    <definedName name="hn" localSheetId="73" hidden="1">{"TAB1",#N/A,TRUE,"GENERAL";"TAB2",#N/A,TRUE,"GENERAL";"TAB3",#N/A,TRUE,"GENERAL";"TAB4",#N/A,TRUE,"GENERAL";"TAB5",#N/A,TRUE,"GENERAL"}</definedName>
    <definedName name="hn" hidden="1">{"TAB1",#N/A,TRUE,"GENERAL";"TAB2",#N/A,TRUE,"GENERAL";"TAB3",#N/A,TRUE,"GENERAL";"TAB4",#N/A,TRUE,"GENERAL";"TAB5",#N/A,TRUE,"GENERAL"}</definedName>
    <definedName name="hn.ExtDb" hidden="1">FALSE</definedName>
    <definedName name="hn.ModelType" hidden="1">"DEAL"</definedName>
    <definedName name="hn.ModelVersion" hidden="1">1</definedName>
    <definedName name="hn.NoUpload" hidden="1">0</definedName>
    <definedName name="hn.YearLabel" localSheetId="50" hidden="1">#REF!</definedName>
    <definedName name="hn.YearLabel" localSheetId="1" hidden="1">#REF!</definedName>
    <definedName name="hn.YearLabel" hidden="1">#REF!</definedName>
    <definedName name="hnt" localSheetId="50">#REF!</definedName>
    <definedName name="hnt" localSheetId="1">#REF!</definedName>
    <definedName name="hnt">#REF!</definedName>
    <definedName name="HOJA">#N/A</definedName>
    <definedName name="HOJA1" localSheetId="1">#REF!</definedName>
    <definedName name="HOJA1">#REF!</definedName>
    <definedName name="HOJA444">#N/A</definedName>
    <definedName name="HOJA8" localSheetId="1">#REF!</definedName>
    <definedName name="HOJA8">#REF!</definedName>
    <definedName name="HORAA" localSheetId="1">#REF!</definedName>
    <definedName name="HORAA">#REF!</definedName>
    <definedName name="hp" localSheetId="1">#REF!</definedName>
    <definedName name="hp">#REF!</definedName>
    <definedName name="hqi" localSheetId="1">#REF!</definedName>
    <definedName name="hqi">#REF!</definedName>
    <definedName name="hreer" localSheetId="50" hidden="1">{"TAB1",#N/A,TRUE,"GENERAL";"TAB2",#N/A,TRUE,"GENERAL";"TAB3",#N/A,TRUE,"GENERAL";"TAB4",#N/A,TRUE,"GENERAL";"TAB5",#N/A,TRUE,"GENERAL"}</definedName>
    <definedName name="hreer" localSheetId="1" hidden="1">{"TAB1",#N/A,TRUE,"GENERAL";"TAB2",#N/A,TRUE,"GENERAL";"TAB3",#N/A,TRUE,"GENERAL";"TAB4",#N/A,TRUE,"GENERAL";"TAB5",#N/A,TRUE,"GENERAL"}</definedName>
    <definedName name="hreer" localSheetId="73" hidden="1">{"TAB1",#N/A,TRUE,"GENERAL";"TAB2",#N/A,TRUE,"GENERAL";"TAB3",#N/A,TRUE,"GENERAL";"TAB4",#N/A,TRUE,"GENERAL";"TAB5",#N/A,TRUE,"GENERAL"}</definedName>
    <definedName name="hreer" hidden="1">{"TAB1",#N/A,TRUE,"GENERAL";"TAB2",#N/A,TRUE,"GENERAL";"TAB3",#N/A,TRUE,"GENERAL";"TAB4",#N/A,TRUE,"GENERAL";"TAB5",#N/A,TRUE,"GENERAL"}</definedName>
    <definedName name="hrhth" localSheetId="50" hidden="1">{"TAB1",#N/A,TRUE,"GENERAL";"TAB2",#N/A,TRUE,"GENERAL";"TAB3",#N/A,TRUE,"GENERAL";"TAB4",#N/A,TRUE,"GENERAL";"TAB5",#N/A,TRUE,"GENERAL"}</definedName>
    <definedName name="hrhth" localSheetId="1" hidden="1">{"TAB1",#N/A,TRUE,"GENERAL";"TAB2",#N/A,TRUE,"GENERAL";"TAB3",#N/A,TRUE,"GENERAL";"TAB4",#N/A,TRUE,"GENERAL";"TAB5",#N/A,TRUE,"GENERAL"}</definedName>
    <definedName name="hrhth" localSheetId="73" hidden="1">{"TAB1",#N/A,TRUE,"GENERAL";"TAB2",#N/A,TRUE,"GENERAL";"TAB3",#N/A,TRUE,"GENERAL";"TAB4",#N/A,TRUE,"GENERAL";"TAB5",#N/A,TRUE,"GENERAL"}</definedName>
    <definedName name="hrhth" hidden="1">{"TAB1",#N/A,TRUE,"GENERAL";"TAB2",#N/A,TRUE,"GENERAL";"TAB3",#N/A,TRUE,"GENERAL";"TAB4",#N/A,TRUE,"GENERAL";"TAB5",#N/A,TRUE,"GENERAL"}</definedName>
    <definedName name="hrthtrh" localSheetId="50"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73" hidden="1">{"TAB1",#N/A,TRUE,"GENERAL";"TAB2",#N/A,TRUE,"GENERAL";"TAB3",#N/A,TRUE,"GENERAL";"TAB4",#N/A,TRUE,"GENERAL";"TAB5",#N/A,TRUE,"GENERAL"}</definedName>
    <definedName name="hrthtrh" hidden="1">{"TAB1",#N/A,TRUE,"GENERAL";"TAB2",#N/A,TRUE,"GENERAL";"TAB3",#N/A,TRUE,"GENERAL";"TAB4",#N/A,TRUE,"GENERAL";"TAB5",#N/A,TRUE,"GENERAL"}</definedName>
    <definedName name="hsfg" localSheetId="50" hidden="1">{"via1",#N/A,TRUE,"general";"via2",#N/A,TRUE,"general";"via3",#N/A,TRUE,"general"}</definedName>
    <definedName name="hsfg" localSheetId="1" hidden="1">{"via1",#N/A,TRUE,"general";"via2",#N/A,TRUE,"general";"via3",#N/A,TRUE,"general"}</definedName>
    <definedName name="hsfg" localSheetId="73" hidden="1">{"via1",#N/A,TRUE,"general";"via2",#N/A,TRUE,"general";"via3",#N/A,TRUE,"general"}</definedName>
    <definedName name="hsfg" hidden="1">{"via1",#N/A,TRUE,"general";"via2",#N/A,TRUE,"general";"via3",#N/A,TRUE,"general"}</definedName>
    <definedName name="hsup" localSheetId="1">#REF!</definedName>
    <definedName name="hsup">#REF!</definedName>
    <definedName name="ht" localSheetId="1">#REF!</definedName>
    <definedName name="ht">#REF!</definedName>
    <definedName name="htecn" localSheetId="1">#REF!</definedName>
    <definedName name="htecn">#REF!</definedName>
    <definedName name="hthdrf" localSheetId="50"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73" hidden="1">{"TAB1",#N/A,TRUE,"GENERAL";"TAB2",#N/A,TRUE,"GENERAL";"TAB3",#N/A,TRUE,"GENERAL";"TAB4",#N/A,TRUE,"GENERAL";"TAB5",#N/A,TRUE,"GENERAL"}</definedName>
    <definedName name="hthdrf" hidden="1">{"TAB1",#N/A,TRUE,"GENERAL";"TAB2",#N/A,TRUE,"GENERAL";"TAB3",#N/A,TRUE,"GENERAL";"TAB4",#N/A,TRUE,"GENERAL";"TAB5",#N/A,TRUE,"GENERAL"}</definedName>
    <definedName name="htk" localSheetId="1">#REF!</definedName>
    <definedName name="htk">#REF!</definedName>
    <definedName name="htryrt7" localSheetId="50" hidden="1">{"via1",#N/A,TRUE,"general";"via2",#N/A,TRUE,"general";"via3",#N/A,TRUE,"general"}</definedName>
    <definedName name="htryrt7" localSheetId="1" hidden="1">{"via1",#N/A,TRUE,"general";"via2",#N/A,TRUE,"general";"via3",#N/A,TRUE,"general"}</definedName>
    <definedName name="htryrt7" localSheetId="73" hidden="1">{"via1",#N/A,TRUE,"general";"via2",#N/A,TRUE,"general";"via3",#N/A,TRUE,"general"}</definedName>
    <definedName name="htryrt7" hidden="1">{"via1",#N/A,TRUE,"general";"via2",#N/A,TRUE,"general";"via3",#N/A,TRUE,"general"}</definedName>
    <definedName name="hvehiculo" localSheetId="1">#REF!</definedName>
    <definedName name="hvehiculo">#REF!</definedName>
    <definedName name="HY" localSheetId="1">#REF!</definedName>
    <definedName name="HY">#REF!</definedName>
    <definedName name="hyhjop" localSheetId="50"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73" hidden="1">{"TAB1",#N/A,TRUE,"GENERAL";"TAB2",#N/A,TRUE,"GENERAL";"TAB3",#N/A,TRUE,"GENERAL";"TAB4",#N/A,TRUE,"GENERAL";"TAB5",#N/A,TRUE,"GENERAL"}</definedName>
    <definedName name="hyhjop" hidden="1">{"TAB1",#N/A,TRUE,"GENERAL";"TAB2",#N/A,TRUE,"GENERAL";"TAB3",#N/A,TRUE,"GENERAL";"TAB4",#N/A,TRUE,"GENERAL";"TAB5",#N/A,TRUE,"GENERAL"}</definedName>
    <definedName name="hyhyh" localSheetId="50" hidden="1">{"TAB1",#N/A,TRUE,"GENERAL";"TAB2",#N/A,TRUE,"GENERAL";"TAB3",#N/A,TRUE,"GENERAL";"TAB4",#N/A,TRUE,"GENERAL";"TAB5",#N/A,TRUE,"GENERAL"}</definedName>
    <definedName name="hyhyh" localSheetId="1" hidden="1">{"TAB1",#N/A,TRUE,"GENERAL";"TAB2",#N/A,TRUE,"GENERAL";"TAB3",#N/A,TRUE,"GENERAL";"TAB4",#N/A,TRUE,"GENERAL";"TAB5",#N/A,TRUE,"GENERAL"}</definedName>
    <definedName name="hyhyh" localSheetId="73" hidden="1">{"TAB1",#N/A,TRUE,"GENERAL";"TAB2",#N/A,TRUE,"GENERAL";"TAB3",#N/A,TRUE,"GENERAL";"TAB4",#N/A,TRUE,"GENERAL";"TAB5",#N/A,TRUE,"GENERAL"}</definedName>
    <definedName name="hyhyh" hidden="1">{"TAB1",#N/A,TRUE,"GENERAL";"TAB2",#N/A,TRUE,"GENERAL";"TAB3",#N/A,TRUE,"GENERAL";"TAB4",#N/A,TRUE,"GENERAL";"TAB5",#N/A,TRUE,"GENERAL"}</definedName>
    <definedName name="HYT" localSheetId="1">#REF!</definedName>
    <definedName name="HYT">#REF!</definedName>
    <definedName name="hytirs" localSheetId="50" hidden="1">{"via1",#N/A,TRUE,"general";"via2",#N/A,TRUE,"general";"via3",#N/A,TRUE,"general"}</definedName>
    <definedName name="hytirs" localSheetId="1" hidden="1">{"via1",#N/A,TRUE,"general";"via2",#N/A,TRUE,"general";"via3",#N/A,TRUE,"general"}</definedName>
    <definedName name="hytirs" localSheetId="73" hidden="1">{"via1",#N/A,TRUE,"general";"via2",#N/A,TRUE,"general";"via3",#N/A,TRUE,"general"}</definedName>
    <definedName name="hytirs" hidden="1">{"via1",#N/A,TRUE,"general";"via2",#N/A,TRUE,"general";"via3",#N/A,TRUE,"general"}</definedName>
    <definedName name="I1.2" localSheetId="50">#REF!</definedName>
    <definedName name="I1.2" localSheetId="1">#REF!</definedName>
    <definedName name="I1.2">#REF!</definedName>
    <definedName name="i1.3" localSheetId="50">#REF!</definedName>
    <definedName name="i1.3" localSheetId="1">#REF!</definedName>
    <definedName name="i1.3">#REF!</definedName>
    <definedName name="i1.4" localSheetId="50">#REF!</definedName>
    <definedName name="i1.4" localSheetId="1">#REF!</definedName>
    <definedName name="i1.4">#REF!</definedName>
    <definedName name="I2.8" localSheetId="50">#REF!</definedName>
    <definedName name="I2.8" localSheetId="1">#REF!</definedName>
    <definedName name="I2.8">#REF!</definedName>
    <definedName name="I3.8" localSheetId="50">#REF!</definedName>
    <definedName name="I3.8" localSheetId="1">#REF!</definedName>
    <definedName name="I3.8">#REF!</definedName>
    <definedName name="i8i" localSheetId="50" hidden="1">{"TAB1",#N/A,TRUE,"GENERAL";"TAB2",#N/A,TRUE,"GENERAL";"TAB3",#N/A,TRUE,"GENERAL";"TAB4",#N/A,TRUE,"GENERAL";"TAB5",#N/A,TRUE,"GENERAL"}</definedName>
    <definedName name="i8i" localSheetId="1" hidden="1">{"TAB1",#N/A,TRUE,"GENERAL";"TAB2",#N/A,TRUE,"GENERAL";"TAB3",#N/A,TRUE,"GENERAL";"TAB4",#N/A,TRUE,"GENERAL";"TAB5",#N/A,TRUE,"GENERAL"}</definedName>
    <definedName name="i8i" localSheetId="73" hidden="1">{"TAB1",#N/A,TRUE,"GENERAL";"TAB2",#N/A,TRUE,"GENERAL";"TAB3",#N/A,TRUE,"GENERAL";"TAB4",#N/A,TRUE,"GENERAL";"TAB5",#N/A,TRUE,"GENERAL"}</definedName>
    <definedName name="i8i" hidden="1">{"TAB1",#N/A,TRUE,"GENERAL";"TAB2",#N/A,TRUE,"GENERAL";"TAB3",#N/A,TRUE,"GENERAL";"TAB4",#N/A,TRUE,"GENERAL";"TAB5",#N/A,TRUE,"GENERAL"}</definedName>
    <definedName name="id" localSheetId="1">#REF!</definedName>
    <definedName name="id">#REF!</definedName>
    <definedName name="ig" localSheetId="50">#REF!</definedName>
    <definedName name="ig" localSheetId="1">#REF!</definedName>
    <definedName name="ig">#REF!</definedName>
    <definedName name="II" localSheetId="1">#REF!</definedName>
    <definedName name="ii" localSheetId="71" hidden="1">{"TAB1",#N/A,TRUE,"GENERAL";"TAB2",#N/A,TRUE,"GENERAL";"TAB3",#N/A,TRUE,"GENERAL";"TAB4",#N/A,TRUE,"GENERAL";"TAB5",#N/A,TRUE,"GENERAL"}</definedName>
    <definedName name="ii" localSheetId="73" hidden="1">{"TAB1",#N/A,TRUE,"GENERAL";"TAB2",#N/A,TRUE,"GENERAL";"TAB3",#N/A,TRUE,"GENERAL";"TAB4",#N/A,TRUE,"GENERAL";"TAB5",#N/A,TRUE,"GENERAL"}</definedName>
    <definedName name="II">#REF!</definedName>
    <definedName name="III" localSheetId="1">#REF!</definedName>
    <definedName name="iii" localSheetId="71" hidden="1">{"via1",#N/A,TRUE,"general";"via2",#N/A,TRUE,"general";"via3",#N/A,TRUE,"general"}</definedName>
    <definedName name="iii" localSheetId="73" hidden="1">{"via1",#N/A,TRUE,"general";"via2",#N/A,TRUE,"general";"via3",#N/A,TRUE,"general"}</definedName>
    <definedName name="III">#REF!</definedName>
    <definedName name="iiii" localSheetId="50" hidden="1">{"via1",#N/A,TRUE,"general";"via2",#N/A,TRUE,"general";"via3",#N/A,TRUE,"general"}</definedName>
    <definedName name="iiii" localSheetId="1" hidden="1">{"via1",#N/A,TRUE,"general";"via2",#N/A,TRUE,"general";"via3",#N/A,TRUE,"general"}</definedName>
    <definedName name="iiii" localSheetId="73" hidden="1">{"via1",#N/A,TRUE,"general";"via2",#N/A,TRUE,"general";"via3",#N/A,TRUE,"general"}</definedName>
    <definedName name="iiii" hidden="1">{"via1",#N/A,TRUE,"general";"via2",#N/A,TRUE,"general";"via3",#N/A,TRUE,"general"}</definedName>
    <definedName name="iiiiiiik" localSheetId="50" hidden="1">{"via1",#N/A,TRUE,"general";"via2",#N/A,TRUE,"general";"via3",#N/A,TRUE,"general"}</definedName>
    <definedName name="iiiiiiik" localSheetId="1" hidden="1">{"via1",#N/A,TRUE,"general";"via2",#N/A,TRUE,"general";"via3",#N/A,TRUE,"general"}</definedName>
    <definedName name="iiiiiiik" localSheetId="73" hidden="1">{"via1",#N/A,TRUE,"general";"via2",#N/A,TRUE,"general";"via3",#N/A,TRUE,"general"}</definedName>
    <definedName name="iiiiiiik" hidden="1">{"via1",#N/A,TRUE,"general";"via2",#N/A,TRUE,"general";"via3",#N/A,TRUE,"general"}</definedName>
    <definedName name="iiiiuh" localSheetId="50"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73" hidden="1">{"TAB1",#N/A,TRUE,"GENERAL";"TAB2",#N/A,TRUE,"GENERAL";"TAB3",#N/A,TRUE,"GENERAL";"TAB4",#N/A,TRUE,"GENERAL";"TAB5",#N/A,TRUE,"GENERAL"}</definedName>
    <definedName name="iiiiuh" hidden="1">{"TAB1",#N/A,TRUE,"GENERAL";"TAB2",#N/A,TRUE,"GENERAL";"TAB3",#N/A,TRUE,"GENERAL";"TAB4",#N/A,TRUE,"GENERAL";"TAB5",#N/A,TRUE,"GENERAL"}</definedName>
    <definedName name="ik" localSheetId="1">#REF!</definedName>
    <definedName name="ik">#REF!</definedName>
    <definedName name="ikj" localSheetId="1">#REF!</definedName>
    <definedName name="ikj">#REF!</definedName>
    <definedName name="iktgvfmu" localSheetId="50"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73" hidden="1">{"TAB1",#N/A,TRUE,"GENERAL";"TAB2",#N/A,TRUE,"GENERAL";"TAB3",#N/A,TRUE,"GENERAL";"TAB4",#N/A,TRUE,"GENERAL";"TAB5",#N/A,TRUE,"GENERAL"}</definedName>
    <definedName name="iktgvfmu" hidden="1">{"TAB1",#N/A,TRUE,"GENERAL";"TAB2",#N/A,TRUE,"GENERAL";"TAB3",#N/A,TRUE,"GENERAL";"TAB4",#N/A,TRUE,"GENERAL";"TAB5",#N/A,TRUE,"GENERAL"}</definedName>
    <definedName name="IMPER" localSheetId="1">#REF!</definedName>
    <definedName name="IMPER">#REF!</definedName>
    <definedName name="Incomepb" localSheetId="1" hidden="1">#REF!</definedName>
    <definedName name="Incomepb" hidden="1">#REF!</definedName>
    <definedName name="INCRNOVATOT" localSheetId="1">#REF!</definedName>
    <definedName name="INCRNOVATOT">#REF!</definedName>
    <definedName name="inf" localSheetId="50">#REF!</definedName>
    <definedName name="inf" localSheetId="1">#REF!</definedName>
    <definedName name="inf">#REF!</definedName>
    <definedName name="ING" localSheetId="50" hidden="1">{#N/A,#N/A,TRUE,"INGENIERIA";#N/A,#N/A,TRUE,"COMPRAS";#N/A,#N/A,TRUE,"DIRECCION";#N/A,#N/A,TRUE,"RESUMEN"}</definedName>
    <definedName name="ING" localSheetId="1" hidden="1">{#N/A,#N/A,TRUE,"INGENIERIA";#N/A,#N/A,TRUE,"COMPRAS";#N/A,#N/A,TRUE,"DIRECCION";#N/A,#N/A,TRUE,"RESUMEN"}</definedName>
    <definedName name="ING" hidden="1">{#N/A,#N/A,TRUE,"INGENIERIA";#N/A,#N/A,TRUE,"COMPRAS";#N/A,#N/A,TRUE,"DIRECCION";#N/A,#N/A,TRUE,"RESUMEN"}</definedName>
    <definedName name="INGENIERIA1" localSheetId="1" hidden="1">#REF!</definedName>
    <definedName name="INGENIERIA1" hidden="1">#REF!</definedName>
    <definedName name="INGENIERIA11" localSheetId="1" hidden="1">#REF!</definedName>
    <definedName name="INGENIERIA11" hidden="1">#REF!</definedName>
    <definedName name="instalaciontuberia3" localSheetId="1">#REF!</definedName>
    <definedName name="instalaciontuberia3">#REF!</definedName>
    <definedName name="Int" localSheetId="1">#REF!</definedName>
    <definedName name="Int">#REF!</definedName>
    <definedName name="Interest_Rate" localSheetId="1">#REF!</definedName>
    <definedName name="Interest_Rate">#REF!</definedName>
    <definedName name="Interruptor_doble" localSheetId="1">#REF!</definedName>
    <definedName name="Interruptor_doble">#REF!</definedName>
    <definedName name="io" localSheetId="50">#REF!</definedName>
    <definedName name="io" localSheetId="1">#REF!</definedName>
    <definedName name="io">#REF!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1">#REF!</definedName>
    <definedName name="ir">#REF!</definedName>
    <definedName name="irng" localSheetId="1" hidden="1">#REF!</definedName>
    <definedName name="irng" hidden="1">#REF!</definedName>
    <definedName name="IsColHidden" hidden="1">FALSE</definedName>
    <definedName name="IsLTMColHidden" hidden="1">FALSE</definedName>
    <definedName name="IsSecureRevolver" localSheetId="1" hidden="1">#REF!</definedName>
    <definedName name="IsSecureRevolver" hidden="1">#REF!</definedName>
    <definedName name="IsSecureSenior1" localSheetId="1" hidden="1">#REF!</definedName>
    <definedName name="IsSecureSenior1" hidden="1">#REF!</definedName>
    <definedName name="IsSecureSenior2" localSheetId="1" hidden="1">#REF!</definedName>
    <definedName name="IsSecureSenior2" hidden="1">#REF!</definedName>
    <definedName name="IsSecureSenior3" localSheetId="1" hidden="1">#REF!</definedName>
    <definedName name="IsSecureSenior3" hidden="1">#REF!</definedName>
    <definedName name="IsSecureSenior4" localSheetId="1" hidden="1">#REF!</definedName>
    <definedName name="IsSecureSenior4" hidden="1">#REF!</definedName>
    <definedName name="IsSecureSenior5" localSheetId="1" hidden="1">#REF!</definedName>
    <definedName name="IsSecureSenior5" hidden="1">#REF!</definedName>
    <definedName name="IsSecureSenior6" localSheetId="1" hidden="1">#REF!</definedName>
    <definedName name="IsSecureSenior6" hidden="1">#REF!</definedName>
    <definedName name="IsSecureSenior7" localSheetId="1" hidden="1">#REF!</definedName>
    <definedName name="IsSecureSenior7" hidden="1">#REF!</definedName>
    <definedName name="IT" localSheetId="1">#REF!</definedName>
    <definedName name="IT">#REF!</definedName>
    <definedName name="it." localSheetId="1">#REF!</definedName>
    <definedName name="it.">#REF!</definedName>
    <definedName name="ITEM" localSheetId="1">#REF!</definedName>
    <definedName name="ITEM">#REF!</definedName>
    <definedName name="ITEM___1.0" localSheetId="1">#REF!</definedName>
    <definedName name="ITEM___1.0">#REF!</definedName>
    <definedName name="ITEM_1.1" localSheetId="1">#REF!</definedName>
    <definedName name="ITEM_1.1">#REF!</definedName>
    <definedName name="ITEM_1.1.1" localSheetId="1">#REF!</definedName>
    <definedName name="ITEM_1.1.1">#REF!</definedName>
    <definedName name="ITEM_1.1.2" localSheetId="1">#REF!</definedName>
    <definedName name="ITEM_1.1.2">#REF!</definedName>
    <definedName name="ITEM_1.2.1" localSheetId="1">#REF!</definedName>
    <definedName name="ITEM_1.2.1">#REF!</definedName>
    <definedName name="ITEM_1.3.1" localSheetId="1">#REF!</definedName>
    <definedName name="ITEM_1.3.1">#REF!</definedName>
    <definedName name="ITEM_1.3.2" localSheetId="1">#REF!</definedName>
    <definedName name="ITEM_1.3.2">#REF!</definedName>
    <definedName name="ITEM_1.3.3" localSheetId="1">#REF!</definedName>
    <definedName name="ITEM_1.3.3">#REF!</definedName>
    <definedName name="ITEM_1.3.4" localSheetId="1">#REF!</definedName>
    <definedName name="ITEM_1.3.4">#REF!</definedName>
    <definedName name="ITEM_1.4" localSheetId="1">#REF!</definedName>
    <definedName name="ITEM_1.4">#REF!</definedName>
    <definedName name="ITEM_1.4.1" localSheetId="1">#REF!</definedName>
    <definedName name="ITEM_1.4.1">#REF!</definedName>
    <definedName name="ITEM_1.4.2" localSheetId="1">#REF!</definedName>
    <definedName name="ITEM_1.4.2">#REF!</definedName>
    <definedName name="ITEM_1.4.3" localSheetId="1">#REF!</definedName>
    <definedName name="ITEM_1.4.3">#REF!</definedName>
    <definedName name="ITEM_1.4.4" localSheetId="1">#REF!</definedName>
    <definedName name="ITEM_1.4.4">#REF!</definedName>
    <definedName name="ITEM_1.5" localSheetId="1">#REF!</definedName>
    <definedName name="ITEM_1.5">#REF!</definedName>
    <definedName name="ITEM_1.6.1" localSheetId="1">#REF!</definedName>
    <definedName name="ITEM_1.6.1">#REF!</definedName>
    <definedName name="ITEM_1.6.2" localSheetId="1">#REF!</definedName>
    <definedName name="ITEM_1.6.2">#REF!</definedName>
    <definedName name="ITEM_1.7.1" localSheetId="1">#REF!</definedName>
    <definedName name="ITEM_1.7.1">#REF!</definedName>
    <definedName name="ITEM_1.7.2" localSheetId="1">#REF!</definedName>
    <definedName name="ITEM_1.7.2">#REF!</definedName>
    <definedName name="ITEM_1.8" localSheetId="1">#REF!</definedName>
    <definedName name="ITEM_1.8">#REF!</definedName>
    <definedName name="ITEM_1_FILTRO" localSheetId="1">#REF!</definedName>
    <definedName name="ITEM_1_FILTRO">#REF!</definedName>
    <definedName name="ITEM_2" localSheetId="1">#REF!</definedName>
    <definedName name="ITEM_2">#REF!</definedName>
    <definedName name="ITEM_2.11" localSheetId="1">#REF!</definedName>
    <definedName name="ITEM_2.11">#REF!</definedName>
    <definedName name="ITEM_2.7" localSheetId="1">#REF!</definedName>
    <definedName name="ITEM_2.7">#REF!</definedName>
    <definedName name="ITEM_3.1" localSheetId="1">#REF!</definedName>
    <definedName name="ITEM_3.1">#REF!</definedName>
    <definedName name="ITEM_3.11" localSheetId="1">#REF!</definedName>
    <definedName name="ITEM_3.11">#REF!</definedName>
    <definedName name="ITEM_3.12" localSheetId="1">#REF!</definedName>
    <definedName name="ITEM_3.12">#REF!</definedName>
    <definedName name="ITEM_3.13" localSheetId="1">#REF!</definedName>
    <definedName name="ITEM_3.13">#REF!</definedName>
    <definedName name="ITEM_3.14" localSheetId="1">#REF!</definedName>
    <definedName name="ITEM_3.14">#REF!</definedName>
    <definedName name="ITEM_3.15" localSheetId="1">#REF!</definedName>
    <definedName name="ITEM_3.15">#REF!</definedName>
    <definedName name="ITEM_3_FILTRO" localSheetId="1">#REF!</definedName>
    <definedName name="ITEM_3_FILTRO">#REF!</definedName>
    <definedName name="ITEM_4" localSheetId="1">#REF!</definedName>
    <definedName name="ITEM_4">#REF!</definedName>
    <definedName name="ITEM_4_FILTRO" localSheetId="1">#REF!</definedName>
    <definedName name="ITEM_4_FILTRO">#REF!</definedName>
    <definedName name="ITEM_5" localSheetId="1">#REF!</definedName>
    <definedName name="ITEM_5">#REF!</definedName>
    <definedName name="ITEM_5_FILTRO" localSheetId="1">#REF!</definedName>
    <definedName name="ITEM_5_FILTRO">#REF!</definedName>
    <definedName name="ITEM_6.2" localSheetId="1">#REF!</definedName>
    <definedName name="ITEM_6.2">#REF!</definedName>
    <definedName name="ITEM_6.3" localSheetId="1">#REF!</definedName>
    <definedName name="ITEM_6.3">#REF!</definedName>
    <definedName name="ITEM_6.4" localSheetId="1">#REF!</definedName>
    <definedName name="ITEM_6.4">#REF!</definedName>
    <definedName name="ITEM_6.5" localSheetId="1">#REF!</definedName>
    <definedName name="ITEM_6.5">#REF!</definedName>
    <definedName name="ITEM_6.6" localSheetId="1">#REF!</definedName>
    <definedName name="ITEM_6.6">#REF!</definedName>
    <definedName name="ITEM_6.7" localSheetId="1">#REF!</definedName>
    <definedName name="ITEM_6.7">#REF!</definedName>
    <definedName name="ITEM_6.8" localSheetId="1">#REF!</definedName>
    <definedName name="ITEM_6.8">#REF!</definedName>
    <definedName name="ITEM_6.9" localSheetId="1">#REF!</definedName>
    <definedName name="ITEM_6.9">#REF!</definedName>
    <definedName name="ITEM_6_FILTRO" localSheetId="1">#REF!</definedName>
    <definedName name="ITEM_6_FILTRO">#REF!</definedName>
    <definedName name="ITEM_7" localSheetId="1">#REF!</definedName>
    <definedName name="ITEM_7">#REF!</definedName>
    <definedName name="ITEM_8" localSheetId="1">#REF!</definedName>
    <definedName name="ITEM_8">#REF!</definedName>
    <definedName name="ITEM_9" localSheetId="1">#REF!</definedName>
    <definedName name="ITEM_9">#REF!</definedName>
    <definedName name="ITEM_COD45" localSheetId="1">#REF!</definedName>
    <definedName name="ITEM_COD45">#REF!</definedName>
    <definedName name="item_exccon" localSheetId="1">#REF!</definedName>
    <definedName name="item_exccon">#REF!</definedName>
    <definedName name="ITEM_INST_2" localSheetId="1">#REF!</definedName>
    <definedName name="ITEM_INST_2">#REF!</definedName>
    <definedName name="ITEM_INST_3" localSheetId="1">#REF!</definedName>
    <definedName name="ITEM_INST_3">#REF!</definedName>
    <definedName name="ITEM_MEDID" localSheetId="1">#REF!</definedName>
    <definedName name="ITEM_MEDID">#REF!</definedName>
    <definedName name="ITEM_REDU" localSheetId="1">#REF!</definedName>
    <definedName name="ITEM_REDU">#REF!</definedName>
    <definedName name="ITEM_SIFON" localSheetId="1">#REF!</definedName>
    <definedName name="ITEM_SIFON">#REF!</definedName>
    <definedName name="ITEM_TEE_3_2" localSheetId="1">#REF!</definedName>
    <definedName name="ITEM_TEE_3_2">#REF!</definedName>
    <definedName name="ITEM_TEE_4X4" localSheetId="1">#REF!</definedName>
    <definedName name="ITEM_TEE_4X4">#REF!</definedName>
    <definedName name="ITEM_TEFLON" localSheetId="1">#REF!</definedName>
    <definedName name="ITEM_TEFLON">#REF!</definedName>
    <definedName name="ITEM_VENTO" localSheetId="1">#REF!</definedName>
    <definedName name="ITEM_VENTO">#REF!</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1" localSheetId="1">#REF!</definedName>
    <definedName name="ITEM6.1">#REF!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90" localSheetId="1">#REF!</definedName>
    <definedName name="ITEMCOD90">#REF!</definedName>
    <definedName name="ITEN_2_FILTRO" localSheetId="50">#REF!</definedName>
    <definedName name="ITEN_2_FILTRO" localSheetId="1">#REF!</definedName>
    <definedName name="ITEN_2_FILTRO">#REF!</definedName>
    <definedName name="ITENM_DOMIC" localSheetId="50">#REF!</definedName>
    <definedName name="ITENM_DOMIC" localSheetId="1">#REF!</definedName>
    <definedName name="ITENM_DOMIC">#REF!</definedName>
    <definedName name="IUI" localSheetId="50" hidden="1">{"TAB1",#N/A,TRUE,"GENERAL";"TAB2",#N/A,TRUE,"GENERAL";"TAB3",#N/A,TRUE,"GENERAL";"TAB4",#N/A,TRUE,"GENERAL";"TAB5",#N/A,TRUE,"GENERAL"}</definedName>
    <definedName name="IUI" localSheetId="1" hidden="1">{"TAB1",#N/A,TRUE,"GENERAL";"TAB2",#N/A,TRUE,"GENERAL";"TAB3",#N/A,TRUE,"GENERAL";"TAB4",#N/A,TRUE,"GENERAL";"TAB5",#N/A,TRUE,"GENERAL"}</definedName>
    <definedName name="IUI" localSheetId="73" hidden="1">{"TAB1",#N/A,TRUE,"GENERAL";"TAB2",#N/A,TRUE,"GENERAL";"TAB3",#N/A,TRUE,"GENERAL";"TAB4",#N/A,TRUE,"GENERAL";"TAB5",#N/A,TRUE,"GENERAL"}</definedName>
    <definedName name="IUI" hidden="1">{"TAB1",#N/A,TRUE,"GENERAL";"TAB2",#N/A,TRUE,"GENERAL";"TAB3",#N/A,TRUE,"GENERAL";"TAB4",#N/A,TRUE,"GENERAL";"TAB5",#N/A,TRUE,"GENERAL"}</definedName>
    <definedName name="iuit7" localSheetId="50" hidden="1">{"TAB1",#N/A,TRUE,"GENERAL";"TAB2",#N/A,TRUE,"GENERAL";"TAB3",#N/A,TRUE,"GENERAL";"TAB4",#N/A,TRUE,"GENERAL";"TAB5",#N/A,TRUE,"GENERAL"}</definedName>
    <definedName name="iuit7" localSheetId="1" hidden="1">{"TAB1",#N/A,TRUE,"GENERAL";"TAB2",#N/A,TRUE,"GENERAL";"TAB3",#N/A,TRUE,"GENERAL";"TAB4",#N/A,TRUE,"GENERAL";"TAB5",#N/A,TRUE,"GENERAL"}</definedName>
    <definedName name="iuit7" localSheetId="73" hidden="1">{"TAB1",#N/A,TRUE,"GENERAL";"TAB2",#N/A,TRUE,"GENERAL";"TAB3",#N/A,TRUE,"GENERAL";"TAB4",#N/A,TRUE,"GENERAL";"TAB5",#N/A,TRUE,"GENERAL"}</definedName>
    <definedName name="iuit7" hidden="1">{"TAB1",#N/A,TRUE,"GENERAL";"TAB2",#N/A,TRUE,"GENERAL";"TAB3",#N/A,TRUE,"GENERAL";"TAB4",#N/A,TRUE,"GENERAL";"TAB5",#N/A,TRUE,"GENERAL"}</definedName>
    <definedName name="iul" localSheetId="50" hidden="1">{"via1",#N/A,TRUE,"general";"via2",#N/A,TRUE,"general";"via3",#N/A,TRUE,"general"}</definedName>
    <definedName name="iul" localSheetId="1" hidden="1">{"via1",#N/A,TRUE,"general";"via2",#N/A,TRUE,"general";"via3",#N/A,TRUE,"general"}</definedName>
    <definedName name="iul" localSheetId="73" hidden="1">{"via1",#N/A,TRUE,"general";"via2",#N/A,TRUE,"general";"via3",#N/A,TRUE,"general"}</definedName>
    <definedName name="iul" hidden="1">{"via1",#N/A,TRUE,"general";"via2",#N/A,TRUE,"general";"via3",#N/A,TRUE,"general"}</definedName>
    <definedName name="iuouio" localSheetId="50" hidden="1">{"via1",#N/A,TRUE,"general";"via2",#N/A,TRUE,"general";"via3",#N/A,TRUE,"general"}</definedName>
    <definedName name="iuouio" localSheetId="1" hidden="1">{"via1",#N/A,TRUE,"general";"via2",#N/A,TRUE,"general";"via3",#N/A,TRUE,"general"}</definedName>
    <definedName name="iuouio" localSheetId="73" hidden="1">{"via1",#N/A,TRUE,"general";"via2",#N/A,TRUE,"general";"via3",#N/A,TRUE,"general"}</definedName>
    <definedName name="iuouio" hidden="1">{"via1",#N/A,TRUE,"general";"via2",#N/A,TRUE,"general";"via3",#N/A,TRUE,"general"}</definedName>
    <definedName name="iuyi9" localSheetId="50" hidden="1">{"TAB1",#N/A,TRUE,"GENERAL";"TAB2",#N/A,TRUE,"GENERAL";"TAB3",#N/A,TRUE,"GENERAL";"TAB4",#N/A,TRUE,"GENERAL";"TAB5",#N/A,TRUE,"GENERAL"}</definedName>
    <definedName name="iuyi9" localSheetId="1" hidden="1">{"TAB1",#N/A,TRUE,"GENERAL";"TAB2",#N/A,TRUE,"GENERAL";"TAB3",#N/A,TRUE,"GENERAL";"TAB4",#N/A,TRUE,"GENERAL";"TAB5",#N/A,TRUE,"GENERAL"}</definedName>
    <definedName name="iuyi9" localSheetId="73" hidden="1">{"TAB1",#N/A,TRUE,"GENERAL";"TAB2",#N/A,TRUE,"GENERAL";"TAB3",#N/A,TRUE,"GENERAL";"TAB4",#N/A,TRUE,"GENERAL";"TAB5",#N/A,TRUE,"GENERAL"}</definedName>
    <definedName name="iuyi9" hidden="1">{"TAB1",#N/A,TRUE,"GENERAL";"TAB2",#N/A,TRUE,"GENERAL";"TAB3",#N/A,TRUE,"GENERAL";"TAB4",#N/A,TRUE,"GENERAL";"TAB5",#N/A,TRUE,"GENERAL"}</definedName>
    <definedName name="iyuiuyi" localSheetId="50" hidden="1">{"via1",#N/A,TRUE,"general";"via2",#N/A,TRUE,"general";"via3",#N/A,TRUE,"general"}</definedName>
    <definedName name="iyuiuyi" localSheetId="1" hidden="1">{"via1",#N/A,TRUE,"general";"via2",#N/A,TRUE,"general";"via3",#N/A,TRUE,"general"}</definedName>
    <definedName name="iyuiuyi" localSheetId="73" hidden="1">{"via1",#N/A,TRUE,"general";"via2",#N/A,TRUE,"general";"via3",#N/A,TRUE,"general"}</definedName>
    <definedName name="iyuiuyi" hidden="1">{"via1",#N/A,TRUE,"general";"via2",#N/A,TRUE,"general";"via3",#N/A,TRUE,"general"}</definedName>
    <definedName name="Ja" localSheetId="50">#REF!</definedName>
    <definedName name="Ja" localSheetId="1">#REF!</definedName>
    <definedName name="Ja">#REF!</definedName>
    <definedName name="JAPF" localSheetId="50">#REF!</definedName>
    <definedName name="JAPF" localSheetId="1">#REF!</definedName>
    <definedName name="JAPF">#REF!</definedName>
    <definedName name="Jb" localSheetId="50">#REF!</definedName>
    <definedName name="Jb" localSheetId="1">#REF!</definedName>
    <definedName name="Jb">#REF!</definedName>
    <definedName name="Jc" localSheetId="1">#REF!</definedName>
    <definedName name="Jc">#REF!</definedName>
    <definedName name="Jd" localSheetId="1">#REF!</definedName>
    <definedName name="jd" localSheetId="71" hidden="1">{"via1",#N/A,TRUE,"general";"via2",#N/A,TRUE,"general";"via3",#N/A,TRUE,"general"}</definedName>
    <definedName name="jd" localSheetId="73" hidden="1">{"via1",#N/A,TRUE,"general";"via2",#N/A,TRUE,"general";"via3",#N/A,TRUE,"general"}</definedName>
    <definedName name="Jd">#REF!</definedName>
    <definedName name="jdh" localSheetId="50" hidden="1">{"TAB1",#N/A,TRUE,"GENERAL";"TAB2",#N/A,TRUE,"GENERAL";"TAB3",#N/A,TRUE,"GENERAL";"TAB4",#N/A,TRUE,"GENERAL";"TAB5",#N/A,TRUE,"GENERAL"}</definedName>
    <definedName name="jdh" localSheetId="1" hidden="1">{"TAB1",#N/A,TRUE,"GENERAL";"TAB2",#N/A,TRUE,"GENERAL";"TAB3",#N/A,TRUE,"GENERAL";"TAB4",#N/A,TRUE,"GENERAL";"TAB5",#N/A,TRUE,"GENERAL"}</definedName>
    <definedName name="jdh" localSheetId="73" hidden="1">{"TAB1",#N/A,TRUE,"GENERAL";"TAB2",#N/A,TRUE,"GENERAL";"TAB3",#N/A,TRUE,"GENERAL";"TAB4",#N/A,TRUE,"GENERAL";"TAB5",#N/A,TRUE,"GENERAL"}</definedName>
    <definedName name="jdh" hidden="1">{"TAB1",#N/A,TRUE,"GENERAL";"TAB2",#N/A,TRUE,"GENERAL";"TAB3",#N/A,TRUE,"GENERAL";"TAB4",#N/A,TRUE,"GENERAL";"TAB5",#N/A,TRUE,"GENERAL"}</definedName>
    <definedName name="Je" localSheetId="1">#REF!</definedName>
    <definedName name="Je">#REF!</definedName>
    <definedName name="jeytj" localSheetId="50" hidden="1">{"TAB1",#N/A,TRUE,"GENERAL";"TAB2",#N/A,TRUE,"GENERAL";"TAB3",#N/A,TRUE,"GENERAL";"TAB4",#N/A,TRUE,"GENERAL";"TAB5",#N/A,TRUE,"GENERAL"}</definedName>
    <definedName name="jeytj" localSheetId="1" hidden="1">{"TAB1",#N/A,TRUE,"GENERAL";"TAB2",#N/A,TRUE,"GENERAL";"TAB3",#N/A,TRUE,"GENERAL";"TAB4",#N/A,TRUE,"GENERAL";"TAB5",#N/A,TRUE,"GENERAL"}</definedName>
    <definedName name="jeytj" localSheetId="73" hidden="1">{"TAB1",#N/A,TRUE,"GENERAL";"TAB2",#N/A,TRUE,"GENERAL";"TAB3",#N/A,TRUE,"GENERAL";"TAB4",#N/A,TRUE,"GENERAL";"TAB5",#N/A,TRUE,"GENERAL"}</definedName>
    <definedName name="jeytj" hidden="1">{"TAB1",#N/A,TRUE,"GENERAL";"TAB2",#N/A,TRUE,"GENERAL";"TAB3",#N/A,TRUE,"GENERAL";"TAB4",#N/A,TRUE,"GENERAL";"TAB5",#N/A,TRUE,"GENERAL"}</definedName>
    <definedName name="Jf" localSheetId="1">#REF!</definedName>
    <definedName name="Jf">#REF!</definedName>
    <definedName name="jfç" localSheetId="1" hidden="1">#REF!</definedName>
    <definedName name="jfç" hidden="1">#REF!</definedName>
    <definedName name="JFGS" localSheetId="5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FG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FG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fhjfrt" localSheetId="50"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73" hidden="1">{"TAB1",#N/A,TRUE,"GENERAL";"TAB2",#N/A,TRUE,"GENERAL";"TAB3",#N/A,TRUE,"GENERAL";"TAB4",#N/A,TRUE,"GENERAL";"TAB5",#N/A,TRUE,"GENERAL"}</definedName>
    <definedName name="jfhjfrt" hidden="1">{"TAB1",#N/A,TRUE,"GENERAL";"TAB2",#N/A,TRUE,"GENERAL";"TAB3",#N/A,TRUE,"GENERAL";"TAB4",#N/A,TRUE,"GENERAL";"TAB5",#N/A,TRUE,"GENERAL"}</definedName>
    <definedName name="jgfj" localSheetId="50" hidden="1">{"via1",#N/A,TRUE,"general";"via2",#N/A,TRUE,"general";"via3",#N/A,TRUE,"general"}</definedName>
    <definedName name="jgfj" localSheetId="1" hidden="1">{"via1",#N/A,TRUE,"general";"via2",#N/A,TRUE,"general";"via3",#N/A,TRUE,"general"}</definedName>
    <definedName name="jgfj" localSheetId="73" hidden="1">{"via1",#N/A,TRUE,"general";"via2",#N/A,TRUE,"general";"via3",#N/A,TRUE,"general"}</definedName>
    <definedName name="jgfj" hidden="1">{"via1",#N/A,TRUE,"general";"via2",#N/A,TRUE,"general";"via3",#N/A,TRUE,"general"}</definedName>
    <definedName name="jghj" localSheetId="50" hidden="1">{"TAB1",#N/A,TRUE,"GENERAL";"TAB2",#N/A,TRUE,"GENERAL";"TAB3",#N/A,TRUE,"GENERAL";"TAB4",#N/A,TRUE,"GENERAL";"TAB5",#N/A,TRUE,"GENERAL"}</definedName>
    <definedName name="jghj" localSheetId="1" hidden="1">{"TAB1",#N/A,TRUE,"GENERAL";"TAB2",#N/A,TRUE,"GENERAL";"TAB3",#N/A,TRUE,"GENERAL";"TAB4",#N/A,TRUE,"GENERAL";"TAB5",#N/A,TRUE,"GENERAL"}</definedName>
    <definedName name="jghj" localSheetId="73" hidden="1">{"TAB1",#N/A,TRUE,"GENERAL";"TAB2",#N/A,TRUE,"GENERAL";"TAB3",#N/A,TRUE,"GENERAL";"TAB4",#N/A,TRUE,"GENERAL";"TAB5",#N/A,TRUE,"GENERAL"}</definedName>
    <definedName name="jghj" hidden="1">{"TAB1",#N/A,TRUE,"GENERAL";"TAB2",#N/A,TRUE,"GENERAL";"TAB3",#N/A,TRUE,"GENERAL";"TAB4",#N/A,TRUE,"GENERAL";"TAB5",#N/A,TRUE,"GENERAL"}</definedName>
    <definedName name="jgj" localSheetId="50" hidden="1">{"TAB1",#N/A,TRUE,"GENERAL";"TAB2",#N/A,TRUE,"GENERAL";"TAB3",#N/A,TRUE,"GENERAL";"TAB4",#N/A,TRUE,"GENERAL";"TAB5",#N/A,TRUE,"GENERAL"}</definedName>
    <definedName name="jgj" localSheetId="1" hidden="1">{"TAB1",#N/A,TRUE,"GENERAL";"TAB2",#N/A,TRUE,"GENERAL";"TAB3",#N/A,TRUE,"GENERAL";"TAB4",#N/A,TRUE,"GENERAL";"TAB5",#N/A,TRUE,"GENERAL"}</definedName>
    <definedName name="jgj" localSheetId="73" hidden="1">{"TAB1",#N/A,TRUE,"GENERAL";"TAB2",#N/A,TRUE,"GENERAL";"TAB3",#N/A,TRUE,"GENERAL";"TAB4",#N/A,TRUE,"GENERAL";"TAB5",#N/A,TRUE,"GENERAL"}</definedName>
    <definedName name="jgj" hidden="1">{"TAB1",#N/A,TRUE,"GENERAL";"TAB2",#N/A,TRUE,"GENERAL";"TAB3",#N/A,TRUE,"GENERAL";"TAB4",#N/A,TRUE,"GENERAL";"TAB5",#N/A,TRUE,"GENERAL"}</definedName>
    <definedName name="jh" localSheetId="1">#REF!</definedName>
    <definedName name="jh">#REF!</definedName>
    <definedName name="jhg" localSheetId="50" hidden="1">{"TAB1",#N/A,TRUE,"GENERAL";"TAB2",#N/A,TRUE,"GENERAL";"TAB3",#N/A,TRUE,"GENERAL";"TAB4",#N/A,TRUE,"GENERAL";"TAB5",#N/A,TRUE,"GENERAL"}</definedName>
    <definedName name="jhg" localSheetId="1" hidden="1">{"TAB1",#N/A,TRUE,"GENERAL";"TAB2",#N/A,TRUE,"GENERAL";"TAB3",#N/A,TRUE,"GENERAL";"TAB4",#N/A,TRUE,"GENERAL";"TAB5",#N/A,TRUE,"GENERAL"}</definedName>
    <definedName name="jhg" localSheetId="73" hidden="1">{"TAB1",#N/A,TRUE,"GENERAL";"TAB2",#N/A,TRUE,"GENERAL";"TAB3",#N/A,TRUE,"GENERAL";"TAB4",#N/A,TRUE,"GENERAL";"TAB5",#N/A,TRUE,"GENERAL"}</definedName>
    <definedName name="jhg" hidden="1">{"TAB1",#N/A,TRUE,"GENERAL";"TAB2",#N/A,TRUE,"GENERAL";"TAB3",#N/A,TRUE,"GENERAL";"TAB4",#N/A,TRUE,"GENERAL";"TAB5",#N/A,TRUE,"GENERAL"}</definedName>
    <definedName name="JHJH" localSheetId="50" hidden="1">{#N/A,#N/A,TRUE,"INGENIERIA";#N/A,#N/A,TRUE,"COMPRAS";#N/A,#N/A,TRUE,"DIRECCION";#N/A,#N/A,TRUE,"RESUMEN"}</definedName>
    <definedName name="JHJH" localSheetId="1" hidden="1">{#N/A,#N/A,TRUE,"INGENIERIA";#N/A,#N/A,TRUE,"COMPRAS";#N/A,#N/A,TRUE,"DIRECCION";#N/A,#N/A,TRUE,"RESUMEN"}</definedName>
    <definedName name="JHJH" hidden="1">{#N/A,#N/A,TRUE,"INGENIERIA";#N/A,#N/A,TRUE,"COMPRAS";#N/A,#N/A,TRUE,"DIRECCION";#N/A,#N/A,TRUE,"RESUMEN"}</definedName>
    <definedName name="jhjyj" localSheetId="50" hidden="1">{"via1",#N/A,TRUE,"general";"via2",#N/A,TRUE,"general";"via3",#N/A,TRUE,"general"}</definedName>
    <definedName name="jhjyj" localSheetId="1" hidden="1">{"via1",#N/A,TRUE,"general";"via2",#N/A,TRUE,"general";"via3",#N/A,TRUE,"general"}</definedName>
    <definedName name="jhjyj" localSheetId="73" hidden="1">{"via1",#N/A,TRUE,"general";"via2",#N/A,TRUE,"general";"via3",#N/A,TRUE,"general"}</definedName>
    <definedName name="jhjyj" hidden="1">{"via1",#N/A,TRUE,"general";"via2",#N/A,TRUE,"general";"via3",#N/A,TRUE,"general"}</definedName>
    <definedName name="JHK" localSheetId="50" hidden="1">{"TAB1",#N/A,TRUE,"GENERAL";"TAB2",#N/A,TRUE,"GENERAL";"TAB3",#N/A,TRUE,"GENERAL";"TAB4",#N/A,TRUE,"GENERAL";"TAB5",#N/A,TRUE,"GENERAL"}</definedName>
    <definedName name="JHK" localSheetId="1" hidden="1">{"TAB1",#N/A,TRUE,"GENERAL";"TAB2",#N/A,TRUE,"GENERAL";"TAB3",#N/A,TRUE,"GENERAL";"TAB4",#N/A,TRUE,"GENERAL";"TAB5",#N/A,TRUE,"GENERAL"}</definedName>
    <definedName name="JHK" localSheetId="73" hidden="1">{"TAB1",#N/A,TRUE,"GENERAL";"TAB2",#N/A,TRUE,"GENERAL";"TAB3",#N/A,TRUE,"GENERAL";"TAB4",#N/A,TRUE,"GENERAL";"TAB5",#N/A,TRUE,"GENERAL"}</definedName>
    <definedName name="JHK" hidden="1">{"TAB1",#N/A,TRUE,"GENERAL";"TAB2",#N/A,TRUE,"GENERAL";"TAB3",#N/A,TRUE,"GENERAL";"TAB4",#N/A,TRUE,"GENERAL";"TAB5",#N/A,TRUE,"GENERAL"}</definedName>
    <definedName name="jhkgjkvf" localSheetId="50"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73" hidden="1">{"TAB1",#N/A,TRUE,"GENERAL";"TAB2",#N/A,TRUE,"GENERAL";"TAB3",#N/A,TRUE,"GENERAL";"TAB4",#N/A,TRUE,"GENERAL";"TAB5",#N/A,TRUE,"GENERAL"}</definedName>
    <definedName name="jhkgjkvf" hidden="1">{"TAB1",#N/A,TRUE,"GENERAL";"TAB2",#N/A,TRUE,"GENERAL";"TAB3",#N/A,TRUE,"GENERAL";"TAB4",#N/A,TRUE,"GENERAL";"TAB5",#N/A,TRUE,"GENERAL"}</definedName>
    <definedName name="jj" localSheetId="1">#REF!</definedName>
    <definedName name="jj">#REF!</definedName>
    <definedName name="jjfq" localSheetId="50" hidden="1">{"via1",#N/A,TRUE,"general";"via2",#N/A,TRUE,"general";"via3",#N/A,TRUE,"general"}</definedName>
    <definedName name="jjfq" localSheetId="1" hidden="1">{"via1",#N/A,TRUE,"general";"via2",#N/A,TRUE,"general";"via3",#N/A,TRUE,"general"}</definedName>
    <definedName name="jjfq" localSheetId="73" hidden="1">{"via1",#N/A,TRUE,"general";"via2",#N/A,TRUE,"general";"via3",#N/A,TRUE,"general"}</definedName>
    <definedName name="jjfq" hidden="1">{"via1",#N/A,TRUE,"general";"via2",#N/A,TRUE,"general";"via3",#N/A,TRUE,"general"}</definedName>
    <definedName name="JJJ" localSheetId="50" hidden="1">{#N/A,#N/A,FALSE,"Hoja1";#N/A,#N/A,FALSE,"Hoja2"}</definedName>
    <definedName name="JJJ" localSheetId="1" hidden="1">{#N/A,#N/A,FALSE,"Hoja1";#N/A,#N/A,FALSE,"Hoja2"}</definedName>
    <definedName name="JJJ" localSheetId="73" hidden="1">{#N/A,#N/A,FALSE,"Hoja1";#N/A,#N/A,FALSE,"Hoja2"}</definedName>
    <definedName name="JJJ" hidden="1">{#N/A,#N/A,FALSE,"Hoja1";#N/A,#N/A,FALSE,"Hoja2"}</definedName>
    <definedName name="jjjhjddfg" localSheetId="50" hidden="1">{"via1",#N/A,TRUE,"general";"via2",#N/A,TRUE,"general";"via3",#N/A,TRUE,"general"}</definedName>
    <definedName name="jjjhjddfg" localSheetId="1" hidden="1">{"via1",#N/A,TRUE,"general";"via2",#N/A,TRUE,"general";"via3",#N/A,TRUE,"general"}</definedName>
    <definedName name="jjjhjddfg" localSheetId="73" hidden="1">{"via1",#N/A,TRUE,"general";"via2",#N/A,TRUE,"general";"via3",#N/A,TRUE,"general"}</definedName>
    <definedName name="jjjhjddfg" hidden="1">{"via1",#N/A,TRUE,"general";"via2",#N/A,TRUE,"general";"via3",#N/A,TRUE,"general"}</definedName>
    <definedName name="jjjjju" localSheetId="50" hidden="1">{"via1",#N/A,TRUE,"general";"via2",#N/A,TRUE,"general";"via3",#N/A,TRUE,"general"}</definedName>
    <definedName name="jjjjju" localSheetId="1" hidden="1">{"via1",#N/A,TRUE,"general";"via2",#N/A,TRUE,"general";"via3",#N/A,TRUE,"general"}</definedName>
    <definedName name="jjjjju" localSheetId="73" hidden="1">{"via1",#N/A,TRUE,"general";"via2",#N/A,TRUE,"general";"via3",#N/A,TRUE,"general"}</definedName>
    <definedName name="jjjjju" hidden="1">{"via1",#N/A,TRUE,"general";"via2",#N/A,TRUE,"general";"via3",#N/A,TRUE,"general"}</definedName>
    <definedName name="jjujujty" localSheetId="50"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73" hidden="1">{"TAB1",#N/A,TRUE,"GENERAL";"TAB2",#N/A,TRUE,"GENERAL";"TAB3",#N/A,TRUE,"GENERAL";"TAB4",#N/A,TRUE,"GENERAL";"TAB5",#N/A,TRUE,"GENERAL"}</definedName>
    <definedName name="jjujujty" hidden="1">{"TAB1",#N/A,TRUE,"GENERAL";"TAB2",#N/A,TRUE,"GENERAL";"TAB3",#N/A,TRUE,"GENERAL";"TAB4",#N/A,TRUE,"GENERAL";"TAB5",#N/A,TRUE,"GENERAL"}</definedName>
    <definedName name="jjyjy" localSheetId="50" hidden="1">{"via1",#N/A,TRUE,"general";"via2",#N/A,TRUE,"general";"via3",#N/A,TRUE,"general"}</definedName>
    <definedName name="jjyjy" localSheetId="1" hidden="1">{"via1",#N/A,TRUE,"general";"via2",#N/A,TRUE,"general";"via3",#N/A,TRUE,"general"}</definedName>
    <definedName name="jjyjy" localSheetId="73" hidden="1">{"via1",#N/A,TRUE,"general";"via2",#N/A,TRUE,"general";"via3",#N/A,TRUE,"general"}</definedName>
    <definedName name="jjyjy" hidden="1">{"via1",#N/A,TRUE,"general";"via2",#N/A,TRUE,"general";"via3",#N/A,TRUE,"general"}</definedName>
    <definedName name="jk" localSheetId="1">#REF!</definedName>
    <definedName name="jk">#REF!</definedName>
    <definedName name="JKGFH" localSheetId="50" hidden="1">{#N/A,#N/A,TRUE,"INGENIERIA";#N/A,#N/A,TRUE,"COMPRAS";#N/A,#N/A,TRUE,"DIRECCION";#N/A,#N/A,TRUE,"RESUMEN"}</definedName>
    <definedName name="JKGFH" localSheetId="1" hidden="1">{#N/A,#N/A,TRUE,"INGENIERIA";#N/A,#N/A,TRUE,"COMPRAS";#N/A,#N/A,TRUE,"DIRECCION";#N/A,#N/A,TRUE,"RESUMEN"}</definedName>
    <definedName name="JKGFH" hidden="1">{#N/A,#N/A,TRUE,"INGENIERIA";#N/A,#N/A,TRUE,"COMPRAS";#N/A,#N/A,TRUE,"DIRECCION";#N/A,#N/A,TRUE,"RESUMEN"}</definedName>
    <definedName name="jkk" localSheetId="50" hidden="1">{"TAB1",#N/A,TRUE,"GENERAL";"TAB2",#N/A,TRUE,"GENERAL";"TAB3",#N/A,TRUE,"GENERAL";"TAB4",#N/A,TRUE,"GENERAL";"TAB5",#N/A,TRUE,"GENERAL"}</definedName>
    <definedName name="jkk" localSheetId="1" hidden="1">{"TAB1",#N/A,TRUE,"GENERAL";"TAB2",#N/A,TRUE,"GENERAL";"TAB3",#N/A,TRUE,"GENERAL";"TAB4",#N/A,TRUE,"GENERAL";"TAB5",#N/A,TRUE,"GENERAL"}</definedName>
    <definedName name="jkk" localSheetId="73" hidden="1">{"TAB1",#N/A,TRUE,"GENERAL";"TAB2",#N/A,TRUE,"GENERAL";"TAB3",#N/A,TRUE,"GENERAL";"TAB4",#N/A,TRUE,"GENERAL";"TAB5",#N/A,TRUE,"GENERAL"}</definedName>
    <definedName name="jkk" hidden="1">{"TAB1",#N/A,TRUE,"GENERAL";"TAB2",#N/A,TRUE,"GENERAL";"TAB3",#N/A,TRUE,"GENERAL";"TAB4",#N/A,TRUE,"GENERAL";"TAB5",#N/A,TRUE,"GENERAL"}</definedName>
    <definedName name="jklj" localSheetId="1" hidden="1">#REF!</definedName>
    <definedName name="jklj" hidden="1">#REF!</definedName>
    <definedName name="jn" localSheetId="1">#REF!</definedName>
    <definedName name="jn">#REF!</definedName>
    <definedName name="jñ" localSheetId="1">#REF!</definedName>
    <definedName name="jñ">#REF!</definedName>
    <definedName name="jo" localSheetId="1">#REF!</definedName>
    <definedName name="jo">#REF!</definedName>
    <definedName name="José" localSheetId="1">#REF!</definedName>
    <definedName name="José">#REF!</definedName>
    <definedName name="jqm" localSheetId="1">#REF!</definedName>
    <definedName name="jqm">#REF!</definedName>
    <definedName name="JRYJ" localSheetId="50" hidden="1">{"via1",#N/A,TRUE,"general";"via2",#N/A,TRUE,"general";"via3",#N/A,TRUE,"general"}</definedName>
    <definedName name="JRYJ" localSheetId="1" hidden="1">{"via1",#N/A,TRUE,"general";"via2",#N/A,TRUE,"general";"via3",#N/A,TRUE,"general"}</definedName>
    <definedName name="JRYJ" localSheetId="73" hidden="1">{"via1",#N/A,TRUE,"general";"via2",#N/A,TRUE,"general";"via3",#N/A,TRUE,"general"}</definedName>
    <definedName name="JRYJ" hidden="1">{"via1",#N/A,TRUE,"general";"via2",#N/A,TRUE,"general";"via3",#N/A,TRUE,"general"}</definedName>
    <definedName name="jt" localSheetId="1">#REF!</definedName>
    <definedName name="jt">#REF!</definedName>
    <definedName name="jtyj" localSheetId="50" hidden="1">{"TAB1",#N/A,TRUE,"GENERAL";"TAB2",#N/A,TRUE,"GENERAL";"TAB3",#N/A,TRUE,"GENERAL";"TAB4",#N/A,TRUE,"GENERAL";"TAB5",#N/A,TRUE,"GENERAL"}</definedName>
    <definedName name="jtyj" localSheetId="1" hidden="1">{"TAB1",#N/A,TRUE,"GENERAL";"TAB2",#N/A,TRUE,"GENERAL";"TAB3",#N/A,TRUE,"GENERAL";"TAB4",#N/A,TRUE,"GENERAL";"TAB5",#N/A,TRUE,"GENERAL"}</definedName>
    <definedName name="jtyj" localSheetId="73" hidden="1">{"TAB1",#N/A,TRUE,"GENERAL";"TAB2",#N/A,TRUE,"GENERAL";"TAB3",#N/A,TRUE,"GENERAL";"TAB4",#N/A,TRUE,"GENERAL";"TAB5",#N/A,TRUE,"GENERAL"}</definedName>
    <definedName name="jtyj" hidden="1">{"TAB1",#N/A,TRUE,"GENERAL";"TAB2",#N/A,TRUE,"GENERAL";"TAB3",#N/A,TRUE,"GENERAL";"TAB4",#N/A,TRUE,"GENERAL";"TAB5",#N/A,TRUE,"GENERAL"}</definedName>
    <definedName name="jtyry" localSheetId="50" hidden="1">{"TAB1",#N/A,TRUE,"GENERAL";"TAB2",#N/A,TRUE,"GENERAL";"TAB3",#N/A,TRUE,"GENERAL";"TAB4",#N/A,TRUE,"GENERAL";"TAB5",#N/A,TRUE,"GENERAL"}</definedName>
    <definedName name="jtyry" localSheetId="1" hidden="1">{"TAB1",#N/A,TRUE,"GENERAL";"TAB2",#N/A,TRUE,"GENERAL";"TAB3",#N/A,TRUE,"GENERAL";"TAB4",#N/A,TRUE,"GENERAL";"TAB5",#N/A,TRUE,"GENERAL"}</definedName>
    <definedName name="jtyry" localSheetId="73" hidden="1">{"TAB1",#N/A,TRUE,"GENERAL";"TAB2",#N/A,TRUE,"GENERAL";"TAB3",#N/A,TRUE,"GENERAL";"TAB4",#N/A,TRUE,"GENERAL";"TAB5",#N/A,TRUE,"GENERAL"}</definedName>
    <definedName name="jtyry" hidden="1">{"TAB1",#N/A,TRUE,"GENERAL";"TAB2",#N/A,TRUE,"GENERAL";"TAB3",#N/A,TRUE,"GENERAL";"TAB4",#N/A,TRUE,"GENERAL";"TAB5",#N/A,TRUE,"GENERAL"}</definedName>
    <definedName name="jui" localSheetId="1">#REF!</definedName>
    <definedName name="jui">#REF!</definedName>
    <definedName name="juj" localSheetId="50" hidden="1">{"via1",#N/A,TRUE,"general";"via2",#N/A,TRUE,"general";"via3",#N/A,TRUE,"general"}</definedName>
    <definedName name="juj" localSheetId="1" hidden="1">{"via1",#N/A,TRUE,"general";"via2",#N/A,TRUE,"general";"via3",#N/A,TRUE,"general"}</definedName>
    <definedName name="juj" localSheetId="73" hidden="1">{"via1",#N/A,TRUE,"general";"via2",#N/A,TRUE,"general";"via3",#N/A,TRUE,"general"}</definedName>
    <definedName name="juj" hidden="1">{"via1",#N/A,TRUE,"general";"via2",#N/A,TRUE,"general";"via3",#N/A,TRUE,"general"}</definedName>
    <definedName name="jujcx" localSheetId="50" hidden="1">{"via1",#N/A,TRUE,"general";"via2",#N/A,TRUE,"general";"via3",#N/A,TRUE,"general"}</definedName>
    <definedName name="jujcx" localSheetId="1" hidden="1">{"via1",#N/A,TRUE,"general";"via2",#N/A,TRUE,"general";"via3",#N/A,TRUE,"general"}</definedName>
    <definedName name="jujcx" localSheetId="73" hidden="1">{"via1",#N/A,TRUE,"general";"via2",#N/A,TRUE,"general";"via3",#N/A,TRUE,"general"}</definedName>
    <definedName name="jujcx" hidden="1">{"via1",#N/A,TRUE,"general";"via2",#N/A,TRUE,"general";"via3",#N/A,TRUE,"general"}</definedName>
    <definedName name="jujuj" localSheetId="50" hidden="1">{"via1",#N/A,TRUE,"general";"via2",#N/A,TRUE,"general";"via3",#N/A,TRUE,"general"}</definedName>
    <definedName name="jujuj" localSheetId="1" hidden="1">{"via1",#N/A,TRUE,"general";"via2",#N/A,TRUE,"general";"via3",#N/A,TRUE,"general"}</definedName>
    <definedName name="jujuj" localSheetId="73" hidden="1">{"via1",#N/A,TRUE,"general";"via2",#N/A,TRUE,"general";"via3",#N/A,TRUE,"general"}</definedName>
    <definedName name="jujuj" hidden="1">{"via1",#N/A,TRUE,"general";"via2",#N/A,TRUE,"general";"via3",#N/A,TRUE,"general"}</definedName>
    <definedName name="jujujuju" localSheetId="50"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73" hidden="1">{"TAB1",#N/A,TRUE,"GENERAL";"TAB2",#N/A,TRUE,"GENERAL";"TAB3",#N/A,TRUE,"GENERAL";"TAB4",#N/A,TRUE,"GENERAL";"TAB5",#N/A,TRUE,"GENERAL"}</definedName>
    <definedName name="jujujuju" hidden="1">{"TAB1",#N/A,TRUE,"GENERAL";"TAB2",#N/A,TRUE,"GENERAL";"TAB3",#N/A,TRUE,"GENERAL";"TAB4",#N/A,TRUE,"GENERAL";"TAB5",#N/A,TRUE,"GENERAL"}</definedName>
    <definedName name="JUJYYY" localSheetId="1">#REF!</definedName>
    <definedName name="JUJYYY">#REF!</definedName>
    <definedName name="jun" localSheetId="1">#REF!</definedName>
    <definedName name="jun">#REF!</definedName>
    <definedName name="juuuhb" localSheetId="50"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73" hidden="1">{"TAB1",#N/A,TRUE,"GENERAL";"TAB2",#N/A,TRUE,"GENERAL";"TAB3",#N/A,TRUE,"GENERAL";"TAB4",#N/A,TRUE,"GENERAL";"TAB5",#N/A,TRUE,"GENERAL"}</definedName>
    <definedName name="juuuhb" hidden="1">{"TAB1",#N/A,TRUE,"GENERAL";"TAB2",#N/A,TRUE,"GENERAL";"TAB3",#N/A,TRUE,"GENERAL";"TAB4",#N/A,TRUE,"GENERAL";"TAB5",#N/A,TRUE,"GENERAL"}</definedName>
    <definedName name="juy" localSheetId="1">#REF!</definedName>
    <definedName name="juy">#REF!</definedName>
    <definedName name="jyjt7" localSheetId="50" hidden="1">{"via1",#N/A,TRUE,"general";"via2",#N/A,TRUE,"general";"via3",#N/A,TRUE,"general"}</definedName>
    <definedName name="jyjt7" localSheetId="1" hidden="1">{"via1",#N/A,TRUE,"general";"via2",#N/A,TRUE,"general";"via3",#N/A,TRUE,"general"}</definedName>
    <definedName name="jyjt7" localSheetId="73" hidden="1">{"via1",#N/A,TRUE,"general";"via2",#N/A,TRUE,"general";"via3",#N/A,TRUE,"general"}</definedName>
    <definedName name="jyjt7" hidden="1">{"via1",#N/A,TRUE,"general";"via2",#N/A,TRUE,"general";"via3",#N/A,TRUE,"general"}</definedName>
    <definedName name="jyt" localSheetId="50" hidden="1">{"via1",#N/A,TRUE,"general";"via2",#N/A,TRUE,"general";"via3",#N/A,TRUE,"general"}</definedName>
    <definedName name="jyt" localSheetId="1" hidden="1">{"via1",#N/A,TRUE,"general";"via2",#N/A,TRUE,"general";"via3",#N/A,TRUE,"general"}</definedName>
    <definedName name="jyt" localSheetId="73" hidden="1">{"via1",#N/A,TRUE,"general";"via2",#N/A,TRUE,"general";"via3",#N/A,TRUE,"general"}</definedName>
    <definedName name="jyt" hidden="1">{"via1",#N/A,TRUE,"general";"via2",#N/A,TRUE,"general";"via3",#N/A,TRUE,"general"}</definedName>
    <definedName name="jytj" localSheetId="50" hidden="1">{"via1",#N/A,TRUE,"general";"via2",#N/A,TRUE,"general";"via3",#N/A,TRUE,"general"}</definedName>
    <definedName name="jytj" localSheetId="1" hidden="1">{"via1",#N/A,TRUE,"general";"via2",#N/A,TRUE,"general";"via3",#N/A,TRUE,"general"}</definedName>
    <definedName name="jytj" localSheetId="73" hidden="1">{"via1",#N/A,TRUE,"general";"via2",#N/A,TRUE,"general";"via3",#N/A,TRUE,"general"}</definedName>
    <definedName name="jytj" hidden="1">{"via1",#N/A,TRUE,"general";"via2",#N/A,TRUE,"general";"via3",#N/A,TRUE,"general"}</definedName>
    <definedName name="jyuju" localSheetId="50" hidden="1">{"via1",#N/A,TRUE,"general";"via2",#N/A,TRUE,"general";"via3",#N/A,TRUE,"general"}</definedName>
    <definedName name="jyuju" localSheetId="1" hidden="1">{"via1",#N/A,TRUE,"general";"via2",#N/A,TRUE,"general";"via3",#N/A,TRUE,"general"}</definedName>
    <definedName name="jyuju" localSheetId="73" hidden="1">{"via1",#N/A,TRUE,"general";"via2",#N/A,TRUE,"general";"via3",#N/A,TRUE,"general"}</definedName>
    <definedName name="jyuju" hidden="1">{"via1",#N/A,TRUE,"general";"via2",#N/A,TRUE,"general";"via3",#N/A,TRUE,"general"}</definedName>
    <definedName name="jyujyuj" localSheetId="50" hidden="1">{"via1",#N/A,TRUE,"general";"via2",#N/A,TRUE,"general";"via3",#N/A,TRUE,"general"}</definedName>
    <definedName name="jyujyuj" localSheetId="1" hidden="1">{"via1",#N/A,TRUE,"general";"via2",#N/A,TRUE,"general";"via3",#N/A,TRUE,"general"}</definedName>
    <definedName name="jyujyuj" localSheetId="73"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a" localSheetId="1">#REF!</definedName>
    <definedName name="ka">#REF!</definedName>
    <definedName name="kdmfm" localSheetId="1" hidden="1">#REF!</definedName>
    <definedName name="kdmfm" hidden="1">#REF!</definedName>
    <definedName name="keyber" localSheetId="1">#REF!</definedName>
    <definedName name="keyber">#REF!</definedName>
    <definedName name="KFHJ" localSheetId="50" hidden="1">{#N/A,#N/A,TRUE,"INGENIERIA";#N/A,#N/A,TRUE,"COMPRAS";#N/A,#N/A,TRUE,"DIRECCION";#N/A,#N/A,TRUE,"RESUMEN"}</definedName>
    <definedName name="KFHJ" localSheetId="1" hidden="1">{#N/A,#N/A,TRUE,"INGENIERIA";#N/A,#N/A,TRUE,"COMPRAS";#N/A,#N/A,TRUE,"DIRECCION";#N/A,#N/A,TRUE,"RESUMEN"}</definedName>
    <definedName name="KFHJ" hidden="1">{#N/A,#N/A,TRUE,"INGENIERIA";#N/A,#N/A,TRUE,"COMPRAS";#N/A,#N/A,TRUE,"DIRECCION";#N/A,#N/A,TRUE,"RESUMEN"}</definedName>
    <definedName name="KHGGH" localSheetId="50" hidden="1">{"via1",#N/A,TRUE,"general";"via2",#N/A,TRUE,"general";"via3",#N/A,TRUE,"general"}</definedName>
    <definedName name="KHGGH" localSheetId="1" hidden="1">{"via1",#N/A,TRUE,"general";"via2",#N/A,TRUE,"general";"via3",#N/A,TRUE,"general"}</definedName>
    <definedName name="KHGGH" localSheetId="73" hidden="1">{"via1",#N/A,TRUE,"general";"via2",#N/A,TRUE,"general";"via3",#N/A,TRUE,"general"}</definedName>
    <definedName name="KHGGH" hidden="1">{"via1",#N/A,TRUE,"general";"via2",#N/A,TRUE,"general";"via3",#N/A,TRUE,"general"}</definedName>
    <definedName name="khjk7" localSheetId="50" hidden="1">{"TAB1",#N/A,TRUE,"GENERAL";"TAB2",#N/A,TRUE,"GENERAL";"TAB3",#N/A,TRUE,"GENERAL";"TAB4",#N/A,TRUE,"GENERAL";"TAB5",#N/A,TRUE,"GENERAL"}</definedName>
    <definedName name="khjk7" localSheetId="1" hidden="1">{"TAB1",#N/A,TRUE,"GENERAL";"TAB2",#N/A,TRUE,"GENERAL";"TAB3",#N/A,TRUE,"GENERAL";"TAB4",#N/A,TRUE,"GENERAL";"TAB5",#N/A,TRUE,"GENERAL"}</definedName>
    <definedName name="khjk7" localSheetId="73" hidden="1">{"TAB1",#N/A,TRUE,"GENERAL";"TAB2",#N/A,TRUE,"GENERAL";"TAB3",#N/A,TRUE,"GENERAL";"TAB4",#N/A,TRUE,"GENERAL";"TAB5",#N/A,TRUE,"GENERAL"}</definedName>
    <definedName name="khjk7" hidden="1">{"TAB1",#N/A,TRUE,"GENERAL";"TAB2",#N/A,TRUE,"GENERAL";"TAB3",#N/A,TRUE,"GENERAL";"TAB4",#N/A,TRUE,"GENERAL";"TAB5",#N/A,TRUE,"GENERAL"}</definedName>
    <definedName name="Ki" localSheetId="1">#REF!</definedName>
    <definedName name="Ki">#REF!</definedName>
    <definedName name="kikik" localSheetId="50" hidden="1">{"via1",#N/A,TRUE,"general";"via2",#N/A,TRUE,"general";"via3",#N/A,TRUE,"general"}</definedName>
    <definedName name="kikik" localSheetId="1" hidden="1">{"via1",#N/A,TRUE,"general";"via2",#N/A,TRUE,"general";"via3",#N/A,TRUE,"general"}</definedName>
    <definedName name="kikik" localSheetId="73" hidden="1">{"via1",#N/A,TRUE,"general";"via2",#N/A,TRUE,"general";"via3",#N/A,TRUE,"general"}</definedName>
    <definedName name="kikik" hidden="1">{"via1",#N/A,TRUE,"general";"via2",#N/A,TRUE,"general";"via3",#N/A,TRUE,"general"}</definedName>
    <definedName name="kio" localSheetId="1">#REF!</definedName>
    <definedName name="kio">#REF!</definedName>
    <definedName name="kip" localSheetId="1">#REF!</definedName>
    <definedName name="kip">#REF!</definedName>
    <definedName name="KJH" localSheetId="1">#REF!</definedName>
    <definedName name="KJH">#REF!</definedName>
    <definedName name="kjhkd" localSheetId="50" hidden="1">{"via1",#N/A,TRUE,"general";"via2",#N/A,TRUE,"general";"via3",#N/A,TRUE,"general"}</definedName>
    <definedName name="kjhkd" localSheetId="1" hidden="1">{"via1",#N/A,TRUE,"general";"via2",#N/A,TRUE,"general";"via3",#N/A,TRUE,"general"}</definedName>
    <definedName name="kjhkd" localSheetId="73" hidden="1">{"via1",#N/A,TRUE,"general";"via2",#N/A,TRUE,"general";"via3",#N/A,TRUE,"general"}</definedName>
    <definedName name="kjhkd" hidden="1">{"via1",#N/A,TRUE,"general";"via2",#N/A,TRUE,"general";"via3",#N/A,TRUE,"general"}</definedName>
    <definedName name="kjk" localSheetId="50" hidden="1">{"via1",#N/A,TRUE,"general";"via2",#N/A,TRUE,"general";"via3",#N/A,TRUE,"general"}</definedName>
    <definedName name="kjk" localSheetId="1" hidden="1">{"via1",#N/A,TRUE,"general";"via2",#N/A,TRUE,"general";"via3",#N/A,TRUE,"general"}</definedName>
    <definedName name="kjk" localSheetId="73" hidden="1">{"via1",#N/A,TRUE,"general";"via2",#N/A,TRUE,"general";"via3",#N/A,TRUE,"general"}</definedName>
    <definedName name="kjk" hidden="1">{"via1",#N/A,TRUE,"general";"via2",#N/A,TRUE,"general";"via3",#N/A,TRUE,"general"}</definedName>
    <definedName name="kjtrkjr" localSheetId="50" hidden="1">{"via1",#N/A,TRUE,"general";"via2",#N/A,TRUE,"general";"via3",#N/A,TRUE,"general"}</definedName>
    <definedName name="kjtrkjr" localSheetId="1" hidden="1">{"via1",#N/A,TRUE,"general";"via2",#N/A,TRUE,"general";"via3",#N/A,TRUE,"general"}</definedName>
    <definedName name="kjtrkjr" localSheetId="73" hidden="1">{"via1",#N/A,TRUE,"general";"via2",#N/A,TRUE,"general";"via3",#N/A,TRUE,"general"}</definedName>
    <definedName name="kjtrkjr" hidden="1">{"via1",#N/A,TRUE,"general";"via2",#N/A,TRUE,"general";"via3",#N/A,TRUE,"general"}</definedName>
    <definedName name="kk" localSheetId="50" hidden="1">{#N/A,#N/A,TRUE,"INGENIERIA";#N/A,#N/A,TRUE,"COMPRAS";#N/A,#N/A,TRUE,"DIRECCION";#N/A,#N/A,TRUE,"RESUMEN"}</definedName>
    <definedName name="kk" localSheetId="1" hidden="1">{#N/A,#N/A,TRUE,"INGENIERIA";#N/A,#N/A,TRUE,"COMPRAS";#N/A,#N/A,TRUE,"DIRECCION";#N/A,#N/A,TRUE,"RESUMEN"}</definedName>
    <definedName name="kk" hidden="1">{#N/A,#N/A,TRUE,"INGENIERIA";#N/A,#N/A,TRUE,"COMPRAS";#N/A,#N/A,TRUE,"DIRECCION";#N/A,#N/A,TRUE,"RESUMEN"}</definedName>
    <definedName name="kkkki" localSheetId="50" hidden="1">{"via1",#N/A,TRUE,"general";"via2",#N/A,TRUE,"general";"via3",#N/A,TRUE,"general"}</definedName>
    <definedName name="kkkki" localSheetId="1" hidden="1">{"via1",#N/A,TRUE,"general";"via2",#N/A,TRUE,"general";"via3",#N/A,TRUE,"general"}</definedName>
    <definedName name="kkkki" localSheetId="73" hidden="1">{"via1",#N/A,TRUE,"general";"via2",#N/A,TRUE,"general";"via3",#N/A,TRUE,"general"}</definedName>
    <definedName name="kkkki" hidden="1">{"via1",#N/A,TRUE,"general";"via2",#N/A,TRUE,"general";"via3",#N/A,TRUE,"general"}</definedName>
    <definedName name="kkkkkki" localSheetId="50"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73" hidden="1">{"TAB1",#N/A,TRUE,"GENERAL";"TAB2",#N/A,TRUE,"GENERAL";"TAB3",#N/A,TRUE,"GENERAL";"TAB4",#N/A,TRUE,"GENERAL";"TAB5",#N/A,TRUE,"GENERAL"}</definedName>
    <definedName name="kkkkkki" hidden="1">{"TAB1",#N/A,TRUE,"GENERAL";"TAB2",#N/A,TRUE,"GENERAL";"TAB3",#N/A,TRUE,"GENERAL";"TAB4",#N/A,TRUE,"GENERAL";"TAB5",#N/A,TRUE,"GENERAL"}</definedName>
    <definedName name="kl" localSheetId="1">#REF!</definedName>
    <definedName name="kl">#REF!</definedName>
    <definedName name="KLFG" localSheetId="5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LFG"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LF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ñy" localSheetId="1">#REF!</definedName>
    <definedName name="kñy">#REF!</definedName>
    <definedName name="krtrk" localSheetId="50" hidden="1">{"via1",#N/A,TRUE,"general";"via2",#N/A,TRUE,"general";"via3",#N/A,TRUE,"general"}</definedName>
    <definedName name="krtrk" localSheetId="1" hidden="1">{"via1",#N/A,TRUE,"general";"via2",#N/A,TRUE,"general";"via3",#N/A,TRUE,"general"}</definedName>
    <definedName name="krtrk" localSheetId="73" hidden="1">{"via1",#N/A,TRUE,"general";"via2",#N/A,TRUE,"general";"via3",#N/A,TRUE,"general"}</definedName>
    <definedName name="krtrk" hidden="1">{"via1",#N/A,TRUE,"general";"via2",#N/A,TRUE,"general";"via3",#N/A,TRUE,"general"}</definedName>
    <definedName name="kuh" localSheetId="1">#REF!</definedName>
    <definedName name="kuh">#REF!</definedName>
    <definedName name="kuy" localSheetId="1">#REF!</definedName>
    <definedName name="kuy">#REF!</definedName>
    <definedName name="kyr" localSheetId="50" hidden="1">{"TAB1",#N/A,TRUE,"GENERAL";"TAB2",#N/A,TRUE,"GENERAL";"TAB3",#N/A,TRUE,"GENERAL";"TAB4",#N/A,TRUE,"GENERAL";"TAB5",#N/A,TRUE,"GENERAL"}</definedName>
    <definedName name="kyr" localSheetId="1" hidden="1">{"TAB1",#N/A,TRUE,"GENERAL";"TAB2",#N/A,TRUE,"GENERAL";"TAB3",#N/A,TRUE,"GENERAL";"TAB4",#N/A,TRUE,"GENERAL";"TAB5",#N/A,TRUE,"GENERAL"}</definedName>
    <definedName name="kyr" localSheetId="73"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_L">#N/A</definedName>
    <definedName name="La" localSheetId="50">#REF!</definedName>
    <definedName name="La" localSheetId="1">#REF!</definedName>
    <definedName name="La">#REF!</definedName>
    <definedName name="LADRILLO" localSheetId="50">#REF!</definedName>
    <definedName name="LADRILLO" localSheetId="1">#REF!</definedName>
    <definedName name="LADRILLO">#REF!</definedName>
    <definedName name="lame" localSheetId="50" hidden="1">#REF!</definedName>
    <definedName name="lame" localSheetId="1" hidden="1">#REF!</definedName>
    <definedName name="lame" hidden="1">#REF!</definedName>
    <definedName name="LAMPARATOT" localSheetId="1">#REF!</definedName>
    <definedName name="LAMPARATOT">#REF!</definedName>
    <definedName name="Last_Row">#N/A</definedName>
    <definedName name="LAVAB" localSheetId="1">#REF!</definedName>
    <definedName name="LAVAB">#REF!</definedName>
    <definedName name="LAVABLA" localSheetId="1">#REF!</definedName>
    <definedName name="LAVABLA">#REF!</definedName>
    <definedName name="Lavamanos" localSheetId="1">#REF!</definedName>
    <definedName name="Lavamanos">#REF!</definedName>
    <definedName name="LAVANOVATOT" localSheetId="1">#REF!</definedName>
    <definedName name="LAVANOVATOT">#REF!</definedName>
    <definedName name="Lavaplatos" localSheetId="1">#REF!</definedName>
    <definedName name="Lavaplatos">#REF!</definedName>
    <definedName name="LAVAPLATOT" localSheetId="1">#REF!</definedName>
    <definedName name="LAVAPLATOT">#REF!</definedName>
    <definedName name="Lb" localSheetId="1">#REF!</definedName>
    <definedName name="Lb">#REF!</definedName>
    <definedName name="Ld" localSheetId="1">#REF!</definedName>
    <definedName name="Ld">#REF!</definedName>
    <definedName name="LDJF" localSheetId="50" hidden="1">{#N/A,#N/A,TRUE,"INGENIERIA";#N/A,#N/A,TRUE,"COMPRAS";#N/A,#N/A,TRUE,"DIRECCION";#N/A,#N/A,TRUE,"RESUMEN"}</definedName>
    <definedName name="LDJF" localSheetId="1" hidden="1">{#N/A,#N/A,TRUE,"INGENIERIA";#N/A,#N/A,TRUE,"COMPRAS";#N/A,#N/A,TRUE,"DIRECCION";#N/A,#N/A,TRUE,"RESUMEN"}</definedName>
    <definedName name="LDJF" hidden="1">{#N/A,#N/A,TRUE,"INGENIERIA";#N/A,#N/A,TRUE,"COMPRAS";#N/A,#N/A,TRUE,"DIRECCION";#N/A,#N/A,TRUE,"RESUMEN"}</definedName>
    <definedName name="Le" localSheetId="1">#REF!</definedName>
    <definedName name="Le">#REF!</definedName>
    <definedName name="Left_Header" localSheetId="1" hidden="1">#REF!</definedName>
    <definedName name="Left_Header" hidden="1">#REF!</definedName>
    <definedName name="lev0.1" localSheetId="1">#REF!</definedName>
    <definedName name="lev0.1">#REF!</definedName>
    <definedName name="LEVANTE10" localSheetId="1">#REF!</definedName>
    <definedName name="LEVANTE10">#REF!</definedName>
    <definedName name="LEVANTE20" localSheetId="1">#REF!</definedName>
    <definedName name="LEVANTE20">#REF!</definedName>
    <definedName name="Lf" localSheetId="1">#REF!</definedName>
    <definedName name="Lf">#REF!</definedName>
    <definedName name="LGK" localSheetId="50" hidden="1">{#N/A,#N/A,TRUE,"INGENIERIA";#N/A,#N/A,TRUE,"COMPRAS";#N/A,#N/A,TRUE,"DIRECCION";#N/A,#N/A,TRUE,"RESUMEN"}</definedName>
    <definedName name="LGK" localSheetId="1" hidden="1">{#N/A,#N/A,TRUE,"INGENIERIA";#N/A,#N/A,TRUE,"COMPRAS";#N/A,#N/A,TRUE,"DIRECCION";#N/A,#N/A,TRUE,"RESUMEN"}</definedName>
    <definedName name="LGK" hidden="1">{#N/A,#N/A,TRUE,"INGENIERIA";#N/A,#N/A,TRUE,"COMPRAS";#N/A,#N/A,TRUE,"DIRECCION";#N/A,#N/A,TRUE,"RESUMEN"}</definedName>
    <definedName name="Lh" localSheetId="1">#REF!</definedName>
    <definedName name="Lh">#REF!</definedName>
    <definedName name="Li" localSheetId="1">#REF!</definedName>
    <definedName name="Li">#REF!</definedName>
    <definedName name="LICITACION" localSheetId="1">#REF!</definedName>
    <definedName name="LICITACION">#REF!</definedName>
    <definedName name="LIMATESA" localSheetId="1">#REF!</definedName>
    <definedName name="LIMATESA">#REF!</definedName>
    <definedName name="limcount" hidden="1">1</definedName>
    <definedName name="LIMP" localSheetId="1">#REF!</definedName>
    <definedName name="LIMP">#REF!</definedName>
    <definedName name="LISTM" localSheetId="1">#REF!</definedName>
    <definedName name="LISTM">#REF!</definedName>
    <definedName name="LISTON_DE_2X4X15" localSheetId="1">#REF!</definedName>
    <definedName name="LISTON_DE_2X4X15">#REF!</definedName>
    <definedName name="LISTON2" localSheetId="1">#REF!</definedName>
    <definedName name="LISTON2">#REF!</definedName>
    <definedName name="LISTON4" localSheetId="50">#REF!</definedName>
    <definedName name="LISTON4" localSheetId="1">#REF!</definedName>
    <definedName name="LISTON4">#REF!</definedName>
    <definedName name="liuoo" localSheetId="50" hidden="1">{"TAB1",#N/A,TRUE,"GENERAL";"TAB2",#N/A,TRUE,"GENERAL";"TAB3",#N/A,TRUE,"GENERAL";"TAB4",#N/A,TRUE,"GENERAL";"TAB5",#N/A,TRUE,"GENERAL"}</definedName>
    <definedName name="liuoo" localSheetId="1" hidden="1">{"TAB1",#N/A,TRUE,"GENERAL";"TAB2",#N/A,TRUE,"GENERAL";"TAB3",#N/A,TRUE,"GENERAL";"TAB4",#N/A,TRUE,"GENERAL";"TAB5",#N/A,TRUE,"GENERAL"}</definedName>
    <definedName name="liuoo" localSheetId="73" hidden="1">{"TAB1",#N/A,TRUE,"GENERAL";"TAB2",#N/A,TRUE,"GENERAL";"TAB3",#N/A,TRUE,"GENERAL";"TAB4",#N/A,TRUE,"GENERAL";"TAB5",#N/A,TRUE,"GENERAL"}</definedName>
    <definedName name="liuoo" hidden="1">{"TAB1",#N/A,TRUE,"GENERAL";"TAB2",#N/A,TRUE,"GENERAL";"TAB3",#N/A,TRUE,"GENERAL";"TAB4",#N/A,TRUE,"GENERAL";"TAB5",#N/A,TRUE,"GENERAL"}</definedName>
    <definedName name="Lj" localSheetId="1">#REF!</definedName>
    <definedName name="Lj">#REF!</definedName>
    <definedName name="Lk" localSheetId="1">#REF!</definedName>
    <definedName name="Lk">#REF!</definedName>
    <definedName name="lkj" localSheetId="50" hidden="1">{"via1",#N/A,TRUE,"general";"via2",#N/A,TRUE,"general";"via3",#N/A,TRUE,"general"}</definedName>
    <definedName name="lkj" localSheetId="1" hidden="1">{"via1",#N/A,TRUE,"general";"via2",#N/A,TRUE,"general";"via3",#N/A,TRUE,"general"}</definedName>
    <definedName name="lkj" localSheetId="73" hidden="1">{"via1",#N/A,TRUE,"general";"via2",#N/A,TRUE,"general";"via3",#N/A,TRUE,"general"}</definedName>
    <definedName name="lkj" hidden="1">{"via1",#N/A,TRUE,"general";"via2",#N/A,TRUE,"general";"via3",#N/A,TRUE,"general"}</definedName>
    <definedName name="LKJLJK" localSheetId="50"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73" hidden="1">{"TAB1",#N/A,TRUE,"GENERAL";"TAB2",#N/A,TRUE,"GENERAL";"TAB3",#N/A,TRUE,"GENERAL";"TAB4",#N/A,TRUE,"GENERAL";"TAB5",#N/A,TRUE,"GENERAL"}</definedName>
    <definedName name="LKJLJK" hidden="1">{"TAB1",#N/A,TRUE,"GENERAL";"TAB2",#N/A,TRUE,"GENERAL";"TAB3",#N/A,TRUE,"GENERAL";"TAB4",#N/A,TRUE,"GENERAL";"TAB5",#N/A,TRUE,"GENERAL"}</definedName>
    <definedName name="LL" localSheetId="5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localSheetId="73"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VE_DE_CHORRO_1_2" localSheetId="1">#REF!</definedName>
    <definedName name="LLAVE_DE_CHORRO_1_2">#REF!</definedName>
    <definedName name="LLAVE_DE_PASO_1_2" localSheetId="1">#REF!</definedName>
    <definedName name="LLAVE_DE_PASO_1_2">#REF!</definedName>
    <definedName name="LLAVE1_2" localSheetId="1">#REF!</definedName>
    <definedName name="LLAVE1_2">#REF!</definedName>
    <definedName name="LLAVE3_4TOT" localSheetId="1">#REF!</definedName>
    <definedName name="LLAVE3_4TOT">#REF!</definedName>
    <definedName name="LLAVEMANGUETOT" localSheetId="1">#REF!</definedName>
    <definedName name="LLAVEMANGUETOT">#REF!</definedName>
    <definedName name="Lll" localSheetId="1">#REF!</definedName>
    <definedName name="Lll">#REF!</definedName>
    <definedName name="lllllh" localSheetId="50" hidden="1">{"via1",#N/A,TRUE,"general";"via2",#N/A,TRUE,"general";"via3",#N/A,TRUE,"general"}</definedName>
    <definedName name="lllllh" localSheetId="1" hidden="1">{"via1",#N/A,TRUE,"general";"via2",#N/A,TRUE,"general";"via3",#N/A,TRUE,"general"}</definedName>
    <definedName name="lllllh" localSheetId="73" hidden="1">{"via1",#N/A,TRUE,"general";"via2",#N/A,TRUE,"general";"via3",#N/A,TRUE,"general"}</definedName>
    <definedName name="lllllh" hidden="1">{"via1",#N/A,TRUE,"general";"via2",#N/A,TRUE,"general";"via3",#N/A,TRUE,"general"}</definedName>
    <definedName name="lllllllo" localSheetId="50" hidden="1">{"via1",#N/A,TRUE,"general";"via2",#N/A,TRUE,"general";"via3",#N/A,TRUE,"general"}</definedName>
    <definedName name="lllllllo" localSheetId="1" hidden="1">{"via1",#N/A,TRUE,"general";"via2",#N/A,TRUE,"general";"via3",#N/A,TRUE,"general"}</definedName>
    <definedName name="lllllllo" localSheetId="73" hidden="1">{"via1",#N/A,TRUE,"general";"via2",#N/A,TRUE,"general";"via3",#N/A,TRUE,"general"}</definedName>
    <definedName name="lllllllo" hidden="1">{"via1",#N/A,TRUE,"general";"via2",#N/A,TRUE,"general";"via3",#N/A,TRUE,"general"}</definedName>
    <definedName name="Lm" localSheetId="1">#REF!</definedName>
    <definedName name="Lm">#REF!</definedName>
    <definedName name="Ln" localSheetId="1">#REF!</definedName>
    <definedName name="Ln">#REF!</definedName>
    <definedName name="Lñ" localSheetId="1">#REF!</definedName>
    <definedName name="Lñ">#REF!</definedName>
    <definedName name="LÑP" localSheetId="1">#REF!</definedName>
    <definedName name="LÑP">#REF!</definedName>
    <definedName name="Lo" localSheetId="1">#REF!</definedName>
    <definedName name="Lo">#REF!</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I" localSheetId="50">#REF!</definedName>
    <definedName name="LOI" localSheetId="1">#REF!</definedName>
    <definedName name="LOI">#REF!</definedName>
    <definedName name="lolol" localSheetId="50" hidden="1">{"TAB1",#N/A,TRUE,"GENERAL";"TAB2",#N/A,TRUE,"GENERAL";"TAB3",#N/A,TRUE,"GENERAL";"TAB4",#N/A,TRUE,"GENERAL";"TAB5",#N/A,TRUE,"GENERAL"}</definedName>
    <definedName name="lolol" localSheetId="1" hidden="1">{"TAB1",#N/A,TRUE,"GENERAL";"TAB2",#N/A,TRUE,"GENERAL";"TAB3",#N/A,TRUE,"GENERAL";"TAB4",#N/A,TRUE,"GENERAL";"TAB5",#N/A,TRUE,"GENERAL"}</definedName>
    <definedName name="lolol" localSheetId="73" hidden="1">{"TAB1",#N/A,TRUE,"GENERAL";"TAB2",#N/A,TRUE,"GENERAL";"TAB3",#N/A,TRUE,"GENERAL";"TAB4",#N/A,TRUE,"GENERAL";"TAB5",#N/A,TRUE,"GENERAL"}</definedName>
    <definedName name="lolol" hidden="1">{"TAB1",#N/A,TRUE,"GENERAL";"TAB2",#N/A,TRUE,"GENERAL";"TAB3",#N/A,TRUE,"GENERAL";"TAB4",#N/A,TRUE,"GENERAL";"TAB5",#N/A,TRUE,"GENERAL"}</definedName>
    <definedName name="LOPE" localSheetId="1">#REF!</definedName>
    <definedName name="LOPE">#REF!</definedName>
    <definedName name="LOSETA" localSheetId="1">#REF!</definedName>
    <definedName name="LOSETA">#REF!</definedName>
    <definedName name="Lp" localSheetId="1">#REF!</definedName>
    <definedName name="Lp">#REF!</definedName>
    <definedName name="lplpl" localSheetId="50" hidden="1">{"via1",#N/A,TRUE,"general";"via2",#N/A,TRUE,"general";"via3",#N/A,TRUE,"general"}</definedName>
    <definedName name="lplpl" localSheetId="1" hidden="1">{"via1",#N/A,TRUE,"general";"via2",#N/A,TRUE,"general";"via3",#N/A,TRUE,"general"}</definedName>
    <definedName name="lplpl" localSheetId="73" hidden="1">{"via1",#N/A,TRUE,"general";"via2",#N/A,TRUE,"general";"via3",#N/A,TRUE,"general"}</definedName>
    <definedName name="lplpl" hidden="1">{"via1",#N/A,TRUE,"general";"via2",#N/A,TRUE,"general";"via3",#N/A,TRUE,"general"}</definedName>
    <definedName name="Lq" localSheetId="1">#REF!</definedName>
    <definedName name="Lq">#REF!</definedName>
    <definedName name="Lr" localSheetId="1">#REF!</definedName>
    <definedName name="Lr">#REF!</definedName>
    <definedName name="Ls" localSheetId="1">#REF!</definedName>
    <definedName name="Ls">#REF!</definedName>
    <definedName name="Lt" localSheetId="1">#REF!</definedName>
    <definedName name="Lt">#REF!</definedName>
    <definedName name="Lu" localSheetId="1">#REF!</definedName>
    <definedName name="Lu">#REF!</definedName>
    <definedName name="Lubricante_PVC" localSheetId="1">#REF!</definedName>
    <definedName name="Lubricante_PVC">#REF!</definedName>
    <definedName name="LUCY" localSheetId="2">OFFSET([0]!Full_Print,0,0,'1.01'!LOCA)</definedName>
    <definedName name="LUCY" localSheetId="3">OFFSET([0]!Full_Print,0,0,'1.02'!LOCA)</definedName>
    <definedName name="LUCY" localSheetId="4">OFFSET([0]!Full_Print,0,0,'1.03'!LOCA)</definedName>
    <definedName name="LUCY" localSheetId="5">OFFSET([0]!Full_Print,0,0,'1.04'!LOCA)</definedName>
    <definedName name="LUCY" localSheetId="6">OFFSET([0]!Full_Print,0,0,'2.01'!LOCA)</definedName>
    <definedName name="LUCY" localSheetId="7">OFFSET([0]!Full_Print,0,0,'2.02'!LOCA)</definedName>
    <definedName name="LUCY" localSheetId="8">OFFSET([0]!Full_Print,0,0,'2.03'!LOCA)</definedName>
    <definedName name="LUCY" localSheetId="9">OFFSET([0]!Full_Print,0,0,'2.04'!LOCA)</definedName>
    <definedName name="LUCY" localSheetId="10">OFFSET([0]!Full_Print,0,0,'2.05'!LOCA)</definedName>
    <definedName name="LUCY" localSheetId="11">OFFSET([0]!Full_Print,0,0,'2.06'!LOCA)</definedName>
    <definedName name="LUCY" localSheetId="12">OFFSET([0]!Full_Print,0,0,'2.07'!LOCA)</definedName>
    <definedName name="LUCY" localSheetId="13">OFFSET([0]!Full_Print,0,0,'2.08'!LOCA)</definedName>
    <definedName name="LUCY" localSheetId="14">OFFSET([0]!Full_Print,0,0,'3.01'!LOCA)</definedName>
    <definedName name="LUCY" localSheetId="15">OFFSET([0]!Full_Print,0,0,'3.02'!LOCA)</definedName>
    <definedName name="LUCY" localSheetId="16">OFFSET([0]!Full_Print,0,0,'3.03'!LOCA)</definedName>
    <definedName name="LUCY" localSheetId="17">OFFSET([0]!Full_Print,0,0,'3.04'!LOCA)</definedName>
    <definedName name="LUCY" localSheetId="18">OFFSET([0]!Full_Print,0,0,'3.05'!LOCA)</definedName>
    <definedName name="LUCY" localSheetId="19">OFFSET([0]!Full_Print,0,0,'3.06'!LOCA)</definedName>
    <definedName name="LUCY" localSheetId="20">OFFSET([0]!Full_Print,0,0,'4.01'!LOCA)</definedName>
    <definedName name="LUCY" localSheetId="21">OFFSET([0]!Full_Print,0,0,'4.02'!LOCA)</definedName>
    <definedName name="LUCY" localSheetId="22">OFFSET([0]!Full_Print,0,0,'4.03'!LOCA)</definedName>
    <definedName name="LUCY" localSheetId="23">OFFSET([0]!Full_Print,0,0,'4.04'!LOCA)</definedName>
    <definedName name="LUCY" localSheetId="24">OFFSET([0]!Full_Print,0,0,'4.05'!LOCA)</definedName>
    <definedName name="LUCY" localSheetId="25">OFFSET([0]!Full_Print,0,0,'4.06'!LOCA)</definedName>
    <definedName name="LUCY" localSheetId="26">OFFSET([0]!Full_Print,0,0,'4.07'!LOCA)</definedName>
    <definedName name="LUCY" localSheetId="27">OFFSET([0]!Full_Print,0,0,'4.08'!LOCA)</definedName>
    <definedName name="LUCY" localSheetId="28">OFFSET([0]!Full_Print,0,0,'4.09'!LOCA)</definedName>
    <definedName name="LUCY" localSheetId="29">OFFSET([0]!Full_Print,0,0,'5.01'!LOCA)</definedName>
    <definedName name="LUCY" localSheetId="30">OFFSET([0]!Full_Print,0,0,'5.02'!LOCA)</definedName>
    <definedName name="LUCY" localSheetId="31">OFFSET([0]!Full_Print,0,0,'5.03'!LOCA)</definedName>
    <definedName name="LUCY" localSheetId="32">OFFSET([0]!Full_Print,0,0,'5.04'!LOCA)</definedName>
    <definedName name="LUCY" localSheetId="33">OFFSET([0]!Full_Print,0,0,'5.05'!LOCA)</definedName>
    <definedName name="LUCY" localSheetId="34">OFFSET([0]!Full_Print,0,0,'5.06'!LOCA)</definedName>
    <definedName name="LUCY" localSheetId="35">OFFSET([0]!Full_Print,0,0,'5.07'!LOCA)</definedName>
    <definedName name="LUCY" localSheetId="36">OFFSET([0]!Full_Print,0,0,'5.08'!LOCA)</definedName>
    <definedName name="LUCY" localSheetId="37">OFFSET([0]!Full_Print,0,0,'5.09'!LOCA)</definedName>
    <definedName name="LUCY" localSheetId="39">OFFSET([0]!Full_Print,0,0,'6.01'!LOCA)</definedName>
    <definedName name="LUCY" localSheetId="40">OFFSET([0]!Full_Print,0,0,'6.02'!LOCA)</definedName>
    <definedName name="LUCY" localSheetId="41">OFFSET([0]!Full_Print,0,0,'6.03'!LOCA)</definedName>
    <definedName name="LUCY" localSheetId="42">OFFSET([0]!Full_Print,0,0,'6.04'!LOCA)</definedName>
    <definedName name="LUCY" localSheetId="43">OFFSET([0]!Full_Print,0,0,'6.05'!LOCA)</definedName>
    <definedName name="LUCY" localSheetId="44">OFFSET([0]!Full_Print,0,0,'6.06'!LOCA)</definedName>
    <definedName name="LUCY" localSheetId="45">OFFSET([0]!Full_Print,0,0,'6.07'!LOCA)</definedName>
    <definedName name="LUCY" localSheetId="46">OFFSET([0]!Full_Print,0,0,'6.08'!LOCA)</definedName>
    <definedName name="LUCY" localSheetId="47">OFFSET([0]!Full_Print,0,0,'6.09'!LOCA)</definedName>
    <definedName name="LUCY" localSheetId="48">OFFSET([0]!Full_Print,0,0,'6.10'!LOCA)</definedName>
    <definedName name="LUCY" localSheetId="49">OFFSET([0]!Full_Print,0,0,'6.11'!LOCA)</definedName>
    <definedName name="LUCY" localSheetId="50">OFFSET([0]!Full_Print,0,0,'6.12'!LOCA)</definedName>
    <definedName name="LUCY" localSheetId="51">OFFSET([0]!Full_Print,0,0,'6.13'!LOCA)</definedName>
    <definedName name="LUCY" localSheetId="52">OFFSET([0]!Full_Print,0,0,'6.14'!LOCA)</definedName>
    <definedName name="LUCY" localSheetId="53">OFFSET([0]!Full_Print,0,0,'7.01'!LOCA)</definedName>
    <definedName name="LUCY" localSheetId="54">OFFSET([0]!Full_Print,0,0,'7.02'!LOCA)</definedName>
    <definedName name="LUCY" localSheetId="55">OFFSET([0]!Full_Print,0,0,'7.03'!LOCA)</definedName>
    <definedName name="LUCY" localSheetId="56">OFFSET([0]!Full_Print,0,0,'7.04'!LOCA)</definedName>
    <definedName name="LUCY" localSheetId="57">OFFSET([0]!Full_Print,0,0,'7.05'!LOCA)</definedName>
    <definedName name="LUCY" localSheetId="58">OFFSET([0]!Full_Print,0,0,'7.06'!LOCA)</definedName>
    <definedName name="LUCY" localSheetId="59">OFFSET([0]!Full_Print,0,0,'7.07'!LOCA)</definedName>
    <definedName name="LUCY" localSheetId="60">OFFSET([0]!Full_Print,0,0,'7.08'!LOCA)</definedName>
    <definedName name="LUCY" localSheetId="61">OFFSET([0]!Full_Print,0,0,'7.09'!LOCA)</definedName>
    <definedName name="LUCY" localSheetId="62">OFFSET([0]!Full_Print,0,0,'7.10'!LOCA)</definedName>
    <definedName name="LUCY" localSheetId="63">OFFSET([0]!Full_Print,0,0,'7.11'!LOCA)</definedName>
    <definedName name="LUCY" localSheetId="64">OFFSET([0]!Full_Print,0,0,'7.12'!LOCA)</definedName>
    <definedName name="LUCY" localSheetId="65">OFFSET([0]!Full_Print,0,0,'7.13'!LOCA)</definedName>
    <definedName name="LUCY" localSheetId="66">OFFSET([0]!Full_Print,0,0,'7.14'!LOCA)</definedName>
    <definedName name="LUCY" localSheetId="67">OFFSET([0]!Full_Print,0,0,'7.15'!LOCA)</definedName>
    <definedName name="LUCY" localSheetId="68">OFFSET([0]!Full_Print,0,0,'7.16'!LOCA)</definedName>
    <definedName name="LUCY" localSheetId="69">OFFSET([0]!Full_Print,0,0,'8.01'!LOCA)</definedName>
    <definedName name="LUCY" localSheetId="70">OFFSET([0]!Full_Print,0,0,'APU BÁSICOS'!LOCA)</definedName>
    <definedName name="LUCY" localSheetId="1">OFFSET('AU + PGIO'!Full_Print,0,0,LOCA)</definedName>
    <definedName name="LUCY">OFFSET(Full_Print,0,0,LOCA)</definedName>
    <definedName name="Lz" localSheetId="50">#REF!</definedName>
    <definedName name="Lz" localSheetId="1">#REF!</definedName>
    <definedName name="Lz">#REF!</definedName>
    <definedName name="M" localSheetId="50">#REF!</definedName>
    <definedName name="M" localSheetId="1">#REF!</definedName>
    <definedName name="M">#REF!</definedName>
    <definedName name="M.DE.OBRA">#N/A</definedName>
    <definedName name="Ma" localSheetId="50">#REF!</definedName>
    <definedName name="Ma" localSheetId="1">#REF!</definedName>
    <definedName name="Ma">#REF!</definedName>
    <definedName name="mac" localSheetId="1">#REF!</definedName>
    <definedName name="mac">#REF!</definedName>
    <definedName name="MACROMEDIDOR__3__B_x_B" localSheetId="1">#REF!</definedName>
    <definedName name="MACROMEDIDOR__3__B_x_B">#REF!</definedName>
    <definedName name="MACROMEDIDOR_4__B_x_B" localSheetId="1">#REF!</definedName>
    <definedName name="MACROMEDIDOR_4__B_x_B">#REF!</definedName>
    <definedName name="mafdsf" localSheetId="50" hidden="1">{"via1",#N/A,TRUE,"general";"via2",#N/A,TRUE,"general";"via3",#N/A,TRUE,"general"}</definedName>
    <definedName name="mafdsf" localSheetId="1" hidden="1">{"via1",#N/A,TRUE,"general";"via2",#N/A,TRUE,"general";"via3",#N/A,TRUE,"general"}</definedName>
    <definedName name="mafdsf" localSheetId="73" hidden="1">{"via1",#N/A,TRUE,"general";"via2",#N/A,TRUE,"general";"via3",#N/A,TRUE,"general"}</definedName>
    <definedName name="mafdsf" hidden="1">{"via1",#N/A,TRUE,"general";"via2",#N/A,TRUE,"general";"via3",#N/A,TRUE,"general"}</definedName>
    <definedName name="MALLA" localSheetId="1">#REF!</definedName>
    <definedName name="MALLA">#REF!</definedName>
    <definedName name="MALO4006" localSheetId="50">#REF!</definedName>
    <definedName name="MALO4006" localSheetId="1">#REF!</definedName>
    <definedName name="MALO4006">#REF!</definedName>
    <definedName name="MALO4006A" localSheetId="50">#REF!</definedName>
    <definedName name="MALO4006A" localSheetId="1">#REF!</definedName>
    <definedName name="MALO4006A">#REF!</definedName>
    <definedName name="MALO40CN01" localSheetId="50">#REF!</definedName>
    <definedName name="MALO40CN01" localSheetId="1">#REF!</definedName>
    <definedName name="MALO40CN01">#REF!</definedName>
    <definedName name="MALO40CNA" localSheetId="1">#REF!</definedName>
    <definedName name="MALO40CNA">#REF!</definedName>
    <definedName name="MALO40CNB" localSheetId="1">#REF!</definedName>
    <definedName name="MALO40CNB">#REF!</definedName>
    <definedName name="MALO55CN01" localSheetId="1">#REF!</definedName>
    <definedName name="MALO55CN01">#REF!</definedName>
    <definedName name="MALO55CN03" localSheetId="1">#REF!</definedName>
    <definedName name="MALO55CN03">#REF!</definedName>
    <definedName name="MALO5607" localSheetId="1">#REF!</definedName>
    <definedName name="MALO5607">#REF!</definedName>
    <definedName name="MALOAFIR5607" localSheetId="1">#REF!</definedName>
    <definedName name="MALOAFIR5607">#REF!</definedName>
    <definedName name="MANGLE" localSheetId="50">#REF!</definedName>
    <definedName name="MANGLE" localSheetId="1">#REF!</definedName>
    <definedName name="MANGLE">#REF!</definedName>
    <definedName name="Mano_2" localSheetId="50">#REF!</definedName>
    <definedName name="Mano_2" localSheetId="1">#REF!</definedName>
    <definedName name="Mano_2">#REF!</definedName>
    <definedName name="Mano_de_obra" localSheetId="50">#REF!</definedName>
    <definedName name="Mano_de_obra" localSheetId="1">#REF!</definedName>
    <definedName name="Mano_de_obra">#REF!</definedName>
    <definedName name="manoobra" localSheetId="1">#REF!</definedName>
    <definedName name="manoobra">#REF!</definedName>
    <definedName name="mao" localSheetId="50" hidden="1">{"TAB1",#N/A,TRUE,"GENERAL";"TAB2",#N/A,TRUE,"GENERAL";"TAB3",#N/A,TRUE,"GENERAL";"TAB4",#N/A,TRUE,"GENERAL";"TAB5",#N/A,TRUE,"GENERAL"}</definedName>
    <definedName name="mao" localSheetId="1" hidden="1">{"TAB1",#N/A,TRUE,"GENERAL";"TAB2",#N/A,TRUE,"GENERAL";"TAB3",#N/A,TRUE,"GENERAL";"TAB4",#N/A,TRUE,"GENERAL";"TAB5",#N/A,TRUE,"GENERAL"}</definedName>
    <definedName name="mao" localSheetId="73" hidden="1">{"TAB1",#N/A,TRUE,"GENERAL";"TAB2",#N/A,TRUE,"GENERAL";"TAB3",#N/A,TRUE,"GENERAL";"TAB4",#N/A,TRUE,"GENERAL";"TAB5",#N/A,TRUE,"GENERAL"}</definedName>
    <definedName name="mao" hidden="1">{"TAB1",#N/A,TRUE,"GENERAL";"TAB2",#N/A,TRUE,"GENERAL";"TAB3",#N/A,TRUE,"GENERAL";"TAB4",#N/A,TRUE,"GENERAL";"TAB5",#N/A,TRUE,"GENERAL"}</definedName>
    <definedName name="maow" localSheetId="50" hidden="1">{"via1",#N/A,TRUE,"general";"via2",#N/A,TRUE,"general";"via3",#N/A,TRUE,"general"}</definedName>
    <definedName name="maow" localSheetId="1" hidden="1">{"via1",#N/A,TRUE,"general";"via2",#N/A,TRUE,"general";"via3",#N/A,TRUE,"general"}</definedName>
    <definedName name="maow" localSheetId="73" hidden="1">{"via1",#N/A,TRUE,"general";"via2",#N/A,TRUE,"general";"via3",#N/A,TRUE,"general"}</definedName>
    <definedName name="maow" hidden="1">{"via1",#N/A,TRUE,"general";"via2",#N/A,TRUE,"general";"via3",#N/A,TRUE,"general"}</definedName>
    <definedName name="MARTA" localSheetId="50">IF(Loan_Amount*Interest_Rate*Loan_Years*Loan_Start&gt;0,1,0)</definedName>
    <definedName name="MARTA" localSheetId="1">IF('AU + PGIO'!Loan_Amount*'AU + PGIO'!Interest_Rate*'AU + PGIO'!Loan_Years*'AU + PGIO'!Loan_Start&gt;0,1,0)</definedName>
    <definedName name="MARTA">IF(Loan_Amount*Interest_Rate*Loan_Years*Loan_Start&gt;0,1,0)</definedName>
    <definedName name="masor" localSheetId="50" hidden="1">{"via1",#N/A,TRUE,"general";"via2",#N/A,TRUE,"general";"via3",#N/A,TRUE,"general"}</definedName>
    <definedName name="masor" localSheetId="1" hidden="1">{"via1",#N/A,TRUE,"general";"via2",#N/A,TRUE,"general";"via3",#N/A,TRUE,"general"}</definedName>
    <definedName name="masor" localSheetId="73" hidden="1">{"via1",#N/A,TRUE,"general";"via2",#N/A,TRUE,"general";"via3",#N/A,TRUE,"general"}</definedName>
    <definedName name="masor" hidden="1">{"via1",#N/A,TRUE,"general";"via2",#N/A,TRUE,"general";"via3",#N/A,TRUE,"general"}</definedName>
    <definedName name="MAT" localSheetId="1">#REF!</definedName>
    <definedName name="MAT">#REF!</definedName>
    <definedName name="MATEGRA" localSheetId="1">#REF!</definedName>
    <definedName name="MATEGRA">#REF!</definedName>
    <definedName name="MATERIAL_FILTRANTE" localSheetId="50">#REF!</definedName>
    <definedName name="MATERIAL_FILTRANTE" localSheetId="1">#REF!</definedName>
    <definedName name="MATERIAL_FILTRANTE">#REF!</definedName>
    <definedName name="materiales2" localSheetId="50">#REF!</definedName>
    <definedName name="materiales2" localSheetId="1">#REF!</definedName>
    <definedName name="materiales2">#REF!</definedName>
    <definedName name="MATESEC" localSheetId="50">#REF!</definedName>
    <definedName name="MATESEC" localSheetId="1">#REF!</definedName>
    <definedName name="MATESEC">#REF!</definedName>
    <definedName name="matriz" localSheetId="50">#REF!,#REF!</definedName>
    <definedName name="matriz" localSheetId="1">#REF!,#REF!</definedName>
    <definedName name="matriz">#REF!,#REF!</definedName>
    <definedName name="maxdeficit" localSheetId="1">#REF!</definedName>
    <definedName name="maxdeficit">#REF!</definedName>
    <definedName name="Mb" localSheetId="1">#REF!</definedName>
    <definedName name="Mb">#REF!</definedName>
    <definedName name="md" localSheetId="1">#REF!</definedName>
    <definedName name="md">#REF!</definedName>
    <definedName name="mdd" localSheetId="50" hidden="1">{"via1",#N/A,TRUE,"general";"via2",#N/A,TRUE,"general";"via3",#N/A,TRUE,"general"}</definedName>
    <definedName name="mdd" localSheetId="1" hidden="1">{"via1",#N/A,TRUE,"general";"via2",#N/A,TRUE,"general";"via3",#N/A,TRUE,"general"}</definedName>
    <definedName name="mdd" localSheetId="73" hidden="1">{"via1",#N/A,TRUE,"general";"via2",#N/A,TRUE,"general";"via3",#N/A,TRUE,"general"}</definedName>
    <definedName name="mdd" hidden="1">{"via1",#N/A,TRUE,"general";"via2",#N/A,TRUE,"general";"via3",#N/A,TRUE,"general"}</definedName>
    <definedName name="meg" localSheetId="50" hidden="1">{"TAB1",#N/A,TRUE,"GENERAL";"TAB2",#N/A,TRUE,"GENERAL";"TAB3",#N/A,TRUE,"GENERAL";"TAB4",#N/A,TRUE,"GENERAL";"TAB5",#N/A,TRUE,"GENERAL"}</definedName>
    <definedName name="meg" localSheetId="1" hidden="1">{"TAB1",#N/A,TRUE,"GENERAL";"TAB2",#N/A,TRUE,"GENERAL";"TAB3",#N/A,TRUE,"GENERAL";"TAB4",#N/A,TRUE,"GENERAL";"TAB5",#N/A,TRUE,"GENERAL"}</definedName>
    <definedName name="meg" localSheetId="73" hidden="1">{"TAB1",#N/A,TRUE,"GENERAL";"TAB2",#N/A,TRUE,"GENERAL";"TAB3",#N/A,TRUE,"GENERAL";"TAB4",#N/A,TRUE,"GENERAL";"TAB5",#N/A,TRUE,"GENERAL"}</definedName>
    <definedName name="meg" hidden="1">{"TAB1",#N/A,TRUE,"GENERAL";"TAB2",#N/A,TRUE,"GENERAL";"TAB3",#N/A,TRUE,"GENERAL";"TAB4",#N/A,TRUE,"GENERAL";"TAB5",#N/A,TRUE,"GENERAL"}</definedName>
    <definedName name="MEJORA" localSheetId="1">#REF!</definedName>
    <definedName name="MEJORA">#REF!</definedName>
    <definedName name="mejoramientosubrasante" localSheetId="1">#REF!</definedName>
    <definedName name="mejoramientosubrasante">#REF!</definedName>
    <definedName name="MESONGRANITO" localSheetId="50">#REF!</definedName>
    <definedName name="MESONGRANITO" localSheetId="1">#REF!</definedName>
    <definedName name="MESONGRANITO">#REF!</definedName>
    <definedName name="MEZC" localSheetId="50">#REF!</definedName>
    <definedName name="MEZC" localSheetId="1">#REF!</definedName>
    <definedName name="MEZC">#REF!</definedName>
    <definedName name="MEZCLA" localSheetId="50">#REF!</definedName>
    <definedName name="MEZCLA" localSheetId="1">#REF!</definedName>
    <definedName name="MEZCLA">#REF!</definedName>
    <definedName name="mf" localSheetId="1">#REF!</definedName>
    <definedName name="mf">#REF!</definedName>
    <definedName name="mfgjrdt" localSheetId="50"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73" hidden="1">{"TAB1",#N/A,TRUE,"GENERAL";"TAB2",#N/A,TRUE,"GENERAL";"TAB3",#N/A,TRUE,"GENERAL";"TAB4",#N/A,TRUE,"GENERAL";"TAB5",#N/A,TRUE,"GENERAL"}</definedName>
    <definedName name="mfgjrdt" hidden="1">{"TAB1",#N/A,TRUE,"GENERAL";"TAB2",#N/A,TRUE,"GENERAL";"TAB3",#N/A,TRUE,"GENERAL";"TAB4",#N/A,TRUE,"GENERAL";"TAB5",#N/A,TRUE,"GENERAL"}</definedName>
    <definedName name="mghm" localSheetId="50" hidden="1">{"via1",#N/A,TRUE,"general";"via2",#N/A,TRUE,"general";"via3",#N/A,TRUE,"general"}</definedName>
    <definedName name="mghm" localSheetId="1" hidden="1">{"via1",#N/A,TRUE,"general";"via2",#N/A,TRUE,"general";"via3",#N/A,TRUE,"general"}</definedName>
    <definedName name="mghm" localSheetId="73" hidden="1">{"via1",#N/A,TRUE,"general";"via2",#N/A,TRUE,"general";"via3",#N/A,TRUE,"general"}</definedName>
    <definedName name="mghm" hidden="1">{"via1",#N/A,TRUE,"general";"via2",#N/A,TRUE,"general";"via3",#N/A,TRUE,"general"}</definedName>
    <definedName name="mhg" localSheetId="1">#REF!</definedName>
    <definedName name="mhg">#REF!</definedName>
    <definedName name="mht" localSheetId="1">#REF!</definedName>
    <definedName name="mht">#REF!</definedName>
    <definedName name="mhy" localSheetId="1">#REF!</definedName>
    <definedName name="mhy">#REF!</definedName>
    <definedName name="microesfera" localSheetId="1">#REF!</definedName>
    <definedName name="microesfera">#REF!</definedName>
    <definedName name="min" localSheetId="1">#REF!</definedName>
    <definedName name="min">#REF!</definedName>
    <definedName name="Minutos" localSheetId="1">#REF!</definedName>
    <definedName name="Minutos">#REF!</definedName>
    <definedName name="mjmj" localSheetId="50" hidden="1">{"via1",#N/A,TRUE,"general";"via2",#N/A,TRUE,"general";"via3",#N/A,TRUE,"general"}</definedName>
    <definedName name="mjmj" localSheetId="1" hidden="1">{"via1",#N/A,TRUE,"general";"via2",#N/A,TRUE,"general";"via3",#N/A,TRUE,"general"}</definedName>
    <definedName name="mjmj" localSheetId="73" hidden="1">{"via1",#N/A,TRUE,"general";"via2",#N/A,TRUE,"general";"via3",#N/A,TRUE,"general"}</definedName>
    <definedName name="mjmj" hidden="1">{"via1",#N/A,TRUE,"general";"via2",#N/A,TRUE,"general";"via3",#N/A,TRUE,"general"}</definedName>
    <definedName name="mjmjmn" localSheetId="50" hidden="1">{"via1",#N/A,TRUE,"general";"via2",#N/A,TRUE,"general";"via3",#N/A,TRUE,"general"}</definedName>
    <definedName name="mjmjmn" localSheetId="1" hidden="1">{"via1",#N/A,TRUE,"general";"via2",#N/A,TRUE,"general";"via3",#N/A,TRUE,"general"}</definedName>
    <definedName name="mjmjmn" localSheetId="73" hidden="1">{"via1",#N/A,TRUE,"general";"via2",#N/A,TRUE,"general";"via3",#N/A,TRUE,"general"}</definedName>
    <definedName name="mjmjmn" hidden="1">{"via1",#N/A,TRUE,"general";"via2",#N/A,TRUE,"general";"via3",#N/A,TRUE,"general"}</definedName>
    <definedName name="mjnhgkio" localSheetId="50" hidden="1">{"via1",#N/A,TRUE,"general";"via2",#N/A,TRUE,"general";"via3",#N/A,TRUE,"general"}</definedName>
    <definedName name="mjnhgkio" localSheetId="1" hidden="1">{"via1",#N/A,TRUE,"general";"via2",#N/A,TRUE,"general";"via3",#N/A,TRUE,"general"}</definedName>
    <definedName name="mjnhgkio" localSheetId="73" hidden="1">{"via1",#N/A,TRUE,"general";"via2",#N/A,TRUE,"general";"via3",#N/A,TRUE,"general"}</definedName>
    <definedName name="mjnhgkio" hidden="1">{"via1",#N/A,TRUE,"general";"via2",#N/A,TRUE,"general";"via3",#N/A,TRUE,"general"}</definedName>
    <definedName name="mju" localSheetId="1">#REF!</definedName>
    <definedName name="mju">#REF!</definedName>
    <definedName name="mku" localSheetId="1">#REF!</definedName>
    <definedName name="mku">#REF!</definedName>
    <definedName name="mm" localSheetId="1">#REF!</definedName>
    <definedName name="mm">#REF!</definedName>
    <definedName name="mmjmjh" localSheetId="50"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73" hidden="1">{"TAB1",#N/A,TRUE,"GENERAL";"TAB2",#N/A,TRUE,"GENERAL";"TAB3",#N/A,TRUE,"GENERAL";"TAB4",#N/A,TRUE,"GENERAL";"TAB5",#N/A,TRUE,"GENERAL"}</definedName>
    <definedName name="mmjmjh" hidden="1">{"TAB1",#N/A,TRUE,"GENERAL";"TAB2",#N/A,TRUE,"GENERAL";"TAB3",#N/A,TRUE,"GENERAL";"TAB4",#N/A,TRUE,"GENERAL";"TAB5",#N/A,TRUE,"GENERAL"}</definedName>
    <definedName name="mmm" localSheetId="50" hidden="1">{"TAB1",#N/A,TRUE,"GENERAL";"TAB2",#N/A,TRUE,"GENERAL";"TAB3",#N/A,TRUE,"GENERAL";"TAB4",#N/A,TRUE,"GENERAL";"TAB5",#N/A,TRUE,"GENERAL"}</definedName>
    <definedName name="mmm" localSheetId="1" hidden="1">{"TAB1",#N/A,TRUE,"GENERAL";"TAB2",#N/A,TRUE,"GENERAL";"TAB3",#N/A,TRUE,"GENERAL";"TAB4",#N/A,TRUE,"GENERAL";"TAB5",#N/A,TRUE,"GENERAL"}</definedName>
    <definedName name="mmm" localSheetId="73" hidden="1">{"TAB1",#N/A,TRUE,"GENERAL";"TAB2",#N/A,TRUE,"GENERAL";"TAB3",#N/A,TRUE,"GENERAL";"TAB4",#N/A,TRUE,"GENERAL";"TAB5",#N/A,TRUE,"GENERAL"}</definedName>
    <definedName name="mmm" hidden="1">{"TAB1",#N/A,TRUE,"GENERAL";"TAB2",#N/A,TRUE,"GENERAL";"TAB3",#N/A,TRUE,"GENERAL";"TAB4",#N/A,TRUE,"GENERAL";"TAB5",#N/A,TRUE,"GENERAL"}</definedName>
    <definedName name="mmmh" localSheetId="50" hidden="1">{"via1",#N/A,TRUE,"general";"via2",#N/A,TRUE,"general";"via3",#N/A,TRUE,"general"}</definedName>
    <definedName name="mmmh" localSheetId="1" hidden="1">{"via1",#N/A,TRUE,"general";"via2",#N/A,TRUE,"general";"via3",#N/A,TRUE,"general"}</definedName>
    <definedName name="mmmh" localSheetId="73" hidden="1">{"via1",#N/A,TRUE,"general";"via2",#N/A,TRUE,"general";"via3",#N/A,TRUE,"general"}</definedName>
    <definedName name="mmmh" hidden="1">{"via1",#N/A,TRUE,"general";"via2",#N/A,TRUE,"general";"via3",#N/A,TRUE,"general"}</definedName>
    <definedName name="mmmmmjyt" localSheetId="50"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73" hidden="1">{"TAB1",#N/A,TRUE,"GENERAL";"TAB2",#N/A,TRUE,"GENERAL";"TAB3",#N/A,TRUE,"GENERAL";"TAB4",#N/A,TRUE,"GENERAL";"TAB5",#N/A,TRUE,"GENERAL"}</definedName>
    <definedName name="mmmmmjyt" hidden="1">{"TAB1",#N/A,TRUE,"GENERAL";"TAB2",#N/A,TRUE,"GENERAL";"TAB3",#N/A,TRUE,"GENERAL";"TAB4",#N/A,TRUE,"GENERAL";"TAB5",#N/A,TRUE,"GENERAL"}</definedName>
    <definedName name="mmmmmmg" localSheetId="50" hidden="1">{"via1",#N/A,TRUE,"general";"via2",#N/A,TRUE,"general";"via3",#N/A,TRUE,"general"}</definedName>
    <definedName name="mmmmmmg" localSheetId="1" hidden="1">{"via1",#N/A,TRUE,"general";"via2",#N/A,TRUE,"general";"via3",#N/A,TRUE,"general"}</definedName>
    <definedName name="mmmmmmg" localSheetId="73" hidden="1">{"via1",#N/A,TRUE,"general";"via2",#N/A,TRUE,"general";"via3",#N/A,TRUE,"general"}</definedName>
    <definedName name="mmmmmmg" hidden="1">{"via1",#N/A,TRUE,"general";"via2",#N/A,TRUE,"general";"via3",#N/A,TRUE,"general"}</definedName>
    <definedName name="MN" localSheetId="50" hidden="1">{"via1",#N/A,TRUE,"general";"via2",#N/A,TRUE,"general";"via3",#N/A,TRUE,"general"}</definedName>
    <definedName name="MN" localSheetId="1" hidden="1">{"via1",#N/A,TRUE,"general";"via2",#N/A,TRUE,"general";"via3",#N/A,TRUE,"general"}</definedName>
    <definedName name="MN" localSheetId="73" hidden="1">{"via1",#N/A,TRUE,"general";"via2",#N/A,TRUE,"general";"via3",#N/A,TRUE,"general"}</definedName>
    <definedName name="MN" hidden="1">{"via1",#N/A,TRUE,"general";"via2",#N/A,TRUE,"general";"via3",#N/A,TRUE,"general"}</definedName>
    <definedName name="MNEU" localSheetId="1">#REF!</definedName>
    <definedName name="MNEU">#REF!</definedName>
    <definedName name="MNIV" localSheetId="1">#REF!</definedName>
    <definedName name="MNIV">#REF!</definedName>
    <definedName name="MOA" localSheetId="50" hidden="1">{#N/A,#N/A,FALSE,"Hoja1";#N/A,#N/A,FALSE,"Hoja2"}</definedName>
    <definedName name="MOA" localSheetId="1" hidden="1">{#N/A,#N/A,FALSE,"Hoja1";#N/A,#N/A,FALSE,"Hoja2"}</definedName>
    <definedName name="MOA" localSheetId="73" hidden="1">{#N/A,#N/A,FALSE,"Hoja1";#N/A,#N/A,FALSE,"Hoja2"}</definedName>
    <definedName name="MOA" hidden="1">{#N/A,#N/A,FALSE,"Hoja1";#N/A,#N/A,FALSE,"Hoja2"}</definedName>
    <definedName name="MODIVejec" localSheetId="50" hidden="1">{#N/A,#N/A,FALSE,"Hoja1";#N/A,#N/A,FALSE,"Hoja2"}</definedName>
    <definedName name="MODIVejec" localSheetId="1" hidden="1">{#N/A,#N/A,FALSE,"Hoja1";#N/A,#N/A,FALSE,"Hoja2"}</definedName>
    <definedName name="MODIVejec" localSheetId="73" hidden="1">{#N/A,#N/A,FALSE,"Hoja1";#N/A,#N/A,FALSE,"Hoja2"}</definedName>
    <definedName name="MODIVejec" hidden="1">{#N/A,#N/A,FALSE,"Hoja1";#N/A,#N/A,FALSE,"Hoja2"}</definedName>
    <definedName name="MOE" localSheetId="50" hidden="1">{#N/A,#N/A,FALSE,"Hoja1";#N/A,#N/A,FALSE,"Hoja2"}</definedName>
    <definedName name="MOE" localSheetId="1" hidden="1">{#N/A,#N/A,FALSE,"Hoja1";#N/A,#N/A,FALSE,"Hoja2"}</definedName>
    <definedName name="MOE" localSheetId="73" hidden="1">{#N/A,#N/A,FALSE,"Hoja1";#N/A,#N/A,FALSE,"Hoja2"}</definedName>
    <definedName name="MOE" hidden="1">{#N/A,#N/A,FALSE,"Hoja1";#N/A,#N/A,FALSE,"Hoja2"}</definedName>
    <definedName name="MOR1_4" localSheetId="1">#REF!</definedName>
    <definedName name="MOR1_4">#REF!</definedName>
    <definedName name="MORTE12" localSheetId="1">#REF!</definedName>
    <definedName name="MORTE12">#REF!</definedName>
    <definedName name="MORTE14" localSheetId="1">#REF!</definedName>
    <definedName name="MORTE14">#REF!</definedName>
    <definedName name="morte15" localSheetId="1">#REF!</definedName>
    <definedName name="morte15">#REF!</definedName>
    <definedName name="MORTE16" localSheetId="1">#REF!</definedName>
    <definedName name="MORTE16">#REF!</definedName>
    <definedName name="mortero" localSheetId="1">#REF!</definedName>
    <definedName name="mortero">#REF!</definedName>
    <definedName name="MORTERO1_4" localSheetId="50">#REF!</definedName>
    <definedName name="MORTERO1_4" localSheetId="1">#REF!</definedName>
    <definedName name="MORTERO1_4">#REF!</definedName>
    <definedName name="MORTERO4" localSheetId="50">#REF!</definedName>
    <definedName name="MORTERO4" localSheetId="1">#REF!</definedName>
    <definedName name="MORTERO4">#REF!</definedName>
    <definedName name="MORTERO5" localSheetId="50">#REF!</definedName>
    <definedName name="MORTERO5" localSheetId="1">#REF!</definedName>
    <definedName name="MORTERO5">#REF!</definedName>
    <definedName name="Motoniveladora" localSheetId="50">#REF!</definedName>
    <definedName name="Motoniveladora" localSheetId="1">#REF!</definedName>
    <definedName name="Motoniveladora">#REF!</definedName>
    <definedName name="MOTOSI" localSheetId="50">#REF!</definedName>
    <definedName name="MOTOSI" localSheetId="1">#REF!</definedName>
    <definedName name="MOTOSI">#REF!</definedName>
    <definedName name="MPEGA" localSheetId="50">#REF!</definedName>
    <definedName name="MPEGA" localSheetId="1">#REF!</definedName>
    <definedName name="MPEGA">#REF!</definedName>
    <definedName name="mr" localSheetId="1">#REF!</definedName>
    <definedName name="mr">#REF!</definedName>
    <definedName name="MSELE" localSheetId="1">#REF!</definedName>
    <definedName name="MSELE">#REF!</definedName>
    <definedName name="MUEBLEINFTOT" localSheetId="1">#REF!</definedName>
    <definedName name="MUEBLEINFTOT">#REF!</definedName>
    <definedName name="muro" localSheetId="1">#REF!</definedName>
    <definedName name="muro">#REF!</definedName>
    <definedName name="murocontencion" localSheetId="1">#REF!</definedName>
    <definedName name="murocontencion">#REF!</definedName>
    <definedName name="N" localSheetId="50">{"via1",#N/A,TRUE,"general";"via2",#N/A,TRUE,"general";"via3",#N/A,TRUE,"general"}</definedName>
    <definedName name="N" localSheetId="1">{"via1",#N/A,TRUE,"general";"via2",#N/A,TRUE,"general";"via3",#N/A,TRUE,"general"}</definedName>
    <definedName name="N" localSheetId="73">{"via1",#N/A,TRUE,"general";"via2",#N/A,TRUE,"general";"via3",#N/A,TRUE,"general"}</definedName>
    <definedName name="N">{"via1",#N/A,TRUE,"general";"via2",#N/A,TRUE,"general";"via3",#N/A,TRUE,"general"}</definedName>
    <definedName name="Na" localSheetId="1">#REF!</definedName>
    <definedName name="Na">#REF!</definedName>
    <definedName name="Nb" localSheetId="1">#REF!</definedName>
    <definedName name="Nb">#REF!</definedName>
    <definedName name="nbv" localSheetId="1">#REF!</definedName>
    <definedName name="nbv">#REF!</definedName>
    <definedName name="nbvnv" localSheetId="50" hidden="1">{"via1",#N/A,TRUE,"general";"via2",#N/A,TRUE,"general";"via3",#N/A,TRUE,"general"}</definedName>
    <definedName name="nbvnv" localSheetId="1" hidden="1">{"via1",#N/A,TRUE,"general";"via2",#N/A,TRUE,"general";"via3",#N/A,TRUE,"general"}</definedName>
    <definedName name="nbvnv" localSheetId="73" hidden="1">{"via1",#N/A,TRUE,"general";"via2",#N/A,TRUE,"general";"via3",#N/A,TRUE,"general"}</definedName>
    <definedName name="nbvnv" hidden="1">{"via1",#N/A,TRUE,"general";"via2",#N/A,TRUE,"general";"via3",#N/A,TRUE,"general"}</definedName>
    <definedName name="Nc" localSheetId="1">#REF!</definedName>
    <definedName name="Nc">#REF!</definedName>
    <definedName name="Nd" localSheetId="1">#REF!</definedName>
    <definedName name="Nd">#REF!</definedName>
    <definedName name="NDHS" localSheetId="50" hidden="1">{"TAB1",#N/A,TRUE,"GENERAL";"TAB2",#N/A,TRUE,"GENERAL";"TAB3",#N/A,TRUE,"GENERAL";"TAB4",#N/A,TRUE,"GENERAL";"TAB5",#N/A,TRUE,"GENERAL"}</definedName>
    <definedName name="NDHS" localSheetId="1" hidden="1">{"TAB1",#N/A,TRUE,"GENERAL";"TAB2",#N/A,TRUE,"GENERAL";"TAB3",#N/A,TRUE,"GENERAL";"TAB4",#N/A,TRUE,"GENERAL";"TAB5",#N/A,TRUE,"GENERAL"}</definedName>
    <definedName name="NDHS" localSheetId="73" hidden="1">{"TAB1",#N/A,TRUE,"GENERAL";"TAB2",#N/A,TRUE,"GENERAL";"TAB3",#N/A,TRUE,"GENERAL";"TAB4",#N/A,TRUE,"GENERAL";"TAB5",#N/A,TRUE,"GENERAL"}</definedName>
    <definedName name="NDHS" hidden="1">{"TAB1",#N/A,TRUE,"GENERAL";"TAB2",#N/A,TRUE,"GENERAL";"TAB3",#N/A,TRUE,"GENERAL";"TAB4",#N/A,TRUE,"GENERAL";"TAB5",#N/A,TRUE,"GENERAL"}</definedName>
    <definedName name="Ne" localSheetId="1">#REF!</definedName>
    <definedName name="Ne">#REF!</definedName>
    <definedName name="nece.cab" localSheetId="1">#REF!</definedName>
    <definedName name="nece.cab">#REF!</definedName>
    <definedName name="NEOLAI" localSheetId="1">#REF!</definedName>
    <definedName name="NEOLAI">#REF!</definedName>
    <definedName name="nf" localSheetId="50" hidden="1">{"TAB1",#N/A,TRUE,"GENERAL";"TAB2",#N/A,TRUE,"GENERAL";"TAB3",#N/A,TRUE,"GENERAL";"TAB4",#N/A,TRUE,"GENERAL";"TAB5",#N/A,TRUE,"GENERAL"}</definedName>
    <definedName name="nf" localSheetId="1" hidden="1">{"TAB1",#N/A,TRUE,"GENERAL";"TAB2",#N/A,TRUE,"GENERAL";"TAB3",#N/A,TRUE,"GENERAL";"TAB4",#N/A,TRUE,"GENERAL";"TAB5",#N/A,TRUE,"GENERAL"}</definedName>
    <definedName name="nf" localSheetId="73" hidden="1">{"TAB1",#N/A,TRUE,"GENERAL";"TAB2",#N/A,TRUE,"GENERAL";"TAB3",#N/A,TRUE,"GENERAL";"TAB4",#N/A,TRUE,"GENERAL";"TAB5",#N/A,TRUE,"GENERAL"}</definedName>
    <definedName name="nf" hidden="1">{"TAB1",#N/A,TRUE,"GENERAL";"TAB2",#N/A,TRUE,"GENERAL";"TAB3",#N/A,TRUE,"GENERAL";"TAB4",#N/A,TRUE,"GENERAL";"TAB5",#N/A,TRUE,"GENERAL"}</definedName>
    <definedName name="nfg" localSheetId="50" hidden="1">{"via1",#N/A,TRUE,"general";"via2",#N/A,TRUE,"general";"via3",#N/A,TRUE,"general"}</definedName>
    <definedName name="nfg" localSheetId="1" hidden="1">{"via1",#N/A,TRUE,"general";"via2",#N/A,TRUE,"general";"via3",#N/A,TRUE,"general"}</definedName>
    <definedName name="nfg" localSheetId="73" hidden="1">{"via1",#N/A,TRUE,"general";"via2",#N/A,TRUE,"general";"via3",#N/A,TRUE,"general"}</definedName>
    <definedName name="nfg" hidden="1">{"via1",#N/A,TRUE,"general";"via2",#N/A,TRUE,"general";"via3",#N/A,TRUE,"general"}</definedName>
    <definedName name="nfgn" localSheetId="50" hidden="1">{"via1",#N/A,TRUE,"general";"via2",#N/A,TRUE,"general";"via3",#N/A,TRUE,"general"}</definedName>
    <definedName name="nfgn" localSheetId="1" hidden="1">{"via1",#N/A,TRUE,"general";"via2",#N/A,TRUE,"general";"via3",#N/A,TRUE,"general"}</definedName>
    <definedName name="nfgn" localSheetId="73" hidden="1">{"via1",#N/A,TRUE,"general";"via2",#N/A,TRUE,"general";"via3",#N/A,TRUE,"general"}</definedName>
    <definedName name="nfgn" hidden="1">{"via1",#N/A,TRUE,"general";"via2",#N/A,TRUE,"general";"via3",#N/A,TRUE,"general"}</definedName>
    <definedName name="ngdn" localSheetId="50" hidden="1">{"TAB1",#N/A,TRUE,"GENERAL";"TAB2",#N/A,TRUE,"GENERAL";"TAB3",#N/A,TRUE,"GENERAL";"TAB4",#N/A,TRUE,"GENERAL";"TAB5",#N/A,TRUE,"GENERAL"}</definedName>
    <definedName name="ngdn" localSheetId="1" hidden="1">{"TAB1",#N/A,TRUE,"GENERAL";"TAB2",#N/A,TRUE,"GENERAL";"TAB3",#N/A,TRUE,"GENERAL";"TAB4",#N/A,TRUE,"GENERAL";"TAB5",#N/A,TRUE,"GENERAL"}</definedName>
    <definedName name="ngdn" localSheetId="73" hidden="1">{"TAB1",#N/A,TRUE,"GENERAL";"TAB2",#N/A,TRUE,"GENERAL";"TAB3",#N/A,TRUE,"GENERAL";"TAB4",#N/A,TRUE,"GENERAL";"TAB5",#N/A,TRUE,"GENERAL"}</definedName>
    <definedName name="ngdn" hidden="1">{"TAB1",#N/A,TRUE,"GENERAL";"TAB2",#N/A,TRUE,"GENERAL";"TAB3",#N/A,TRUE,"GENERAL";"TAB4",#N/A,TRUE,"GENERAL";"TAB5",#N/A,TRUE,"GENERAL"}</definedName>
    <definedName name="NGF" localSheetId="50" hidden="1">{#N/A,#N/A,TRUE,"INGENIERIA";#N/A,#N/A,TRUE,"COMPRAS";#N/A,#N/A,TRUE,"DIRECCION";#N/A,#N/A,TRUE,"RESUMEN"}</definedName>
    <definedName name="NGF" localSheetId="1" hidden="1">{#N/A,#N/A,TRUE,"INGENIERIA";#N/A,#N/A,TRUE,"COMPRAS";#N/A,#N/A,TRUE,"DIRECCION";#N/A,#N/A,TRUE,"RESUMEN"}</definedName>
    <definedName name="NGF" hidden="1">{#N/A,#N/A,TRUE,"INGENIERIA";#N/A,#N/A,TRUE,"COMPRAS";#N/A,#N/A,TRUE,"DIRECCION";#N/A,#N/A,TRUE,"RESUMEN"}</definedName>
    <definedName name="ngfh" localSheetId="50" hidden="1">{"via1",#N/A,TRUE,"general";"via2",#N/A,TRUE,"general";"via3",#N/A,TRUE,"general"}</definedName>
    <definedName name="ngfh" localSheetId="1" hidden="1">{"via1",#N/A,TRUE,"general";"via2",#N/A,TRUE,"general";"via3",#N/A,TRUE,"general"}</definedName>
    <definedName name="ngfh" localSheetId="73" hidden="1">{"via1",#N/A,TRUE,"general";"via2",#N/A,TRUE,"general";"via3",#N/A,TRUE,"general"}</definedName>
    <definedName name="ngfh" hidden="1">{"via1",#N/A,TRUE,"general";"via2",#N/A,TRUE,"general";"via3",#N/A,TRUE,"general"}</definedName>
    <definedName name="NHG" localSheetId="1">#REF!</definedName>
    <definedName name="NHG">#REF!</definedName>
    <definedName name="nhn" localSheetId="50" hidden="1">{"via1",#N/A,TRUE,"general";"via2",#N/A,TRUE,"general";"via3",#N/A,TRUE,"general"}</definedName>
    <definedName name="nhn" localSheetId="1" hidden="1">{"via1",#N/A,TRUE,"general";"via2",#N/A,TRUE,"general";"via3",#N/A,TRUE,"general"}</definedName>
    <definedName name="nhn" localSheetId="73" hidden="1">{"via1",#N/A,TRUE,"general";"via2",#N/A,TRUE,"general";"via3",#N/A,TRUE,"general"}</definedName>
    <definedName name="nhn" hidden="1">{"via1",#N/A,TRUE,"general";"via2",#N/A,TRUE,"general";"via3",#N/A,TRUE,"general"}</definedName>
    <definedName name="nhncfgn" localSheetId="50"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73" hidden="1">{"TAB1",#N/A,TRUE,"GENERAL";"TAB2",#N/A,TRUE,"GENERAL";"TAB3",#N/A,TRUE,"GENERAL";"TAB4",#N/A,TRUE,"GENERAL";"TAB5",#N/A,TRUE,"GENERAL"}</definedName>
    <definedName name="nhncfgn" hidden="1">{"TAB1",#N/A,TRUE,"GENERAL";"TAB2",#N/A,TRUE,"GENERAL";"TAB3",#N/A,TRUE,"GENERAL";"TAB4",#N/A,TRUE,"GENERAL";"TAB5",#N/A,TRUE,"GENERAL"}</definedName>
    <definedName name="nhndr" localSheetId="50" hidden="1">{"via1",#N/A,TRUE,"general";"via2",#N/A,TRUE,"general";"via3",#N/A,TRUE,"general"}</definedName>
    <definedName name="nhndr" localSheetId="1" hidden="1">{"via1",#N/A,TRUE,"general";"via2",#N/A,TRUE,"general";"via3",#N/A,TRUE,"general"}</definedName>
    <definedName name="nhndr" localSheetId="73" hidden="1">{"via1",#N/A,TRUE,"general";"via2",#N/A,TRUE,"general";"via3",#N/A,TRUE,"general"}</definedName>
    <definedName name="nhndr" hidden="1">{"via1",#N/A,TRUE,"general";"via2",#N/A,TRUE,"general";"via3",#N/A,TRUE,"general"}</definedName>
    <definedName name="NIPLE_DE_1_2__ROSCADO_DE_HG_x_L__3_PULGADAS" localSheetId="1">#REF!</definedName>
    <definedName name="NIPLE_DE_1_2__ROSCADO_DE_HG_x_L__3_PULGADAS">#REF!</definedName>
    <definedName name="NIPLE_DE_3__B_x_EL_L__0.25_MTS" localSheetId="1">#REF!</definedName>
    <definedName name="NIPLE_DE_3__B_x_EL_L__0.25_MTS">#REF!</definedName>
    <definedName name="NIPLE_DE_4__B_x_EL_L__0.25_MTS" localSheetId="1">#REF!</definedName>
    <definedName name="NIPLE_DE_4__B_x_EL_L__0.25_MTS">#REF!</definedName>
    <definedName name="NIPLE_L__0.25" localSheetId="1">#REF!</definedName>
    <definedName name="NIPLE_L__0.25">#REF!</definedName>
    <definedName name="NJH" localSheetId="1">#REF!</definedName>
    <definedName name="NJH">#REF!</definedName>
    <definedName name="nm" localSheetId="1">#REF!</definedName>
    <definedName name="nm">#REF!</definedName>
    <definedName name="nmmmm" localSheetId="50" hidden="1">{"via1",#N/A,TRUE,"general";"via2",#N/A,TRUE,"general";"via3",#N/A,TRUE,"general"}</definedName>
    <definedName name="nmmmm" localSheetId="1" hidden="1">{"via1",#N/A,TRUE,"general";"via2",#N/A,TRUE,"general";"via3",#N/A,TRUE,"general"}</definedName>
    <definedName name="nmmmm" localSheetId="73" hidden="1">{"via1",#N/A,TRUE,"general";"via2",#N/A,TRUE,"general";"via3",#N/A,TRUE,"general"}</definedName>
    <definedName name="nmmmm" hidden="1">{"via1",#N/A,TRUE,"general";"via2",#N/A,TRUE,"general";"via3",#N/A,TRUE,"general"}</definedName>
    <definedName name="NN" localSheetId="50" hidden="1">{"TAB1",#N/A,TRUE,"GENERAL";"TAB2",#N/A,TRUE,"GENERAL";"TAB3",#N/A,TRUE,"GENERAL";"TAB4",#N/A,TRUE,"GENERAL";"TAB5",#N/A,TRUE,"GENERAL"}</definedName>
    <definedName name="NN" localSheetId="1" hidden="1">{"TAB1",#N/A,TRUE,"GENERAL";"TAB2",#N/A,TRUE,"GENERAL";"TAB3",#N/A,TRUE,"GENERAL";"TAB4",#N/A,TRUE,"GENERAL";"TAB5",#N/A,TRUE,"GENERAL"}</definedName>
    <definedName name="NN" localSheetId="73" hidden="1">{"TAB1",#N/A,TRUE,"GENERAL";"TAB2",#N/A,TRUE,"GENERAL";"TAB3",#N/A,TRUE,"GENERAL";"TAB4",#N/A,TRUE,"GENERAL";"TAB5",#N/A,TRUE,"GENERAL"}</definedName>
    <definedName name="NN" hidden="1">{"TAB1",#N/A,TRUE,"GENERAL";"TAB2",#N/A,TRUE,"GENERAL";"TAB3",#N/A,TRUE,"GENERAL";"TAB4",#N/A,TRUE,"GENERAL";"TAB5",#N/A,TRUE,"GENERAL"}</definedName>
    <definedName name="nndng" localSheetId="50" hidden="1">{"TAB1",#N/A,TRUE,"GENERAL";"TAB2",#N/A,TRUE,"GENERAL";"TAB3",#N/A,TRUE,"GENERAL";"TAB4",#N/A,TRUE,"GENERAL";"TAB5",#N/A,TRUE,"GENERAL"}</definedName>
    <definedName name="nndng" localSheetId="1" hidden="1">{"TAB1",#N/A,TRUE,"GENERAL";"TAB2",#N/A,TRUE,"GENERAL";"TAB3",#N/A,TRUE,"GENERAL";"TAB4",#N/A,TRUE,"GENERAL";"TAB5",#N/A,TRUE,"GENERAL"}</definedName>
    <definedName name="nndng" localSheetId="73" hidden="1">{"TAB1",#N/A,TRUE,"GENERAL";"TAB2",#N/A,TRUE,"GENERAL";"TAB3",#N/A,TRUE,"GENERAL";"TAB4",#N/A,TRUE,"GENERAL";"TAB5",#N/A,TRUE,"GENERAL"}</definedName>
    <definedName name="nndng" hidden="1">{"TAB1",#N/A,TRUE,"GENERAL";"TAB2",#N/A,TRUE,"GENERAL";"TAB3",#N/A,TRUE,"GENERAL";"TAB4",#N/A,TRUE,"GENERAL";"TAB5",#N/A,TRUE,"GENERAL"}</definedName>
    <definedName name="nnn" localSheetId="50" hidden="1">{"TAB1",#N/A,TRUE,"GENERAL";"TAB2",#N/A,TRUE,"GENERAL";"TAB3",#N/A,TRUE,"GENERAL";"TAB4",#N/A,TRUE,"GENERAL";"TAB5",#N/A,TRUE,"GENERAL"}</definedName>
    <definedName name="nnn" localSheetId="1" hidden="1">{"TAB1",#N/A,TRUE,"GENERAL";"TAB2",#N/A,TRUE,"GENERAL";"TAB3",#N/A,TRUE,"GENERAL";"TAB4",#N/A,TRUE,"GENERAL";"TAB5",#N/A,TRUE,"GENERAL"}</definedName>
    <definedName name="nnn" localSheetId="73" hidden="1">{"TAB1",#N/A,TRUE,"GENERAL";"TAB2",#N/A,TRUE,"GENERAL";"TAB3",#N/A,TRUE,"GENERAL";"TAB4",#N/A,TRUE,"GENERAL";"TAB5",#N/A,TRUE,"GENERAL"}</definedName>
    <definedName name="nnn" hidden="1">{"TAB1",#N/A,TRUE,"GENERAL";"TAB2",#N/A,TRUE,"GENERAL";"TAB3",#N/A,TRUE,"GENERAL";"TAB4",#N/A,TRUE,"GENERAL";"TAB5",#N/A,TRUE,"GENERAL"}</definedName>
    <definedName name="nnnhd" localSheetId="50" hidden="1">{"via1",#N/A,TRUE,"general";"via2",#N/A,TRUE,"general";"via3",#N/A,TRUE,"general"}</definedName>
    <definedName name="nnnhd" localSheetId="1" hidden="1">{"via1",#N/A,TRUE,"general";"via2",#N/A,TRUE,"general";"via3",#N/A,TRUE,"general"}</definedName>
    <definedName name="nnnhd" localSheetId="73" hidden="1">{"via1",#N/A,TRUE,"general";"via2",#N/A,TRUE,"general";"via3",#N/A,TRUE,"general"}</definedName>
    <definedName name="nnnhd" hidden="1">{"via1",#N/A,TRUE,"general";"via2",#N/A,TRUE,"general";"via3",#N/A,TRUE,"general"}</definedName>
    <definedName name="nnnnn" localSheetId="50" hidden="1">{"via1",#N/A,TRUE,"general";"via2",#N/A,TRUE,"general";"via3",#N/A,TRUE,"general"}</definedName>
    <definedName name="nnnnn" localSheetId="1" hidden="1">{"via1",#N/A,TRUE,"general";"via2",#N/A,TRUE,"general";"via3",#N/A,TRUE,"general"}</definedName>
    <definedName name="nnnnn" localSheetId="73" hidden="1">{"via1",#N/A,TRUE,"general";"via2",#N/A,TRUE,"general";"via3",#N/A,TRUE,"general"}</definedName>
    <definedName name="nnnnn" hidden="1">{"via1",#N/A,TRUE,"general";"via2",#N/A,TRUE,"general";"via3",#N/A,TRUE,"general"}</definedName>
    <definedName name="nnnnnd" localSheetId="50"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73" hidden="1">{"TAB1",#N/A,TRUE,"GENERAL";"TAB2",#N/A,TRUE,"GENERAL";"TAB3",#N/A,TRUE,"GENERAL";"TAB4",#N/A,TRUE,"GENERAL";"TAB5",#N/A,TRUE,"GENERAL"}</definedName>
    <definedName name="nnnnnd" hidden="1">{"TAB1",#N/A,TRUE,"GENERAL";"TAB2",#N/A,TRUE,"GENERAL";"TAB3",#N/A,TRUE,"GENERAL";"TAB4",#N/A,TRUE,"GENERAL";"TAB5",#N/A,TRUE,"GENERAL"}</definedName>
    <definedName name="nnnnnf" localSheetId="50"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73" hidden="1">{"TAB1",#N/A,TRUE,"GENERAL";"TAB2",#N/A,TRUE,"GENERAL";"TAB3",#N/A,TRUE,"GENERAL";"TAB4",#N/A,TRUE,"GENERAL";"TAB5",#N/A,TRUE,"GENERAL"}</definedName>
    <definedName name="nnnnnf" hidden="1">{"TAB1",#N/A,TRUE,"GENERAL";"TAB2",#N/A,TRUE,"GENERAL";"TAB3",#N/A,TRUE,"GENERAL";"TAB4",#N/A,TRUE,"GENERAL";"TAB5",#N/A,TRUE,"GENERAL"}</definedName>
    <definedName name="nnnnnh" localSheetId="50" hidden="1">{"via1",#N/A,TRUE,"general";"via2",#N/A,TRUE,"general";"via3",#N/A,TRUE,"general"}</definedName>
    <definedName name="nnnnnh" localSheetId="1" hidden="1">{"via1",#N/A,TRUE,"general";"via2",#N/A,TRUE,"general";"via3",#N/A,TRUE,"general"}</definedName>
    <definedName name="nnnnnh" localSheetId="73" hidden="1">{"via1",#N/A,TRUE,"general";"via2",#N/A,TRUE,"general";"via3",#N/A,TRUE,"general"}</definedName>
    <definedName name="nnnnnh" hidden="1">{"via1",#N/A,TRUE,"general";"via2",#N/A,TRUE,"general";"via3",#N/A,TRUE,"general"}</definedName>
    <definedName name="NOMBRE" localSheetId="1">#REF!</definedName>
    <definedName name="NOMBRE">#REF!</definedName>
    <definedName name="Norte" localSheetId="1">#REF!</definedName>
    <definedName name="Norte">#REF!</definedName>
    <definedName name="nr" localSheetId="1">#REF!</definedName>
    <definedName name="nr">#REF!</definedName>
    <definedName name="nt" localSheetId="1">#REF!</definedName>
    <definedName name="nt">#REF!</definedName>
    <definedName name="nuevo" localSheetId="5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m_Pmt_Per_Year" localSheetId="1">#REF!</definedName>
    <definedName name="Num_Pmt_Per_Year">#REF!</definedName>
    <definedName name="Number_of_Payments" localSheetId="50">MATCH(0.01,End_Bal,-1)+1</definedName>
    <definedName name="Number_of_Payments" localSheetId="1">MATCH(0.01,'AU + PGIO'!End_Bal,-1)+1</definedName>
    <definedName name="Number_of_Payments">MATCH(0.01,End_Bal,-1)+1</definedName>
    <definedName name="nxn" localSheetId="50" hidden="1">{"via1",#N/A,TRUE,"general";"via2",#N/A,TRUE,"general";"via3",#N/A,TRUE,"general"}</definedName>
    <definedName name="nxn" localSheetId="1" hidden="1">{"via1",#N/A,TRUE,"general";"via2",#N/A,TRUE,"general";"via3",#N/A,TRUE,"general"}</definedName>
    <definedName name="nxn" localSheetId="73" hidden="1">{"via1",#N/A,TRUE,"general";"via2",#N/A,TRUE,"general";"via3",#N/A,TRUE,"general"}</definedName>
    <definedName name="nxn" hidden="1">{"via1",#N/A,TRUE,"general";"via2",#N/A,TRUE,"general";"via3",#N/A,TRUE,"general"}</definedName>
    <definedName name="ñl" localSheetId="1">#REF!</definedName>
    <definedName name="ñl">#REF!</definedName>
    <definedName name="ññ" localSheetId="1">#REF!</definedName>
    <definedName name="ññ">#REF!</definedName>
    <definedName name="ÑÑÑ" localSheetId="1">#REF!</definedName>
    <definedName name="ÑÑÑ">#REF!</definedName>
    <definedName name="ñok" localSheetId="1">#REF!</definedName>
    <definedName name="ñok">#REF!</definedName>
    <definedName name="ñp" localSheetId="1">#REF!</definedName>
    <definedName name="ñp">#REF!</definedName>
    <definedName name="ñpñpñ" localSheetId="50" hidden="1">{"via1",#N/A,TRUE,"general";"via2",#N/A,TRUE,"general";"via3",#N/A,TRUE,"general"}</definedName>
    <definedName name="ñpñpñ" localSheetId="1" hidden="1">{"via1",#N/A,TRUE,"general";"via2",#N/A,TRUE,"general";"via3",#N/A,TRUE,"general"}</definedName>
    <definedName name="ñpñpñ" localSheetId="73" hidden="1">{"via1",#N/A,TRUE,"general";"via2",#N/A,TRUE,"general";"via3",#N/A,TRUE,"general"}</definedName>
    <definedName name="ñpñpñ" hidden="1">{"via1",#N/A,TRUE,"general";"via2",#N/A,TRUE,"general";"via3",#N/A,TRUE,"general"}</definedName>
    <definedName name="ñpo" localSheetId="1">#REF!</definedName>
    <definedName name="ñpo">#REF!</definedName>
    <definedName name="O" localSheetId="1">#REF!</definedName>
    <definedName name="O">#REF!</definedName>
    <definedName name="o9o9" localSheetId="50" hidden="1">{"via1",#N/A,TRUE,"general";"via2",#N/A,TRUE,"general";"via3",#N/A,TRUE,"general"}</definedName>
    <definedName name="o9o9" localSheetId="1" hidden="1">{"via1",#N/A,TRUE,"general";"via2",#N/A,TRUE,"general";"via3",#N/A,TRUE,"general"}</definedName>
    <definedName name="o9o9" localSheetId="73" hidden="1">{"via1",#N/A,TRUE,"general";"via2",#N/A,TRUE,"general";"via3",#N/A,TRUE,"general"}</definedName>
    <definedName name="o9o9" hidden="1">{"via1",#N/A,TRUE,"general";"via2",#N/A,TRUE,"general";"via3",#N/A,TRUE,"general"}</definedName>
    <definedName name="obras" localSheetId="1" hidden="1">#REF!</definedName>
    <definedName name="obras" hidden="1">#REF!</definedName>
    <definedName name="obras11" localSheetId="1" hidden="1">#REF!</definedName>
    <definedName name="obras11" hidden="1">#REF!</definedName>
    <definedName name="OBS_Data_Col" localSheetId="1" hidden="1">#REF!</definedName>
    <definedName name="OBS_Data_Col" hidden="1">#REF!</definedName>
    <definedName name="OCTUBRE" localSheetId="5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localSheetId="73"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F" localSheetId="1">#REF!</definedName>
    <definedName name="OF">#REF!</definedName>
    <definedName name="OFIC" localSheetId="1">#REF!</definedName>
    <definedName name="OFIC">#REF!</definedName>
    <definedName name="oiret" localSheetId="50" hidden="1">{"TAB1",#N/A,TRUE,"GENERAL";"TAB2",#N/A,TRUE,"GENERAL";"TAB3",#N/A,TRUE,"GENERAL";"TAB4",#N/A,TRUE,"GENERAL";"TAB5",#N/A,TRUE,"GENERAL"}</definedName>
    <definedName name="oiret" localSheetId="1" hidden="1">{"TAB1",#N/A,TRUE,"GENERAL";"TAB2",#N/A,TRUE,"GENERAL";"TAB3",#N/A,TRUE,"GENERAL";"TAB4",#N/A,TRUE,"GENERAL";"TAB5",#N/A,TRUE,"GENERAL"}</definedName>
    <definedName name="oiret" localSheetId="73" hidden="1">{"TAB1",#N/A,TRUE,"GENERAL";"TAB2",#N/A,TRUE,"GENERAL";"TAB3",#N/A,TRUE,"GENERAL";"TAB4",#N/A,TRUE,"GENERAL";"TAB5",#N/A,TRUE,"GENERAL"}</definedName>
    <definedName name="oiret" hidden="1">{"TAB1",#N/A,TRUE,"GENERAL";"TAB2",#N/A,TRUE,"GENERAL";"TAB3",#N/A,TRUE,"GENERAL";"TAB4",#N/A,TRUE,"GENERAL";"TAB5",#N/A,TRUE,"GENERAL"}</definedName>
    <definedName name="oirgrth" localSheetId="50"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73" hidden="1">{"TAB1",#N/A,TRUE,"GENERAL";"TAB2",#N/A,TRUE,"GENERAL";"TAB3",#N/A,TRUE,"GENERAL";"TAB4",#N/A,TRUE,"GENERAL";"TAB5",#N/A,TRUE,"GENERAL"}</definedName>
    <definedName name="oirgrth" hidden="1">{"TAB1",#N/A,TRUE,"GENERAL";"TAB2",#N/A,TRUE,"GENERAL";"TAB3",#N/A,TRUE,"GENERAL";"TAB4",#N/A,TRUE,"GENERAL";"TAB5",#N/A,TRUE,"GENERAL"}</definedName>
    <definedName name="OIUOIU" localSheetId="50" hidden="1">{"via1",#N/A,TRUE,"general";"via2",#N/A,TRUE,"general";"via3",#N/A,TRUE,"general"}</definedName>
    <definedName name="OIUOIU" localSheetId="1" hidden="1">{"via1",#N/A,TRUE,"general";"via2",#N/A,TRUE,"general";"via3",#N/A,TRUE,"general"}</definedName>
    <definedName name="OIUOIU" localSheetId="73" hidden="1">{"via1",#N/A,TRUE,"general";"via2",#N/A,TRUE,"general";"via3",#N/A,TRUE,"general"}</definedName>
    <definedName name="OIUOIU" hidden="1">{"via1",#N/A,TRUE,"general";"via2",#N/A,TRUE,"general";"via3",#N/A,TRUE,"general"}</definedName>
    <definedName name="OJO" localSheetId="1">#REF!</definedName>
    <definedName name="OJO">#REF!</definedName>
    <definedName name="oo" localSheetId="1">#REF!</definedName>
    <definedName name="oo">#REF!</definedName>
    <definedName name="ooo" localSheetId="50" hidden="1">{"via1",#N/A,TRUE,"general";"via2",#N/A,TRUE,"general";"via3",#N/A,TRUE,"general"}</definedName>
    <definedName name="ooo" localSheetId="1" hidden="1">{"via1",#N/A,TRUE,"general";"via2",#N/A,TRUE,"general";"via3",#N/A,TRUE,"general"}</definedName>
    <definedName name="ooo" localSheetId="73" hidden="1">{"via1",#N/A,TRUE,"general";"via2",#N/A,TRUE,"general";"via3",#N/A,TRUE,"general"}</definedName>
    <definedName name="ooo" hidden="1">{"via1",#N/A,TRUE,"general";"via2",#N/A,TRUE,"general";"via3",#N/A,TRUE,"general"}</definedName>
    <definedName name="ooooiii" localSheetId="50"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73" hidden="1">{"TAB1",#N/A,TRUE,"GENERAL";"TAB2",#N/A,TRUE,"GENERAL";"TAB3",#N/A,TRUE,"GENERAL";"TAB4",#N/A,TRUE,"GENERAL";"TAB5",#N/A,TRUE,"GENERAL"}</definedName>
    <definedName name="ooooiii" hidden="1">{"TAB1",#N/A,TRUE,"GENERAL";"TAB2",#N/A,TRUE,"GENERAL";"TAB3",#N/A,TRUE,"GENERAL";"TAB4",#N/A,TRUE,"GENERAL";"TAB5",#N/A,TRUE,"GENERAL"}</definedName>
    <definedName name="oooos" localSheetId="50" hidden="1">{"via1",#N/A,TRUE,"general";"via2",#N/A,TRUE,"general";"via3",#N/A,TRUE,"general"}</definedName>
    <definedName name="oooos" localSheetId="1" hidden="1">{"via1",#N/A,TRUE,"general";"via2",#N/A,TRUE,"general";"via3",#N/A,TRUE,"general"}</definedName>
    <definedName name="oooos" localSheetId="73" hidden="1">{"via1",#N/A,TRUE,"general";"via2",#N/A,TRUE,"general";"via3",#N/A,TRUE,"general"}</definedName>
    <definedName name="oooos" hidden="1">{"via1",#N/A,TRUE,"general";"via2",#N/A,TRUE,"general";"via3",#N/A,TRUE,"general"}</definedName>
    <definedName name="Openingpb" localSheetId="1" hidden="1">#REF!</definedName>
    <definedName name="Openingpb" hidden="1">#REF!</definedName>
    <definedName name="ORIGINAL" localSheetId="5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localSheetId="73"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s" localSheetId="1">#REF!</definedName>
    <definedName name="os">#REF!</definedName>
    <definedName name="OWNER" localSheetId="1" hidden="1">#REF!</definedName>
    <definedName name="OWNER" hidden="1">#REF!</definedName>
    <definedName name="P" localSheetId="1">#REF!</definedName>
    <definedName name="P">#REF!</definedName>
    <definedName name="p.BS" localSheetId="1" hidden="1">#REF!</definedName>
    <definedName name="p.BS" hidden="1">#REF!</definedName>
    <definedName name="p.BSAssumptions" localSheetId="1" hidden="1">#REF!</definedName>
    <definedName name="p.BSAssumptions" hidden="1">#REF!</definedName>
    <definedName name="p.CapStructure" localSheetId="1" hidden="1">#REF!</definedName>
    <definedName name="p.CapStructure" hidden="1">#REF!</definedName>
    <definedName name="p.CashFlow" localSheetId="1" hidden="1">#REF!</definedName>
    <definedName name="p.CashFlow" hidden="1">#REF!</definedName>
    <definedName name="p.Cover" localSheetId="1" hidden="1">#REF!</definedName>
    <definedName name="p.Cover" hidden="1">#REF!</definedName>
    <definedName name="p.Depreciation" localSheetId="1" hidden="1">#REF!</definedName>
    <definedName name="p.Depreciation" hidden="1">#REF!</definedName>
    <definedName name="p.Executive" localSheetId="1" hidden="1">#REF!</definedName>
    <definedName name="p.Executive" hidden="1">#REF!</definedName>
    <definedName name="p.FactSheet" localSheetId="1" hidden="1">#REF!</definedName>
    <definedName name="p.FactSheet" hidden="1">#REF!</definedName>
    <definedName name="p.IS" localSheetId="1" hidden="1">#REF!</definedName>
    <definedName name="p.IS" hidden="1">#REF!</definedName>
    <definedName name="p.ISAssumptions" localSheetId="1" hidden="1">#REF!</definedName>
    <definedName name="p.ISAssumptions" hidden="1">#REF!</definedName>
    <definedName name="p.OpeningBS" localSheetId="1" hidden="1">#REF!</definedName>
    <definedName name="p.OpeningBS" hidden="1">#REF!</definedName>
    <definedName name="p.TaxCalculation" localSheetId="1" hidden="1">#REF!</definedName>
    <definedName name="p.TaxCalculation" hidden="1">#REF!</definedName>
    <definedName name="p0p0" localSheetId="50" hidden="1">{"via1",#N/A,TRUE,"general";"via2",#N/A,TRUE,"general";"via3",#N/A,TRUE,"general"}</definedName>
    <definedName name="p0p0" localSheetId="1" hidden="1">{"via1",#N/A,TRUE,"general";"via2",#N/A,TRUE,"general";"via3",#N/A,TRUE,"general"}</definedName>
    <definedName name="p0p0" localSheetId="73" hidden="1">{"via1",#N/A,TRUE,"general";"via2",#N/A,TRUE,"general";"via3",#N/A,TRUE,"general"}</definedName>
    <definedName name="p0p0" hidden="1">{"via1",#N/A,TRUE,"general";"via2",#N/A,TRUE,"general";"via3",#N/A,TRUE,"general"}</definedName>
    <definedName name="Pa" localSheetId="1">#REF!</definedName>
    <definedName name="Pa">#REF!</definedName>
    <definedName name="PALB" localSheetId="1">#REF!</definedName>
    <definedName name="PALB">#REF!</definedName>
    <definedName name="pañet" localSheetId="1">#REF!</definedName>
    <definedName name="pañet">#REF!</definedName>
    <definedName name="PAÑETE" localSheetId="1">#REF!</definedName>
    <definedName name="PAÑETE">#REF!</definedName>
    <definedName name="Pararrayos_polimericos" localSheetId="1">#REF!</definedName>
    <definedName name="Pararrayos_polimericos">#REF!</definedName>
    <definedName name="PASAMURO_B_x_EL_L_0.25_Z_0.125_M" localSheetId="1">#REF!</definedName>
    <definedName name="PASAMURO_B_x_EL_L_0.25_Z_0.125_M">#REF!</definedName>
    <definedName name="PAVIMENTO" localSheetId="50">#REF!</definedName>
    <definedName name="PAVIMENTO" localSheetId="1">#REF!</definedName>
    <definedName name="PAVIMENTO">#REF!</definedName>
    <definedName name="Pay_Date" localSheetId="50">#REF!</definedName>
    <definedName name="Pay_Date" localSheetId="1">#REF!</definedName>
    <definedName name="Pay_Date">#REF!</definedName>
    <definedName name="Pay_Num" localSheetId="50">#REF!</definedName>
    <definedName name="Pay_Num" localSheetId="1">#REF!</definedName>
    <definedName name="Pay_Num">#REF!</definedName>
    <definedName name="Payment_Date" localSheetId="2">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19">DATE(YEAR([0]!Loan_Start),MONTH([0]!Loan_Start)+Payment_Number,DAY([0]!Loan_Start))</definedName>
    <definedName name="Payment_Date" localSheetId="20">DATE(YEAR([0]!Loan_Start),MONTH([0]!Loan_Start)+Payment_Number,DAY([0]!Loan_Start))</definedName>
    <definedName name="Payment_Date" localSheetId="21">DATE(YEAR([0]!Loan_Start),MONTH([0]!Loan_Start)+Payment_Number,DAY([0]!Loan_Start))</definedName>
    <definedName name="Payment_Date" localSheetId="22">DATE(YEAR([0]!Loan_Start),MONTH([0]!Loan_Start)+Payment_Number,DAY([0]!Loan_Start))</definedName>
    <definedName name="Payment_Date" localSheetId="23">DATE(YEAR([0]!Loan_Start),MONTH([0]!Loan_Start)+Payment_Number,DAY([0]!Loan_Start))</definedName>
    <definedName name="Payment_Date" localSheetId="24">DATE(YEAR([0]!Loan_Start),MONTH([0]!Loan_Start)+Payment_Number,DAY([0]!Loan_Start))</definedName>
    <definedName name="Payment_Date" localSheetId="25">DATE(YEAR([0]!Loan_Start),MONTH([0]!Loan_Start)+Payment_Number,DAY([0]!Loan_Start))</definedName>
    <definedName name="Payment_Date" localSheetId="26">DATE(YEAR([0]!Loan_Start),MONTH([0]!Loan_Start)+Payment_Number,DAY([0]!Loan_Start))</definedName>
    <definedName name="Payment_Date" localSheetId="27">DATE(YEAR([0]!Loan_Start),MONTH([0]!Loan_Start)+Payment_Number,DAY([0]!Loan_Start))</definedName>
    <definedName name="Payment_Date" localSheetId="28">DATE(YEAR([0]!Loan_Start),MONTH([0]!Loan_Start)+Payment_Number,DAY([0]!Loan_Start))</definedName>
    <definedName name="Payment_Date" localSheetId="29">DATE(YEAR([0]!Loan_Start),MONTH([0]!Loan_Start)+Payment_Number,DAY([0]!Loan_Start))</definedName>
    <definedName name="Payment_Date" localSheetId="30">DATE(YEAR([0]!Loan_Start),MONTH([0]!Loan_Start)+Payment_Number,DAY([0]!Loan_Start))</definedName>
    <definedName name="Payment_Date" localSheetId="31">DATE(YEAR([0]!Loan_Start),MONTH([0]!Loan_Start)+Payment_Number,DAY([0]!Loan_Start))</definedName>
    <definedName name="Payment_Date" localSheetId="32">DATE(YEAR([0]!Loan_Start),MONTH([0]!Loan_Start)+Payment_Number,DAY([0]!Loan_Start))</definedName>
    <definedName name="Payment_Date" localSheetId="33">DATE(YEAR([0]!Loan_Start),MONTH([0]!Loan_Start)+Payment_Number,DAY([0]!Loan_Start))</definedName>
    <definedName name="Payment_Date" localSheetId="34">DATE(YEAR([0]!Loan_Start),MONTH([0]!Loan_Start)+Payment_Number,DAY([0]!Loan_Start))</definedName>
    <definedName name="Payment_Date" localSheetId="35">DATE(YEAR([0]!Loan_Start),MONTH([0]!Loan_Start)+Payment_Number,DAY([0]!Loan_Start))</definedName>
    <definedName name="Payment_Date" localSheetId="36">DATE(YEAR([0]!Loan_Start),MONTH([0]!Loan_Start)+Payment_Number,DAY([0]!Loan_Start))</definedName>
    <definedName name="Payment_Date" localSheetId="37">DATE(YEAR([0]!Loan_Start),MONTH([0]!Loan_Start)+Payment_Number,DAY([0]!Loan_Start))</definedName>
    <definedName name="Payment_Date" localSheetId="39">DATE(YEAR([0]!Loan_Start),MONTH([0]!Loan_Start)+Payment_Number,DAY([0]!Loan_Start))</definedName>
    <definedName name="Payment_Date" localSheetId="40">DATE(YEAR([0]!Loan_Start),MONTH([0]!Loan_Start)+Payment_Number,DAY([0]!Loan_Start))</definedName>
    <definedName name="Payment_Date" localSheetId="41">DATE(YEAR([0]!Loan_Start),MONTH([0]!Loan_Start)+Payment_Number,DAY([0]!Loan_Start))</definedName>
    <definedName name="Payment_Date" localSheetId="42">DATE(YEAR([0]!Loan_Start),MONTH([0]!Loan_Start)+Payment_Number,DAY([0]!Loan_Start))</definedName>
    <definedName name="Payment_Date" localSheetId="43">DATE(YEAR([0]!Loan_Start),MONTH([0]!Loan_Start)+Payment_Number,DAY([0]!Loan_Start))</definedName>
    <definedName name="Payment_Date" localSheetId="44">DATE(YEAR([0]!Loan_Start),MONTH([0]!Loan_Start)+Payment_Number,DAY([0]!Loan_Start))</definedName>
    <definedName name="Payment_Date" localSheetId="45">DATE(YEAR([0]!Loan_Start),MONTH([0]!Loan_Start)+Payment_Number,DAY([0]!Loan_Start))</definedName>
    <definedName name="Payment_Date" localSheetId="46">DATE(YEAR([0]!Loan_Start),MONTH([0]!Loan_Start)+Payment_Number,DAY([0]!Loan_Start))</definedName>
    <definedName name="Payment_Date" localSheetId="47">DATE(YEAR([0]!Loan_Start),MONTH([0]!Loan_Start)+Payment_Number,DAY([0]!Loan_Start))</definedName>
    <definedName name="Payment_Date" localSheetId="48">DATE(YEAR([0]!Loan_Start),MONTH([0]!Loan_Start)+Payment_Number,DAY([0]!Loan_Start))</definedName>
    <definedName name="Payment_Date" localSheetId="49">DATE(YEAR([0]!Loan_Start),MONTH([0]!Loan_Start)+Payment_Number,DAY([0]!Loan_Start))</definedName>
    <definedName name="Payment_Date" localSheetId="50">DATE(YEAR([0]!Loan_Start),MONTH([0]!Loan_Start)+Payment_Number,DAY([0]!Loan_Start))</definedName>
    <definedName name="Payment_Date" localSheetId="51">DATE(YEAR([0]!Loan_Start),MONTH([0]!Loan_Start)+Payment_Number,DAY([0]!Loan_Start))</definedName>
    <definedName name="Payment_Date" localSheetId="52">DATE(YEAR([0]!Loan_Start),MONTH([0]!Loan_Start)+Payment_Number,DAY([0]!Loan_Start))</definedName>
    <definedName name="Payment_Date" localSheetId="53">DATE(YEAR([0]!Loan_Start),MONTH([0]!Loan_Start)+Payment_Number,DAY([0]!Loan_Start))</definedName>
    <definedName name="Payment_Date" localSheetId="54">DATE(YEAR([0]!Loan_Start),MONTH([0]!Loan_Start)+Payment_Number,DAY([0]!Loan_Start))</definedName>
    <definedName name="Payment_Date" localSheetId="55">DATE(YEAR([0]!Loan_Start),MONTH([0]!Loan_Start)+Payment_Number,DAY([0]!Loan_Start))</definedName>
    <definedName name="Payment_Date" localSheetId="56">DATE(YEAR([0]!Loan_Start),MONTH([0]!Loan_Start)+Payment_Number,DAY([0]!Loan_Start))</definedName>
    <definedName name="Payment_Date" localSheetId="57">DATE(YEAR([0]!Loan_Start),MONTH([0]!Loan_Start)+Payment_Number,DAY([0]!Loan_Start))</definedName>
    <definedName name="Payment_Date" localSheetId="58">DATE(YEAR([0]!Loan_Start),MONTH([0]!Loan_Start)+Payment_Number,DAY([0]!Loan_Start))</definedName>
    <definedName name="Payment_Date" localSheetId="59">DATE(YEAR([0]!Loan_Start),MONTH([0]!Loan_Start)+Payment_Number,DAY([0]!Loan_Start))</definedName>
    <definedName name="Payment_Date" localSheetId="60">DATE(YEAR([0]!Loan_Start),MONTH([0]!Loan_Start)+Payment_Number,DAY([0]!Loan_Start))</definedName>
    <definedName name="Payment_Date" localSheetId="61">DATE(YEAR([0]!Loan_Start),MONTH([0]!Loan_Start)+Payment_Number,DAY([0]!Loan_Start))</definedName>
    <definedName name="Payment_Date" localSheetId="62">DATE(YEAR([0]!Loan_Start),MONTH([0]!Loan_Start)+Payment_Number,DAY([0]!Loan_Start))</definedName>
    <definedName name="Payment_Date" localSheetId="63">DATE(YEAR([0]!Loan_Start),MONTH([0]!Loan_Start)+Payment_Number,DAY([0]!Loan_Start))</definedName>
    <definedName name="Payment_Date" localSheetId="64">DATE(YEAR([0]!Loan_Start),MONTH([0]!Loan_Start)+Payment_Number,DAY([0]!Loan_Start))</definedName>
    <definedName name="Payment_Date" localSheetId="65">DATE(YEAR([0]!Loan_Start),MONTH([0]!Loan_Start)+Payment_Number,DAY([0]!Loan_Start))</definedName>
    <definedName name="Payment_Date" localSheetId="66">DATE(YEAR([0]!Loan_Start),MONTH([0]!Loan_Start)+Payment_Number,DAY([0]!Loan_Start))</definedName>
    <definedName name="Payment_Date" localSheetId="67">DATE(YEAR([0]!Loan_Start),MONTH([0]!Loan_Start)+Payment_Number,DAY([0]!Loan_Start))</definedName>
    <definedName name="Payment_Date" localSheetId="68">DATE(YEAR([0]!Loan_Start),MONTH([0]!Loan_Start)+Payment_Number,DAY([0]!Loan_Start))</definedName>
    <definedName name="Payment_Date" localSheetId="69">DATE(YEAR([0]!Loan_Start),MONTH([0]!Loan_Start)+Payment_Number,DAY([0]!Loan_Start))</definedName>
    <definedName name="Payment_Date" localSheetId="70">DATE(YEAR([0]!Loan_Start),MONTH([0]!Loan_Start)+Payment_Number,DAY([0]!Loan_Start))</definedName>
    <definedName name="Payment_Date" localSheetId="1">DATE(YEAR('AU + PGIO'!Loan_Start),MONTH('AU + PGIO'!Loan_Start)+Payment_Number,DAY('AU + PGIO'!Loan_Start))</definedName>
    <definedName name="Payment_Date">DATE(YEAR(Loan_Start),MONTH(Loan_Start)+Payment_Number,DAY(Loan_Start))</definedName>
    <definedName name="PAYUD" localSheetId="50">#REF!</definedName>
    <definedName name="PAYUD" localSheetId="1">#REF!</definedName>
    <definedName name="PAYUD">#REF!</definedName>
    <definedName name="PAZ" localSheetId="50">#REF!</definedName>
    <definedName name="PAZ" localSheetId="1">#REF!</definedName>
    <definedName name="PAZ">#REF!</definedName>
    <definedName name="Pb" localSheetId="50">#REF!</definedName>
    <definedName name="Pb" localSheetId="1">#REF!</definedName>
    <definedName name="Pb">#REF!</definedName>
    <definedName name="Pc" localSheetId="1">#REF!</definedName>
    <definedName name="Pc">#REF!</definedName>
    <definedName name="Pd" localSheetId="1">#REF!</definedName>
    <definedName name="Pd">#REF!</definedName>
    <definedName name="Pe" localSheetId="1">#REF!</definedName>
    <definedName name="Pe">#REF!</definedName>
    <definedName name="PEGANTE" localSheetId="1">#REF!</definedName>
    <definedName name="PEGANTE">#REF!</definedName>
    <definedName name="PEGANTE_P.V.C" localSheetId="1">#REF!</definedName>
    <definedName name="PEGANTE_P.V.C">#REF!</definedName>
    <definedName name="PERGOLA" localSheetId="1">#REF!</definedName>
    <definedName name="PERGOLA">#REF!</definedName>
    <definedName name="PeriodoD" localSheetId="1">#REF!</definedName>
    <definedName name="PeriodoD">#REF!</definedName>
    <definedName name="Perno_1_2_6" localSheetId="1">#REF!</definedName>
    <definedName name="Perno_1_2_6">#REF!</definedName>
    <definedName name="Perno_5_8_12" localSheetId="1">#REF!</definedName>
    <definedName name="Perno_5_8_12">#REF!</definedName>
    <definedName name="PIA" localSheetId="1" hidden="1">#REF!</definedName>
    <definedName name="PIA" hidden="1">#REF!</definedName>
    <definedName name="PIEDRA_RAJON" localSheetId="1">#REF!</definedName>
    <definedName name="PIEDRA_RAJON">#REF!</definedName>
    <definedName name="PILOTE" localSheetId="1">#REF!</definedName>
    <definedName name="PILOTE">#REF!</definedName>
    <definedName name="Pintura_trafico" localSheetId="1">#REF!</definedName>
    <definedName name="Pintura_trafico">#REF!</definedName>
    <definedName name="pinturavinilo" localSheetId="1">#REF!</definedName>
    <definedName name="pinturavinilo">#REF!</definedName>
    <definedName name="Piso_en_ceramica" localSheetId="1">#REF!</definedName>
    <definedName name="Piso_en_ceramica">#REF!</definedName>
    <definedName name="PISOTABLON" localSheetId="1">#REF!</definedName>
    <definedName name="PISOTABLON">#REF!</definedName>
    <definedName name="PKHK" localSheetId="50" hidden="1">{"TAB1",#N/A,TRUE,"GENERAL";"TAB2",#N/A,TRUE,"GENERAL";"TAB3",#N/A,TRUE,"GENERAL";"TAB4",#N/A,TRUE,"GENERAL";"TAB5",#N/A,TRUE,"GENERAL"}</definedName>
    <definedName name="PKHK" localSheetId="1" hidden="1">{"TAB1",#N/A,TRUE,"GENERAL";"TAB2",#N/A,TRUE,"GENERAL";"TAB3",#N/A,TRUE,"GENERAL";"TAB4",#N/A,TRUE,"GENERAL";"TAB5",#N/A,TRUE,"GENERAL"}</definedName>
    <definedName name="PKHK" localSheetId="73" hidden="1">{"TAB1",#N/A,TRUE,"GENERAL";"TAB2",#N/A,TRUE,"GENERAL";"TAB3",#N/A,TRUE,"GENERAL";"TAB4",#N/A,TRUE,"GENERAL";"TAB5",#N/A,TRUE,"GENERAL"}</definedName>
    <definedName name="PKHK" hidden="1">{"TAB1",#N/A,TRUE,"GENERAL";"TAB2",#N/A,TRUE,"GENERAL";"TAB3",#N/A,TRUE,"GENERAL";"TAB4",#N/A,TRUE,"GENERAL";"TAB5",#N/A,TRUE,"GENERAL"}</definedName>
    <definedName name="pkj" localSheetId="50" hidden="1">{"TAB1",#N/A,TRUE,"GENERAL";"TAB2",#N/A,TRUE,"GENERAL";"TAB3",#N/A,TRUE,"GENERAL";"TAB4",#N/A,TRUE,"GENERAL";"TAB5",#N/A,TRUE,"GENERAL"}</definedName>
    <definedName name="pkj" localSheetId="1" hidden="1">{"TAB1",#N/A,TRUE,"GENERAL";"TAB2",#N/A,TRUE,"GENERAL";"TAB3",#N/A,TRUE,"GENERAL";"TAB4",#N/A,TRUE,"GENERAL";"TAB5",#N/A,TRUE,"GENERAL"}</definedName>
    <definedName name="pkj" localSheetId="73" hidden="1">{"TAB1",#N/A,TRUE,"GENERAL";"TAB2",#N/A,TRUE,"GENERAL";"TAB3",#N/A,TRUE,"GENERAL";"TAB4",#N/A,TRUE,"GENERAL";"TAB5",#N/A,TRUE,"GENERAL"}</definedName>
    <definedName name="pkj" hidden="1">{"TAB1",#N/A,TRUE,"GENERAL";"TAB2",#N/A,TRUE,"GENERAL";"TAB3",#N/A,TRUE,"GENERAL";"TAB4",#N/A,TRUE,"GENERAL";"TAB5",#N/A,TRUE,"GENERAL"}</definedName>
    <definedName name="PLACAENTREPISO" localSheetId="1">#REF!</definedName>
    <definedName name="PLACAENTREPISO">#REF!</definedName>
    <definedName name="PLACAMESON" localSheetId="1">#REF!</definedName>
    <definedName name="PLACAMESON">#REF!</definedName>
    <definedName name="PLAD" localSheetId="50" hidden="1">{"TAB1",#N/A,TRUE,"GENERAL";"TAB2",#N/A,TRUE,"GENERAL";"TAB3",#N/A,TRUE,"GENERAL";"TAB4",#N/A,TRUE,"GENERAL";"TAB5",#N/A,TRUE,"GENERAL"}</definedName>
    <definedName name="PLAD" localSheetId="1" hidden="1">{"TAB1",#N/A,TRUE,"GENERAL";"TAB2",#N/A,TRUE,"GENERAL";"TAB3",#N/A,TRUE,"GENERAL";"TAB4",#N/A,TRUE,"GENERAL";"TAB5",#N/A,TRUE,"GENERAL"}</definedName>
    <definedName name="PLAD" localSheetId="73" hidden="1">{"TAB1",#N/A,TRUE,"GENERAL";"TAB2",#N/A,TRUE,"GENERAL";"TAB3",#N/A,TRUE,"GENERAL";"TAB4",#N/A,TRUE,"GENERAL";"TAB5",#N/A,TRUE,"GENERAL"}</definedName>
    <definedName name="PLAD" hidden="1">{"TAB1",#N/A,TRUE,"GENERAL";"TAB2",#N/A,TRUE,"GENERAL";"TAB3",#N/A,TRUE,"GENERAL";"TAB4",#N/A,TRUE,"GENERAL";"TAB5",#N/A,TRUE,"GENERAL"}</definedName>
    <definedName name="Plafones_loza" localSheetId="1">#REF!</definedName>
    <definedName name="Plafones_loza">#REF!</definedName>
    <definedName name="PLANT7" localSheetId="1">#REF!</definedName>
    <definedName name="PLANT7">#REF!</definedName>
    <definedName name="PLASTROCRETE_DM" localSheetId="1">#REF!</definedName>
    <definedName name="PLASTROCRETE_DM">#REF!</definedName>
    <definedName name="PLPLUNN" localSheetId="50"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73" hidden="1">{"TAB1",#N/A,TRUE,"GENERAL";"TAB2",#N/A,TRUE,"GENERAL";"TAB3",#N/A,TRUE,"GENERAL";"TAB4",#N/A,TRUE,"GENERAL";"TAB5",#N/A,TRUE,"GENERAL"}</definedName>
    <definedName name="PLPLUNN" hidden="1">{"TAB1",#N/A,TRUE,"GENERAL";"TAB2",#N/A,TRUE,"GENERAL";"TAB3",#N/A,TRUE,"GENERAL";"TAB4",#N/A,TRUE,"GENERAL";"TAB5",#N/A,TRUE,"GENERAL"}</definedName>
    <definedName name="PLUG" localSheetId="1" hidden="1">#REF!</definedName>
    <definedName name="PLUG" hidden="1">#REF!</definedName>
    <definedName name="pñ" localSheetId="1">#REF!</definedName>
    <definedName name="pñ">#REF!</definedName>
    <definedName name="po" localSheetId="1">#REF!</definedName>
    <definedName name="po">#REF!</definedName>
    <definedName name="Poblacion" localSheetId="1">#REF!</definedName>
    <definedName name="Poblacion">#REF!</definedName>
    <definedName name="POFICIAL" localSheetId="1">#REF!</definedName>
    <definedName name="POFICIAL">#REF!</definedName>
    <definedName name="poi" localSheetId="1">#REF!</definedName>
    <definedName name="poi">#REF!</definedName>
    <definedName name="POIUP" localSheetId="50" hidden="1">{"via1",#N/A,TRUE,"general";"via2",#N/A,TRUE,"general";"via3",#N/A,TRUE,"general"}</definedName>
    <definedName name="POIUP" localSheetId="1" hidden="1">{"via1",#N/A,TRUE,"general";"via2",#N/A,TRUE,"general";"via3",#N/A,TRUE,"general"}</definedName>
    <definedName name="POIUP" localSheetId="73" hidden="1">{"via1",#N/A,TRUE,"general";"via2",#N/A,TRUE,"general";"via3",#N/A,TRUE,"general"}</definedName>
    <definedName name="POIUP" hidden="1">{"via1",#N/A,TRUE,"general";"via2",#N/A,TRUE,"general";"via3",#N/A,TRUE,"general"}</definedName>
    <definedName name="POO" localSheetId="1">#REF!</definedName>
    <definedName name="POO">#REF!</definedName>
    <definedName name="popop" localSheetId="50" hidden="1">{"via1",#N/A,TRUE,"general";"via2",#N/A,TRUE,"general";"via3",#N/A,TRUE,"general"}</definedName>
    <definedName name="popop" localSheetId="1" hidden="1">{"via1",#N/A,TRUE,"general";"via2",#N/A,TRUE,"general";"via3",#N/A,TRUE,"general"}</definedName>
    <definedName name="popop" localSheetId="73" hidden="1">{"via1",#N/A,TRUE,"general";"via2",#N/A,TRUE,"general";"via3",#N/A,TRUE,"general"}</definedName>
    <definedName name="popop" hidden="1">{"via1",#N/A,TRUE,"general";"via2",#N/A,TRUE,"general";"via3",#N/A,TRUE,"general"}</definedName>
    <definedName name="popp" localSheetId="50" hidden="1">{"via1",#N/A,TRUE,"general";"via2",#N/A,TRUE,"general";"via3",#N/A,TRUE,"general"}</definedName>
    <definedName name="popp" localSheetId="1" hidden="1">{"via1",#N/A,TRUE,"general";"via2",#N/A,TRUE,"general";"via3",#N/A,TRUE,"general"}</definedName>
    <definedName name="popp" localSheetId="73" hidden="1">{"via1",#N/A,TRUE,"general";"via2",#N/A,TRUE,"general";"via3",#N/A,TRUE,"general"}</definedName>
    <definedName name="popp" hidden="1">{"via1",#N/A,TRUE,"general";"via2",#N/A,TRUE,"general";"via3",#N/A,TRUE,"general"}</definedName>
    <definedName name="popvds" localSheetId="50"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73" hidden="1">{"TAB1",#N/A,TRUE,"GENERAL";"TAB2",#N/A,TRUE,"GENERAL";"TAB3",#N/A,TRUE,"GENERAL";"TAB4",#N/A,TRUE,"GENERAL";"TAB5",#N/A,TRUE,"GENERAL"}</definedName>
    <definedName name="popvds" hidden="1">{"TAB1",#N/A,TRUE,"GENERAL";"TAB2",#N/A,TRUE,"GENERAL";"TAB3",#N/A,TRUE,"GENERAL";"TAB4",#N/A,TRUE,"GENERAL";"TAB5",#N/A,TRUE,"GENERAL"}</definedName>
    <definedName name="Poste_1050_kg" localSheetId="1">#REF!</definedName>
    <definedName name="Poste_1050_kg">#REF!</definedName>
    <definedName name="pouig" localSheetId="50" hidden="1">{"via1",#N/A,TRUE,"general";"via2",#N/A,TRUE,"general";"via3",#N/A,TRUE,"general"}</definedName>
    <definedName name="pouig" localSheetId="1" hidden="1">{"via1",#N/A,TRUE,"general";"via2",#N/A,TRUE,"general";"via3",#N/A,TRUE,"general"}</definedName>
    <definedName name="pouig" localSheetId="73" hidden="1">{"via1",#N/A,TRUE,"general";"via2",#N/A,TRUE,"general";"via3",#N/A,TRUE,"general"}</definedName>
    <definedName name="pouig" hidden="1">{"via1",#N/A,TRUE,"general";"via2",#N/A,TRUE,"general";"via3",#N/A,TRUE,"general"}</definedName>
    <definedName name="POYOS" localSheetId="1">#REF!</definedName>
    <definedName name="POYOS">#REF!</definedName>
    <definedName name="pp" localSheetId="1">#REF!</definedName>
    <definedName name="pp">#REF!</definedName>
    <definedName name="PPPP" localSheetId="5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localSheetId="73"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50" hidden="1">{"via1",#N/A,TRUE,"general";"via2",#N/A,TRUE,"general";"via3",#N/A,TRUE,"general"}</definedName>
    <definedName name="ppppp9" localSheetId="1" hidden="1">{"via1",#N/A,TRUE,"general";"via2",#N/A,TRUE,"general";"via3",#N/A,TRUE,"general"}</definedName>
    <definedName name="ppppp9" localSheetId="73" hidden="1">{"via1",#N/A,TRUE,"general";"via2",#N/A,TRUE,"general";"via3",#N/A,TRUE,"general"}</definedName>
    <definedName name="ppppp9" hidden="1">{"via1",#N/A,TRUE,"general";"via2",#N/A,TRUE,"general";"via3",#N/A,TRUE,"general"}</definedName>
    <definedName name="pppppd" localSheetId="50"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73" hidden="1">{"TAB1",#N/A,TRUE,"GENERAL";"TAB2",#N/A,TRUE,"GENERAL";"TAB3",#N/A,TRUE,"GENERAL";"TAB4",#N/A,TRUE,"GENERAL";"TAB5",#N/A,TRUE,"GENERAL"}</definedName>
    <definedName name="pppppd" hidden="1">{"TAB1",#N/A,TRUE,"GENERAL";"TAB2",#N/A,TRUE,"GENERAL";"TAB3",#N/A,TRUE,"GENERAL";"TAB4",#N/A,TRUE,"GENERAL";"TAB5",#N/A,TRUE,"GENERAL"}</definedName>
    <definedName name="pqroj" localSheetId="50" hidden="1">{"via1",#N/A,TRUE,"general";"via2",#N/A,TRUE,"general";"via3",#N/A,TRUE,"general"}</definedName>
    <definedName name="pqroj" localSheetId="1" hidden="1">{"via1",#N/A,TRUE,"general";"via2",#N/A,TRUE,"general";"via3",#N/A,TRUE,"general"}</definedName>
    <definedName name="pqroj" localSheetId="73" hidden="1">{"via1",#N/A,TRUE,"general";"via2",#N/A,TRUE,"general";"via3",#N/A,TRUE,"general"}</definedName>
    <definedName name="pqroj" hidden="1">{"via1",#N/A,TRUE,"general";"via2",#N/A,TRUE,"general";"via3",#N/A,TRUE,"general"}</definedName>
    <definedName name="PRE" localSheetId="1">#REF!</definedName>
    <definedName name="PRE">#REF!</definedName>
    <definedName name="PRECIO" localSheetId="50">#REF!</definedName>
    <definedName name="PRECIO" localSheetId="1">#REF!</definedName>
    <definedName name="PRECIO">#REF!</definedName>
    <definedName name="precios" localSheetId="50">#REF!</definedName>
    <definedName name="precios" localSheetId="1">#REF!</definedName>
    <definedName name="precios">#REF!</definedName>
    <definedName name="PRELIMINARES" localSheetId="50">#REF!</definedName>
    <definedName name="PRELIMINARES" localSheetId="1">#REF!</definedName>
    <definedName name="PRELIMINARES">#REF!</definedName>
    <definedName name="Presupuest" localSheetId="50">#REF!</definedName>
    <definedName name="Presupuest" localSheetId="1">#REF!</definedName>
    <definedName name="Presupuest">#REF!</definedName>
    <definedName name="Presupuesto" localSheetId="50">#REF!</definedName>
    <definedName name="Presupuesto" localSheetId="1">#REF!</definedName>
    <definedName name="Presupuesto">#REF!</definedName>
    <definedName name="PRIMER" localSheetId="50" hidden="1">{"via1",#N/A,TRUE,"general";"via2",#N/A,TRUE,"general";"via3",#N/A,TRUE,"general"}</definedName>
    <definedName name="PRIMER" localSheetId="1" hidden="1">{"via1",#N/A,TRUE,"general";"via2",#N/A,TRUE,"general";"via3",#N/A,TRUE,"general"}</definedName>
    <definedName name="PRIMER" localSheetId="73" hidden="1">{"via1",#N/A,TRUE,"general";"via2",#N/A,TRUE,"general";"via3",#N/A,TRUE,"general"}</definedName>
    <definedName name="PRIMER" hidden="1">{"via1",#N/A,TRUE,"general";"via2",#N/A,TRUE,"general";"via3",#N/A,TRUE,"general"}</definedName>
    <definedName name="PRIMET" localSheetId="50"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73"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#REF!</definedName>
    <definedName name="print" localSheetId="1">#REF!</definedName>
    <definedName name="print">#REF!</definedName>
    <definedName name="PRINT_AREA">#N/A</definedName>
    <definedName name="PRINT_AREA_MI">#N/A</definedName>
    <definedName name="Print_Area_Reset" localSheetId="50">OFFSET(Full_Print,0,0,Last_Row)</definedName>
    <definedName name="Print_Area_Reset" localSheetId="1">OFFSET('AU + PGIO'!Full_Print,0,0,Last_Row)</definedName>
    <definedName name="Print_Area_Reset">OFFSET(Full_Print,0,0,Last_Row)</definedName>
    <definedName name="PRINT_TITLES">#N/A</definedName>
    <definedName name="PRINT_TITLES_MI">#N/A</definedName>
    <definedName name="Print_Titles2">#N/A</definedName>
    <definedName name="PrintEnd" localSheetId="50" hidden="1">#REF!</definedName>
    <definedName name="PrintEnd" localSheetId="1" hidden="1">#REF!</definedName>
    <definedName name="PrintEnd" hidden="1">#REF!</definedName>
    <definedName name="PrintStart" localSheetId="50" hidden="1">#REF!</definedName>
    <definedName name="PrintStart" localSheetId="1" hidden="1">#REF!</definedName>
    <definedName name="PrintStart" hidden="1">#REF!</definedName>
    <definedName name="proddsfdhgasd" localSheetId="50">#REF!</definedName>
    <definedName name="proddsfdhgasd" localSheetId="1">#REF!</definedName>
    <definedName name="proddsfdhgasd">#REF!</definedName>
    <definedName name="PROG" localSheetId="1" hidden="1">#REF!</definedName>
    <definedName name="PROG" hidden="1">#REF!</definedName>
    <definedName name="PROPONENTE" localSheetId="1">#REF!</definedName>
    <definedName name="PROPONENTE">#REF!</definedName>
    <definedName name="Prov" localSheetId="1">#REF!</definedName>
    <definedName name="Prov">#REF!</definedName>
    <definedName name="PROYECTO" localSheetId="1">#REF!</definedName>
    <definedName name="PROYECTO">#REF!</definedName>
    <definedName name="PRUEBA2" localSheetId="1">#REF!</definedName>
    <definedName name="PRUEBA2">#REF!</definedName>
    <definedName name="PTAR" localSheetId="5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localSheetId="73"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50" hidden="1">{"TAB1",#N/A,TRUE,"GENERAL";"TAB2",#N/A,TRUE,"GENERAL";"TAB3",#N/A,TRUE,"GENERAL";"TAB4",#N/A,TRUE,"GENERAL";"TAB5",#N/A,TRUE,"GENERAL"}</definedName>
    <definedName name="ptope" localSheetId="1" hidden="1">{"TAB1",#N/A,TRUE,"GENERAL";"TAB2",#N/A,TRUE,"GENERAL";"TAB3",#N/A,TRUE,"GENERAL";"TAB4",#N/A,TRUE,"GENERAL";"TAB5",#N/A,TRUE,"GENERAL"}</definedName>
    <definedName name="ptope" localSheetId="73" hidden="1">{"TAB1",#N/A,TRUE,"GENERAL";"TAB2",#N/A,TRUE,"GENERAL";"TAB3",#N/A,TRUE,"GENERAL";"TAB4",#N/A,TRUE,"GENERAL";"TAB5",#N/A,TRUE,"GENERAL"}</definedName>
    <definedName name="ptope" hidden="1">{"TAB1",#N/A,TRUE,"GENERAL";"TAB2",#N/A,TRUE,"GENERAL";"TAB3",#N/A,TRUE,"GENERAL";"TAB4",#N/A,TRUE,"GENERAL";"TAB5",#N/A,TRUE,"GENERAL"}</definedName>
    <definedName name="ptopes" localSheetId="50" hidden="1">{"via1",#N/A,TRUE,"general";"via2",#N/A,TRUE,"general";"via3",#N/A,TRUE,"general"}</definedName>
    <definedName name="ptopes" localSheetId="1" hidden="1">{"via1",#N/A,TRUE,"general";"via2",#N/A,TRUE,"general";"via3",#N/A,TRUE,"general"}</definedName>
    <definedName name="ptopes" localSheetId="73" hidden="1">{"via1",#N/A,TRUE,"general";"via2",#N/A,TRUE,"general";"via3",#N/A,TRUE,"general"}</definedName>
    <definedName name="ptopes" hidden="1">{"via1",#N/A,TRUE,"general";"via2",#N/A,TRUE,"general";"via3",#N/A,TRUE,"general"}</definedName>
    <definedName name="PUERTA2" localSheetId="1">#REF!</definedName>
    <definedName name="PUERTA2">#REF!</definedName>
    <definedName name="PUERTALUMTOT" localSheetId="1">#REF!</definedName>
    <definedName name="PUERTALUMTOT">#REF!</definedName>
    <definedName name="PUERTAMADETOT" localSheetId="1">#REF!</definedName>
    <definedName name="PUERTAMADETOT">#REF!</definedName>
    <definedName name="PUERTMADECERRAT" localSheetId="1">#REF!</definedName>
    <definedName name="PUERTMADECERRAT">#REF!</definedName>
    <definedName name="PUNT" localSheetId="1">#REF!</definedName>
    <definedName name="PUNT">#REF!</definedName>
    <definedName name="PUNTILLA" localSheetId="1">#REF!</definedName>
    <definedName name="PUNTILLA">#REF!</definedName>
    <definedName name="Punto" localSheetId="1">#REF!</definedName>
    <definedName name="Punto">#REF!</definedName>
    <definedName name="PUNTOHIDRA" localSheetId="1">#REF!</definedName>
    <definedName name="PUNTOHIDRA">#REF!</definedName>
    <definedName name="PUNTOSANIT" localSheetId="1">#REF!</definedName>
    <definedName name="PUNTOSANIT">#REF!</definedName>
    <definedName name="q" localSheetId="1">#REF!</definedName>
    <definedName name="q">#REF!</definedName>
    <definedName name="q1q1q" localSheetId="50" hidden="1">{"via1",#N/A,TRUE,"general";"via2",#N/A,TRUE,"general";"via3",#N/A,TRUE,"general"}</definedName>
    <definedName name="q1q1q" localSheetId="1" hidden="1">{"via1",#N/A,TRUE,"general";"via2",#N/A,TRUE,"general";"via3",#N/A,TRUE,"general"}</definedName>
    <definedName name="q1q1q" localSheetId="73" hidden="1">{"via1",#N/A,TRUE,"general";"via2",#N/A,TRUE,"general";"via3",#N/A,TRUE,"general"}</definedName>
    <definedName name="q1q1q" hidden="1">{"via1",#N/A,TRUE,"general";"via2",#N/A,TRUE,"general";"via3",#N/A,TRUE,"general"}</definedName>
    <definedName name="qaedtguj" localSheetId="50" hidden="1">{"via1",#N/A,TRUE,"general";"via2",#N/A,TRUE,"general";"via3",#N/A,TRUE,"general"}</definedName>
    <definedName name="qaedtguj" localSheetId="1" hidden="1">{"via1",#N/A,TRUE,"general";"via2",#N/A,TRUE,"general";"via3",#N/A,TRUE,"general"}</definedName>
    <definedName name="qaedtguj" localSheetId="73" hidden="1">{"via1",#N/A,TRUE,"general";"via2",#N/A,TRUE,"general";"via3",#N/A,TRUE,"general"}</definedName>
    <definedName name="qaedtguj" hidden="1">{"via1",#N/A,TRUE,"general";"via2",#N/A,TRUE,"general";"via3",#N/A,TRUE,"general"}</definedName>
    <definedName name="QAQSWS" localSheetId="50" hidden="1">{"via1",#N/A,TRUE,"general";"via2",#N/A,TRUE,"general";"via3",#N/A,TRUE,"general"}</definedName>
    <definedName name="QAQSWS" localSheetId="1" hidden="1">{"via1",#N/A,TRUE,"general";"via2",#N/A,TRUE,"general";"via3",#N/A,TRUE,"general"}</definedName>
    <definedName name="QAQSWS" localSheetId="73" hidden="1">{"via1",#N/A,TRUE,"general";"via2",#N/A,TRUE,"general";"via3",#N/A,TRUE,"general"}</definedName>
    <definedName name="QAQSWS" hidden="1">{"via1",#N/A,TRUE,"general";"via2",#N/A,TRUE,"general";"via3",#N/A,TRUE,"general"}</definedName>
    <definedName name="qaqwwxcr" localSheetId="50" hidden="1">{"via1",#N/A,TRUE,"general";"via2",#N/A,TRUE,"general";"via3",#N/A,TRUE,"general"}</definedName>
    <definedName name="qaqwwxcr" localSheetId="1" hidden="1">{"via1",#N/A,TRUE,"general";"via2",#N/A,TRUE,"general";"via3",#N/A,TRUE,"general"}</definedName>
    <definedName name="qaqwwxcr" localSheetId="73" hidden="1">{"via1",#N/A,TRUE,"general";"via2",#N/A,TRUE,"general";"via3",#N/A,TRUE,"general"}</definedName>
    <definedName name="qaqwwxcr" hidden="1">{"via1",#N/A,TRUE,"general";"via2",#N/A,TRUE,"general";"via3",#N/A,TRUE,"general"}</definedName>
    <definedName name="qedcd" localSheetId="50" hidden="1">{"via1",#N/A,TRUE,"general";"via2",#N/A,TRUE,"general";"via3",#N/A,TRUE,"general"}</definedName>
    <definedName name="qedcd" localSheetId="1" hidden="1">{"via1",#N/A,TRUE,"general";"via2",#N/A,TRUE,"general";"via3",#N/A,TRUE,"general"}</definedName>
    <definedName name="qedcd" localSheetId="73" hidden="1">{"via1",#N/A,TRUE,"general";"via2",#N/A,TRUE,"general";"via3",#N/A,TRUE,"general"}</definedName>
    <definedName name="qedcd" hidden="1">{"via1",#N/A,TRUE,"general";"via2",#N/A,TRUE,"general";"via3",#N/A,TRUE,"general"}</definedName>
    <definedName name="qeqewe" localSheetId="50"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73" hidden="1">{"TAB1",#N/A,TRUE,"GENERAL";"TAB2",#N/A,TRUE,"GENERAL";"TAB3",#N/A,TRUE,"GENERAL";"TAB4",#N/A,TRUE,"GENERAL";"TAB5",#N/A,TRUE,"GENERAL"}</definedName>
    <definedName name="qeqewe" hidden="1">{"TAB1",#N/A,TRUE,"GENERAL";"TAB2",#N/A,TRUE,"GENERAL";"TAB3",#N/A,TRUE,"GENERAL";"TAB4",#N/A,TRUE,"GENERAL";"TAB5",#N/A,TRUE,"GENERAL"}</definedName>
    <definedName name="qewj" localSheetId="50" hidden="1">{"via1",#N/A,TRUE,"general";"via2",#N/A,TRUE,"general";"via3",#N/A,TRUE,"general"}</definedName>
    <definedName name="qewj" localSheetId="1" hidden="1">{"via1",#N/A,TRUE,"general";"via2",#N/A,TRUE,"general";"via3",#N/A,TRUE,"general"}</definedName>
    <definedName name="qewj" localSheetId="73" hidden="1">{"via1",#N/A,TRUE,"general";"via2",#N/A,TRUE,"general";"via3",#N/A,TRUE,"general"}</definedName>
    <definedName name="qewj" hidden="1">{"via1",#N/A,TRUE,"general";"via2",#N/A,TRUE,"general";"via3",#N/A,TRUE,"general"}</definedName>
    <definedName name="qm" localSheetId="1">#REF!</definedName>
    <definedName name="qm">#REF!</definedName>
    <definedName name="qq" localSheetId="1">#REF!</definedName>
    <definedName name="qq">#REF!</definedName>
    <definedName name="qqqqqw" localSheetId="50" hidden="1">{"via1",#N/A,TRUE,"general";"via2",#N/A,TRUE,"general";"via3",#N/A,TRUE,"general"}</definedName>
    <definedName name="qqqqqw" localSheetId="1" hidden="1">{"via1",#N/A,TRUE,"general";"via2",#N/A,TRUE,"general";"via3",#N/A,TRUE,"general"}</definedName>
    <definedName name="qqqqqw" localSheetId="73" hidden="1">{"via1",#N/A,TRUE,"general";"via2",#N/A,TRUE,"general";"via3",#N/A,TRUE,"general"}</definedName>
    <definedName name="qqqqqw" hidden="1">{"via1",#N/A,TRUE,"general";"via2",#N/A,TRUE,"general";"via3",#N/A,TRUE,"general"}</definedName>
    <definedName name="qw" localSheetId="50" hidden="1">{"via1",#N/A,TRUE,"general";"via2",#N/A,TRUE,"general";"via3",#N/A,TRUE,"general"}</definedName>
    <definedName name="qw" localSheetId="1" hidden="1">{"via1",#N/A,TRUE,"general";"via2",#N/A,TRUE,"general";"via3",#N/A,TRUE,"general"}</definedName>
    <definedName name="qw" localSheetId="73" hidden="1">{"via1",#N/A,TRUE,"general";"via2",#N/A,TRUE,"general";"via3",#N/A,TRUE,"general"}</definedName>
    <definedName name="qw" hidden="1">{"via1",#N/A,TRUE,"general";"via2",#N/A,TRUE,"general";"via3",#N/A,TRUE,"general"}</definedName>
    <definedName name="qwdas2" localSheetId="50" hidden="1">{"via1",#N/A,TRUE,"general";"via2",#N/A,TRUE,"general";"via3",#N/A,TRUE,"general"}</definedName>
    <definedName name="qwdas2" localSheetId="1" hidden="1">{"via1",#N/A,TRUE,"general";"via2",#N/A,TRUE,"general";"via3",#N/A,TRUE,"general"}</definedName>
    <definedName name="qwdas2" localSheetId="73" hidden="1">{"via1",#N/A,TRUE,"general";"via2",#N/A,TRUE,"general";"via3",#N/A,TRUE,"general"}</definedName>
    <definedName name="qwdas2" hidden="1">{"via1",#N/A,TRUE,"general";"via2",#N/A,TRUE,"general";"via3",#N/A,TRUE,"general"}</definedName>
    <definedName name="qweqe" localSheetId="50" hidden="1">{"TAB1",#N/A,TRUE,"GENERAL";"TAB2",#N/A,TRUE,"GENERAL";"TAB3",#N/A,TRUE,"GENERAL";"TAB4",#N/A,TRUE,"GENERAL";"TAB5",#N/A,TRUE,"GENERAL"}</definedName>
    <definedName name="qweqe" localSheetId="1" hidden="1">{"TAB1",#N/A,TRUE,"GENERAL";"TAB2",#N/A,TRUE,"GENERAL";"TAB3",#N/A,TRUE,"GENERAL";"TAB4",#N/A,TRUE,"GENERAL";"TAB5",#N/A,TRUE,"GENERAL"}</definedName>
    <definedName name="qweqe" localSheetId="73" hidden="1">{"TAB1",#N/A,TRUE,"GENERAL";"TAB2",#N/A,TRUE,"GENERAL";"TAB3",#N/A,TRUE,"GENERAL";"TAB4",#N/A,TRUE,"GENERAL";"TAB5",#N/A,TRUE,"GENERAL"}</definedName>
    <definedName name="qweqe" hidden="1">{"TAB1",#N/A,TRUE,"GENERAL";"TAB2",#N/A,TRUE,"GENERAL";"TAB3",#N/A,TRUE,"GENERAL";"TAB4",#N/A,TRUE,"GENERAL";"TAB5",#N/A,TRUE,"GENERAL"}</definedName>
    <definedName name="qwewertet" localSheetId="50" hidden="1">{#N/A,#N/A,TRUE,"1842CWN0"}</definedName>
    <definedName name="qwewertet" localSheetId="1" hidden="1">{#N/A,#N/A,TRUE,"1842CWN0"}</definedName>
    <definedName name="qwewertet" localSheetId="73" hidden="1">{#N/A,#N/A,TRUE,"1842CWN0"}</definedName>
    <definedName name="qwewertet" hidden="1">{#N/A,#N/A,TRUE,"1842CWN0"}</definedName>
    <definedName name="qwqwqwj" localSheetId="50"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73" hidden="1">{"TAB1",#N/A,TRUE,"GENERAL";"TAB2",#N/A,TRUE,"GENERAL";"TAB3",#N/A,TRUE,"GENERAL";"TAB4",#N/A,TRUE,"GENERAL";"TAB5",#N/A,TRUE,"GENERAL"}</definedName>
    <definedName name="qwqwqwj" hidden="1">{"TAB1",#N/A,TRUE,"GENERAL";"TAB2",#N/A,TRUE,"GENERAL";"TAB3",#N/A,TRUE,"GENERAL";"TAB4",#N/A,TRUE,"GENERAL";"TAB5",#N/A,TRUE,"GENERAL"}</definedName>
    <definedName name="R.1" localSheetId="1">#REF!</definedName>
    <definedName name="R.1">#REF!</definedName>
    <definedName name="R.10" localSheetId="1">#REF!</definedName>
    <definedName name="R.10">#REF!</definedName>
    <definedName name="R.11" localSheetId="1">#REF!</definedName>
    <definedName name="R.11">#REF!</definedName>
    <definedName name="R.12" localSheetId="1">#REF!</definedName>
    <definedName name="R.12">#REF!</definedName>
    <definedName name="R.13" localSheetId="1">#REF!</definedName>
    <definedName name="R.13">#REF!</definedName>
    <definedName name="R.14" localSheetId="1">#REF!</definedName>
    <definedName name="R.14">#REF!</definedName>
    <definedName name="R.15" localSheetId="1">#REF!</definedName>
    <definedName name="R.15">#REF!</definedName>
    <definedName name="R.16" localSheetId="1">#REF!</definedName>
    <definedName name="R.16">#REF!</definedName>
    <definedName name="R.17" localSheetId="1">#REF!</definedName>
    <definedName name="R.17">#REF!</definedName>
    <definedName name="R.18" localSheetId="1">#REF!</definedName>
    <definedName name="R.18">#REF!</definedName>
    <definedName name="R.19" localSheetId="1">#REF!</definedName>
    <definedName name="R.19">#REF!</definedName>
    <definedName name="R.2" localSheetId="1">#REF!</definedName>
    <definedName name="R.2">#REF!</definedName>
    <definedName name="R.3" localSheetId="1">#REF!</definedName>
    <definedName name="R.3">#REF!</definedName>
    <definedName name="R.4" localSheetId="1">#REF!</definedName>
    <definedName name="R.4">#REF!</definedName>
    <definedName name="R.5" localSheetId="1">#REF!</definedName>
    <definedName name="R.5">#REF!</definedName>
    <definedName name="R.6" localSheetId="1">#REF!</definedName>
    <definedName name="R.6">#REF!</definedName>
    <definedName name="R.7" localSheetId="1">#REF!</definedName>
    <definedName name="R.7">#REF!</definedName>
    <definedName name="R.8" localSheetId="1">#REF!</definedName>
    <definedName name="R.8">#REF!</definedName>
    <definedName name="R.9" localSheetId="1">#REF!</definedName>
    <definedName name="R.9">#REF!</definedName>
    <definedName name="r.CashFlow" localSheetId="1" hidden="1">#REF!</definedName>
    <definedName name="r.CashFlow" hidden="1">#REF!</definedName>
    <definedName name="r.Leverage" localSheetId="1" hidden="1">#REF!</definedName>
    <definedName name="r.Leverage" hidden="1">#REF!</definedName>
    <definedName name="r.Liquidity" localSheetId="1" hidden="1">#REF!</definedName>
    <definedName name="r.Liquidity" hidden="1">#REF!</definedName>
    <definedName name="r.Market" localSheetId="1" hidden="1">#REF!</definedName>
    <definedName name="r.Market" hidden="1">#REF!</definedName>
    <definedName name="r.Profitability" localSheetId="1" hidden="1">#REF!</definedName>
    <definedName name="r.Profitability" hidden="1">#REF!</definedName>
    <definedName name="r.Summary" localSheetId="1" hidden="1">#REF!</definedName>
    <definedName name="r.Summary" hidden="1">#REF!</definedName>
    <definedName name="Ra" localSheetId="1">#REF!</definedName>
    <definedName name="Ra">#REF!</definedName>
    <definedName name="RAJON" localSheetId="1">#REF!</definedName>
    <definedName name="RAJON">#REF!</definedName>
    <definedName name="RANA" localSheetId="1">#REF!</definedName>
    <definedName name="RANA">#REF!</definedName>
    <definedName name="rata" localSheetId="1">#REF!</definedName>
    <definedName name="rata">#REF!</definedName>
    <definedName name="Rb" localSheetId="1">#REF!</definedName>
    <definedName name="Rb">#REF!</definedName>
    <definedName name="Rd" localSheetId="1">#REF!</definedName>
    <definedName name="Rd">#REF!</definedName>
    <definedName name="rds" localSheetId="1">#REF!</definedName>
    <definedName name="rds">#REF!</definedName>
    <definedName name="Re" localSheetId="1">#REF!</definedName>
    <definedName name="Re">#REF!</definedName>
    <definedName name="RECAT" localSheetId="1">#REF!</definedName>
    <definedName name="RECAT">#REF!</definedName>
    <definedName name="RED" localSheetId="5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RED"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RED"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REDOBLON" localSheetId="1">#REF!</definedName>
    <definedName name="REDOBLON">#REF!</definedName>
    <definedName name="REDUCCION_3__x_2" localSheetId="1">#REF!</definedName>
    <definedName name="REDUCCION_3__x_2">#REF!</definedName>
    <definedName name="REDUCCION_4__x_3" localSheetId="1">#REF!</definedName>
    <definedName name="REDUCCION_4__x_3">#REF!</definedName>
    <definedName name="REF" localSheetId="1">#REF!</definedName>
    <definedName name="REF">#REF!</definedName>
    <definedName name="rege" localSheetId="50" hidden="1">{"TAB1",#N/A,TRUE,"GENERAL";"TAB2",#N/A,TRUE,"GENERAL";"TAB3",#N/A,TRUE,"GENERAL";"TAB4",#N/A,TRUE,"GENERAL";"TAB5",#N/A,TRUE,"GENERAL"}</definedName>
    <definedName name="rege" localSheetId="1" hidden="1">{"TAB1",#N/A,TRUE,"GENERAL";"TAB2",#N/A,TRUE,"GENERAL";"TAB3",#N/A,TRUE,"GENERAL";"TAB4",#N/A,TRUE,"GENERAL";"TAB5",#N/A,TRUE,"GENERAL"}</definedName>
    <definedName name="rege" localSheetId="73" hidden="1">{"TAB1",#N/A,TRUE,"GENERAL";"TAB2",#N/A,TRUE,"GENERAL";"TAB3",#N/A,TRUE,"GENERAL";"TAB4",#N/A,TRUE,"GENERAL";"TAB5",#N/A,TRUE,"GENERAL"}</definedName>
    <definedName name="rege" hidden="1">{"TAB1",#N/A,TRUE,"GENERAL";"TAB2",#N/A,TRUE,"GENERAL";"TAB3",#N/A,TRUE,"GENERAL";"TAB4",#N/A,TRUE,"GENERAL";"TAB5",#N/A,TRUE,"GENERAL"}</definedName>
    <definedName name="regresd" localSheetId="50"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73" hidden="1">{"TAB1",#N/A,TRUE,"GENERAL";"TAB2",#N/A,TRUE,"GENERAL";"TAB3",#N/A,TRUE,"GENERAL";"TAB4",#N/A,TRUE,"GENERAL";"TAB5",#N/A,TRUE,"GENERAL"}</definedName>
    <definedName name="regresd" hidden="1">{"TAB1",#N/A,TRUE,"GENERAL";"TAB2",#N/A,TRUE,"GENERAL";"TAB3",#N/A,TRUE,"GENERAL";"TAB4",#N/A,TRUE,"GENERAL";"TAB5",#N/A,TRUE,"GENERAL"}</definedName>
    <definedName name="regthio" localSheetId="50"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73" hidden="1">{"TAB1",#N/A,TRUE,"GENERAL";"TAB2",#N/A,TRUE,"GENERAL";"TAB3",#N/A,TRUE,"GENERAL";"TAB4",#N/A,TRUE,"GENERAL";"TAB5",#N/A,TRUE,"GENERAL"}</definedName>
    <definedName name="regthio" hidden="1">{"TAB1",#N/A,TRUE,"GENERAL";"TAB2",#N/A,TRUE,"GENERAL";"TAB3",#N/A,TRUE,"GENERAL";"TAB4",#N/A,TRUE,"GENERAL";"TAB5",#N/A,TRUE,"GENERAL"}</definedName>
    <definedName name="REGULAR4006" localSheetId="50">#REF!</definedName>
    <definedName name="REGULAR4006" localSheetId="1">#REF!</definedName>
    <definedName name="REGULAR4006">#REF!</definedName>
    <definedName name="REGULAR4006A" localSheetId="50">#REF!</definedName>
    <definedName name="REGULAR4006A" localSheetId="1">#REF!</definedName>
    <definedName name="REGULAR4006A">#REF!</definedName>
    <definedName name="REGULAR40CN01" localSheetId="50">#REF!</definedName>
    <definedName name="REGULAR40CN01" localSheetId="1">#REF!</definedName>
    <definedName name="REGULAR40CN01">#REF!</definedName>
    <definedName name="REGULAR40CNA" localSheetId="1">#REF!</definedName>
    <definedName name="REGULAR40CNA">#REF!</definedName>
    <definedName name="REGULAR40CNB" localSheetId="1">#REF!</definedName>
    <definedName name="REGULAR40CNB">#REF!</definedName>
    <definedName name="REGULAR55CN01" localSheetId="1">#REF!</definedName>
    <definedName name="REGULAR55CN01">#REF!</definedName>
    <definedName name="REGULAR55CN03" localSheetId="1">#REF!</definedName>
    <definedName name="REGULAR55CN03">#REF!</definedName>
    <definedName name="REGULAR5607" localSheetId="1">#REF!</definedName>
    <definedName name="REGULAR5607">#REF!</definedName>
    <definedName name="REGULARAFIR5607" localSheetId="1">#REF!</definedName>
    <definedName name="REGULARAFIR5607">#REF!</definedName>
    <definedName name="REJHE" localSheetId="50" hidden="1">{"via1",#N/A,TRUE,"general";"via2",#N/A,TRUE,"general";"via3",#N/A,TRUE,"general"}</definedName>
    <definedName name="REJHE" localSheetId="1" hidden="1">{"via1",#N/A,TRUE,"general";"via2",#N/A,TRUE,"general";"via3",#N/A,TRUE,"general"}</definedName>
    <definedName name="REJHE" localSheetId="73" hidden="1">{"via1",#N/A,TRUE,"general";"via2",#N/A,TRUE,"general";"via3",#N/A,TRUE,"general"}</definedName>
    <definedName name="REJHE" hidden="1">{"via1",#N/A,TRUE,"general";"via2",#N/A,TRUE,"general";"via3",#N/A,TRUE,"general"}</definedName>
    <definedName name="REJISOS2TOT" localSheetId="1">#REF!</definedName>
    <definedName name="REJISOS2TOT">#REF!</definedName>
    <definedName name="RELACUION" localSheetId="1">#REF!</definedName>
    <definedName name="RELACUION">#REF!</definedName>
    <definedName name="rell" localSheetId="1">#REF!</definedName>
    <definedName name="rell">#REF!</definedName>
    <definedName name="relle" localSheetId="1">#REF!</definedName>
    <definedName name="relle">#REF!</definedName>
    <definedName name="RELLENO" localSheetId="1">#REF!</definedName>
    <definedName name="RELLENO">#REF!</definedName>
    <definedName name="RELLENOALUV" localSheetId="1">#REF!</definedName>
    <definedName name="RELLENOALUV">#REF!</definedName>
    <definedName name="REMATE" localSheetId="1">#REF!</definedName>
    <definedName name="REMATE">#REF!</definedName>
    <definedName name="repello" localSheetId="50">#REF!</definedName>
    <definedName name="repello" localSheetId="1">#REF!</definedName>
    <definedName name="repello">#REF!</definedName>
    <definedName name="REPLANTEO" localSheetId="50">#REF!</definedName>
    <definedName name="REPLANTEO" localSheetId="1">#REF!</definedName>
    <definedName name="REPLANTEO">#REF!</definedName>
    <definedName name="rer" localSheetId="50" hidden="1">{"via1",#N/A,TRUE,"general";"via2",#N/A,TRUE,"general";"via3",#N/A,TRUE,"general"}</definedName>
    <definedName name="rer" localSheetId="1" hidden="1">{"via1",#N/A,TRUE,"general";"via2",#N/A,TRUE,"general";"via3",#N/A,TRUE,"general"}</definedName>
    <definedName name="rer" localSheetId="73" hidden="1">{"via1",#N/A,TRUE,"general";"via2",#N/A,TRUE,"general";"via3",#N/A,TRUE,"general"}</definedName>
    <definedName name="rer" hidden="1">{"via1",#N/A,TRUE,"general";"via2",#N/A,TRUE,"general";"via3",#N/A,TRUE,"general"}</definedName>
    <definedName name="rererw" localSheetId="50"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73" hidden="1">{"TAB1",#N/A,TRUE,"GENERAL";"TAB2",#N/A,TRUE,"GENERAL";"TAB3",#N/A,TRUE,"GENERAL";"TAB4",#N/A,TRUE,"GENERAL";"TAB5",#N/A,TRUE,"GENERAL"}</definedName>
    <definedName name="rererw" hidden="1">{"TAB1",#N/A,TRUE,"GENERAL";"TAB2",#N/A,TRUE,"GENERAL";"TAB3",#N/A,TRUE,"GENERAL";"TAB4",#N/A,TRUE,"GENERAL";"TAB5",#N/A,TRUE,"GENERAL"}</definedName>
    <definedName name="rerg" localSheetId="50" hidden="1">{"TAB1",#N/A,TRUE,"GENERAL";"TAB2",#N/A,TRUE,"GENERAL";"TAB3",#N/A,TRUE,"GENERAL";"TAB4",#N/A,TRUE,"GENERAL";"TAB5",#N/A,TRUE,"GENERAL"}</definedName>
    <definedName name="rerg" localSheetId="1" hidden="1">{"TAB1",#N/A,TRUE,"GENERAL";"TAB2",#N/A,TRUE,"GENERAL";"TAB3",#N/A,TRUE,"GENERAL";"TAB4",#N/A,TRUE,"GENERAL";"TAB5",#N/A,TRUE,"GENERAL"}</definedName>
    <definedName name="rerg" localSheetId="73" hidden="1">{"TAB1",#N/A,TRUE,"GENERAL";"TAB2",#N/A,TRUE,"GENERAL";"TAB3",#N/A,TRUE,"GENERAL";"TAB4",#N/A,TRUE,"GENERAL";"TAB5",#N/A,TRUE,"GENERAL"}</definedName>
    <definedName name="rerg" hidden="1">{"TAB1",#N/A,TRUE,"GENERAL";"TAB2",#N/A,TRUE,"GENERAL";"TAB3",#N/A,TRUE,"GENERAL";"TAB4",#N/A,TRUE,"GENERAL";"TAB5",#N/A,TRUE,"GENERAL"}</definedName>
    <definedName name="rerrrrw" localSheetId="50"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73" hidden="1">{"TAB1",#N/A,TRUE,"GENERAL";"TAB2",#N/A,TRUE,"GENERAL";"TAB3",#N/A,TRUE,"GENERAL";"TAB4",#N/A,TRUE,"GENERAL";"TAB5",#N/A,TRUE,"GENERAL"}</definedName>
    <definedName name="rerrrrw" hidden="1">{"TAB1",#N/A,TRUE,"GENERAL";"TAB2",#N/A,TRUE,"GENERAL";"TAB3",#N/A,TRUE,"GENERAL";"TAB4",#N/A,TRUE,"GENERAL";"TAB5",#N/A,TRUE,"GENERAL"}</definedName>
    <definedName name="resul" localSheetId="50">#REF!</definedName>
    <definedName name="resul" localSheetId="1">#REF!</definedName>
    <definedName name="resul">#REF!</definedName>
    <definedName name="retiroarbol" localSheetId="50">#REF!</definedName>
    <definedName name="retiroarbol" localSheetId="1">#REF!</definedName>
    <definedName name="retiroarbol">#REF!</definedName>
    <definedName name="retirocorte" localSheetId="50">#REF!</definedName>
    <definedName name="retirocorte" localSheetId="1">#REF!</definedName>
    <definedName name="retirocorte">#REF!</definedName>
    <definedName name="RETIROTOT" localSheetId="1">#REF!</definedName>
    <definedName name="RETIROTOT">#REF!</definedName>
    <definedName name="Retroexcavadora_pc_40" localSheetId="1">#REF!</definedName>
    <definedName name="Retroexcavadora_pc_40">#REF!</definedName>
    <definedName name="RETTRE" localSheetId="50" hidden="1">{"via1",#N/A,TRUE,"general";"via2",#N/A,TRUE,"general";"via3",#N/A,TRUE,"general"}</definedName>
    <definedName name="RETTRE" localSheetId="1" hidden="1">{"via1",#N/A,TRUE,"general";"via2",#N/A,TRUE,"general";"via3",#N/A,TRUE,"general"}</definedName>
    <definedName name="RETTRE" localSheetId="73" hidden="1">{"via1",#N/A,TRUE,"general";"via2",#N/A,TRUE,"general";"via3",#N/A,TRUE,"general"}</definedName>
    <definedName name="RETTRE" hidden="1">{"via1",#N/A,TRUE,"general";"via2",#N/A,TRUE,"general";"via3",#N/A,TRUE,"general"}</definedName>
    <definedName name="rety" localSheetId="50" hidden="1">{"TAB1",#N/A,TRUE,"GENERAL";"TAB2",#N/A,TRUE,"GENERAL";"TAB3",#N/A,TRUE,"GENERAL";"TAB4",#N/A,TRUE,"GENERAL";"TAB5",#N/A,TRUE,"GENERAL"}</definedName>
    <definedName name="rety" localSheetId="1" hidden="1">{"TAB1",#N/A,TRUE,"GENERAL";"TAB2",#N/A,TRUE,"GENERAL";"TAB3",#N/A,TRUE,"GENERAL";"TAB4",#N/A,TRUE,"GENERAL";"TAB5",#N/A,TRUE,"GENERAL"}</definedName>
    <definedName name="rety" localSheetId="73" hidden="1">{"TAB1",#N/A,TRUE,"GENERAL";"TAB2",#N/A,TRUE,"GENERAL";"TAB3",#N/A,TRUE,"GENERAL";"TAB4",#N/A,TRUE,"GENERAL";"TAB5",#N/A,TRUE,"GENERAL"}</definedName>
    <definedName name="rety" hidden="1">{"TAB1",#N/A,TRUE,"GENERAL";"TAB2",#N/A,TRUE,"GENERAL";"TAB3",#N/A,TRUE,"GENERAL";"TAB4",#N/A,TRUE,"GENERAL";"TAB5",#N/A,TRUE,"GENERAL"}</definedName>
    <definedName name="rewfreg" localSheetId="50" hidden="1">{"via1",#N/A,TRUE,"general";"via2",#N/A,TRUE,"general";"via3",#N/A,TRUE,"general"}</definedName>
    <definedName name="rewfreg" localSheetId="1" hidden="1">{"via1",#N/A,TRUE,"general";"via2",#N/A,TRUE,"general";"via3",#N/A,TRUE,"general"}</definedName>
    <definedName name="rewfreg" localSheetId="73" hidden="1">{"via1",#N/A,TRUE,"general";"via2",#N/A,TRUE,"general";"via3",#N/A,TRUE,"general"}</definedName>
    <definedName name="rewfreg" hidden="1">{"via1",#N/A,TRUE,"general";"via2",#N/A,TRUE,"general";"via3",#N/A,TRUE,"general"}</definedName>
    <definedName name="rewr" localSheetId="50" hidden="1">{"via1",#N/A,TRUE,"general";"via2",#N/A,TRUE,"general";"via3",#N/A,TRUE,"general"}</definedName>
    <definedName name="rewr" localSheetId="1" hidden="1">{"via1",#N/A,TRUE,"general";"via2",#N/A,TRUE,"general";"via3",#N/A,TRUE,"general"}</definedName>
    <definedName name="rewr" localSheetId="73" hidden="1">{"via1",#N/A,TRUE,"general";"via2",#N/A,TRUE,"general";"via3",#N/A,TRUE,"general"}</definedName>
    <definedName name="rewr" hidden="1">{"via1",#N/A,TRUE,"general";"via2",#N/A,TRUE,"general";"via3",#N/A,TRUE,"general"}</definedName>
    <definedName name="REWWER" localSheetId="50"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73" hidden="1">{"TAB1",#N/A,TRUE,"GENERAL";"TAB2",#N/A,TRUE,"GENERAL";"TAB3",#N/A,TRUE,"GENERAL";"TAB4",#N/A,TRUE,"GENERAL";"TAB5",#N/A,TRUE,"GENERAL"}</definedName>
    <definedName name="REWWER" hidden="1">{"TAB1",#N/A,TRUE,"GENERAL";"TAB2",#N/A,TRUE,"GENERAL";"TAB3",#N/A,TRUE,"GENERAL";"TAB4",#N/A,TRUE,"GENERAL";"TAB5",#N/A,TRUE,"GENERAL"}</definedName>
    <definedName name="reyepoi" localSheetId="50"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73" hidden="1">{"TAB1",#N/A,TRUE,"GENERAL";"TAB2",#N/A,TRUE,"GENERAL";"TAB3",#N/A,TRUE,"GENERAL";"TAB4",#N/A,TRUE,"GENERAL";"TAB5",#N/A,TRUE,"GENERAL"}</definedName>
    <definedName name="reyepoi" hidden="1">{"TAB1",#N/A,TRUE,"GENERAL";"TAB2",#N/A,TRUE,"GENERAL";"TAB3",#N/A,TRUE,"GENERAL";"TAB4",#N/A,TRUE,"GENERAL";"TAB5",#N/A,TRUE,"GENERAL"}</definedName>
    <definedName name="reyety" localSheetId="50" hidden="1">{"via1",#N/A,TRUE,"general";"via2",#N/A,TRUE,"general";"via3",#N/A,TRUE,"general"}</definedName>
    <definedName name="reyety" localSheetId="1" hidden="1">{"via1",#N/A,TRUE,"general";"via2",#N/A,TRUE,"general";"via3",#N/A,TRUE,"general"}</definedName>
    <definedName name="reyety" localSheetId="73" hidden="1">{"via1",#N/A,TRUE,"general";"via2",#N/A,TRUE,"general";"via3",#N/A,TRUE,"general"}</definedName>
    <definedName name="reyety" hidden="1">{"via1",#N/A,TRUE,"general";"via2",#N/A,TRUE,"general";"via3",#N/A,TRUE,"general"}</definedName>
    <definedName name="reyty" localSheetId="50" hidden="1">{"via1",#N/A,TRUE,"general";"via2",#N/A,TRUE,"general";"via3",#N/A,TRUE,"general"}</definedName>
    <definedName name="reyty" localSheetId="1" hidden="1">{"via1",#N/A,TRUE,"general";"via2",#N/A,TRUE,"general";"via3",#N/A,TRUE,"general"}</definedName>
    <definedName name="reyty" localSheetId="73" hidden="1">{"via1",#N/A,TRUE,"general";"via2",#N/A,TRUE,"general";"via3",#N/A,TRUE,"general"}</definedName>
    <definedName name="reyty" hidden="1">{"via1",#N/A,TRUE,"general";"via2",#N/A,TRUE,"general";"via3",#N/A,TRUE,"general"}</definedName>
    <definedName name="reyyt" localSheetId="50" hidden="1">{"via1",#N/A,TRUE,"general";"via2",#N/A,TRUE,"general";"via3",#N/A,TRUE,"general"}</definedName>
    <definedName name="reyyt" localSheetId="1" hidden="1">{"via1",#N/A,TRUE,"general";"via2",#N/A,TRUE,"general";"via3",#N/A,TRUE,"general"}</definedName>
    <definedName name="reyyt" localSheetId="73" hidden="1">{"via1",#N/A,TRUE,"general";"via2",#N/A,TRUE,"general";"via3",#N/A,TRUE,"general"}</definedName>
    <definedName name="reyyt" hidden="1">{"via1",#N/A,TRUE,"general";"via2",#N/A,TRUE,"general";"via3",#N/A,TRUE,"general"}</definedName>
    <definedName name="Rf" localSheetId="1">#REF!</definedName>
    <definedName name="Rf">#REF!</definedName>
    <definedName name="rfhnhjyu" localSheetId="50"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73" hidden="1">{"TAB1",#N/A,TRUE,"GENERAL";"TAB2",#N/A,TRUE,"GENERAL";"TAB3",#N/A,TRUE,"GENERAL";"TAB4",#N/A,TRUE,"GENERAL";"TAB5",#N/A,TRUE,"GENERAL"}</definedName>
    <definedName name="rfhnhjyu" hidden="1">{"TAB1",#N/A,TRUE,"GENERAL";"TAB2",#N/A,TRUE,"GENERAL";"TAB3",#N/A,TRUE,"GENERAL";"TAB4",#N/A,TRUE,"GENERAL";"TAB5",#N/A,TRUE,"GENERAL"}</definedName>
    <definedName name="rfref" localSheetId="1">#REF!</definedName>
    <definedName name="rfref">#REF!</definedName>
    <definedName name="rfrf" localSheetId="50" hidden="1">{"via1",#N/A,TRUE,"general";"via2",#N/A,TRUE,"general";"via3",#N/A,TRUE,"general"}</definedName>
    <definedName name="rfrf" localSheetId="1" hidden="1">{"via1",#N/A,TRUE,"general";"via2",#N/A,TRUE,"general";"via3",#N/A,TRUE,"general"}</definedName>
    <definedName name="rfrf" localSheetId="73" hidden="1">{"via1",#N/A,TRUE,"general";"via2",#N/A,TRUE,"general";"via3",#N/A,TRUE,"general"}</definedName>
    <definedName name="rfrf" hidden="1">{"via1",#N/A,TRUE,"general";"via2",#N/A,TRUE,"general";"via3",#N/A,TRUE,"general"}</definedName>
    <definedName name="Rg" localSheetId="1">#REF!</definedName>
    <definedName name="Rg">#REF!</definedName>
    <definedName name="rge" localSheetId="50" hidden="1">{"via1",#N/A,TRUE,"general";"via2",#N/A,TRUE,"general";"via3",#N/A,TRUE,"general"}</definedName>
    <definedName name="rge" localSheetId="1" hidden="1">{"via1",#N/A,TRUE,"general";"via2",#N/A,TRUE,"general";"via3",#N/A,TRUE,"general"}</definedName>
    <definedName name="rge" localSheetId="73" hidden="1">{"via1",#N/A,TRUE,"general";"via2",#N/A,TRUE,"general";"via3",#N/A,TRUE,"general"}</definedName>
    <definedName name="rge" hidden="1">{"via1",#N/A,TRUE,"general";"via2",#N/A,TRUE,"general";"via3",#N/A,TRUE,"general"}</definedName>
    <definedName name="rgegg" localSheetId="50" hidden="1">{"via1",#N/A,TRUE,"general";"via2",#N/A,TRUE,"general";"via3",#N/A,TRUE,"general"}</definedName>
    <definedName name="rgegg" localSheetId="1" hidden="1">{"via1",#N/A,TRUE,"general";"via2",#N/A,TRUE,"general";"via3",#N/A,TRUE,"general"}</definedName>
    <definedName name="rgegg" localSheetId="73" hidden="1">{"via1",#N/A,TRUE,"general";"via2",#N/A,TRUE,"general";"via3",#N/A,TRUE,"general"}</definedName>
    <definedName name="rgegg" hidden="1">{"via1",#N/A,TRUE,"general";"via2",#N/A,TRUE,"general";"via3",#N/A,TRUE,"general"}</definedName>
    <definedName name="Rh" localSheetId="1">#REF!</definedName>
    <definedName name="Rh">#REF!</definedName>
    <definedName name="rhh" localSheetId="50" hidden="1">{"TAB1",#N/A,TRUE,"GENERAL";"TAB2",#N/A,TRUE,"GENERAL";"TAB3",#N/A,TRUE,"GENERAL";"TAB4",#N/A,TRUE,"GENERAL";"TAB5",#N/A,TRUE,"GENERAL"}</definedName>
    <definedName name="rhh" localSheetId="1" hidden="1">{"TAB1",#N/A,TRUE,"GENERAL";"TAB2",#N/A,TRUE,"GENERAL";"TAB3",#N/A,TRUE,"GENERAL";"TAB4",#N/A,TRUE,"GENERAL";"TAB5",#N/A,TRUE,"GENERAL"}</definedName>
    <definedName name="rhh" localSheetId="73" hidden="1">{"TAB1",#N/A,TRUE,"GENERAL";"TAB2",#N/A,TRUE,"GENERAL";"TAB3",#N/A,TRUE,"GENERAL";"TAB4",#N/A,TRUE,"GENERAL";"TAB5",#N/A,TRUE,"GENERAL"}</definedName>
    <definedName name="rhh" hidden="1">{"TAB1",#N/A,TRUE,"GENERAL";"TAB2",#N/A,TRUE,"GENERAL";"TAB3",#N/A,TRUE,"GENERAL";"TAB4",#N/A,TRUE,"GENERAL";"TAB5",#N/A,TRUE,"GENERAL"}</definedName>
    <definedName name="rhrtd" localSheetId="50" hidden="1">{"TAB1",#N/A,TRUE,"GENERAL";"TAB2",#N/A,TRUE,"GENERAL";"TAB3",#N/A,TRUE,"GENERAL";"TAB4",#N/A,TRUE,"GENERAL";"TAB5",#N/A,TRUE,"GENERAL"}</definedName>
    <definedName name="rhrtd" localSheetId="1" hidden="1">{"TAB1",#N/A,TRUE,"GENERAL";"TAB2",#N/A,TRUE,"GENERAL";"TAB3",#N/A,TRUE,"GENERAL";"TAB4",#N/A,TRUE,"GENERAL";"TAB5",#N/A,TRUE,"GENERAL"}</definedName>
    <definedName name="rhrtd" localSheetId="73" hidden="1">{"TAB1",#N/A,TRUE,"GENERAL";"TAB2",#N/A,TRUE,"GENERAL";"TAB3",#N/A,TRUE,"GENERAL";"TAB4",#N/A,TRUE,"GENERAL";"TAB5",#N/A,TRUE,"GENERAL"}</definedName>
    <definedName name="rhrtd" hidden="1">{"TAB1",#N/A,TRUE,"GENERAL";"TAB2",#N/A,TRUE,"GENERAL";"TAB3",#N/A,TRUE,"GENERAL";"TAB4",#N/A,TRUE,"GENERAL";"TAB5",#N/A,TRUE,"GENERAL"}</definedName>
    <definedName name="rhtry" localSheetId="50" hidden="1">{"TAB1",#N/A,TRUE,"GENERAL";"TAB2",#N/A,TRUE,"GENERAL";"TAB3",#N/A,TRUE,"GENERAL";"TAB4",#N/A,TRUE,"GENERAL";"TAB5",#N/A,TRUE,"GENERAL"}</definedName>
    <definedName name="rhtry" localSheetId="1" hidden="1">{"TAB1",#N/A,TRUE,"GENERAL";"TAB2",#N/A,TRUE,"GENERAL";"TAB3",#N/A,TRUE,"GENERAL";"TAB4",#N/A,TRUE,"GENERAL";"TAB5",#N/A,TRUE,"GENERAL"}</definedName>
    <definedName name="rhtry" localSheetId="73" hidden="1">{"TAB1",#N/A,TRUE,"GENERAL";"TAB2",#N/A,TRUE,"GENERAL";"TAB3",#N/A,TRUE,"GENERAL";"TAB4",#N/A,TRUE,"GENERAL";"TAB5",#N/A,TRUE,"GENERAL"}</definedName>
    <definedName name="rhtry" hidden="1">{"TAB1",#N/A,TRUE,"GENERAL";"TAB2",#N/A,TRUE,"GENERAL";"TAB3",#N/A,TRUE,"GENERAL";"TAB4",#N/A,TRUE,"GENERAL";"TAB5",#N/A,TRUE,"GENERAL"}</definedName>
    <definedName name="Ri" localSheetId="1">#REF!</definedName>
    <definedName name="Ri">#REF!</definedName>
    <definedName name="RICO" localSheetId="50">IF(Loan_Amount*Interest_Rate*Loan_Years*Loan_Start&gt;0,1,0)</definedName>
    <definedName name="RICO" localSheetId="1">IF('AU + PGIO'!Loan_Amount*'AU + PGIO'!Interest_Rate*'AU + PGIO'!Loan_Years*'AU + PGIO'!Loan_Start&gt;0,1,0)</definedName>
    <definedName name="RICO">IF(Loan_Amount*Interest_Rate*Loan_Years*Loan_Start&gt;0,1,0)</definedName>
    <definedName name="RIEL" localSheetId="50">#REF!</definedName>
    <definedName name="RIEL" localSheetId="1">#REF!</definedName>
    <definedName name="RIEL">#REF!</definedName>
    <definedName name="Rieles_metalicos" localSheetId="50">#REF!</definedName>
    <definedName name="Rieles_metalicos" localSheetId="1">#REF!</definedName>
    <definedName name="Rieles_metalicos">#REF!</definedName>
    <definedName name="rj" localSheetId="50" hidden="1">{"TAB1",#N/A,TRUE,"GENERAL";"TAB2",#N/A,TRUE,"GENERAL";"TAB3",#N/A,TRUE,"GENERAL";"TAB4",#N/A,TRUE,"GENERAL";"TAB5",#N/A,TRUE,"GENERAL"}</definedName>
    <definedName name="rj" localSheetId="1" hidden="1">{"TAB1",#N/A,TRUE,"GENERAL";"TAB2",#N/A,TRUE,"GENERAL";"TAB3",#N/A,TRUE,"GENERAL";"TAB4",#N/A,TRUE,"GENERAL";"TAB5",#N/A,TRUE,"GENERAL"}</definedName>
    <definedName name="rj" localSheetId="73" hidden="1">{"TAB1",#N/A,TRUE,"GENERAL";"TAB2",#N/A,TRUE,"GENERAL";"TAB3",#N/A,TRUE,"GENERAL";"TAB4",#N/A,TRUE,"GENERAL";"TAB5",#N/A,TRUE,"GENERAL"}</definedName>
    <definedName name="rj" hidden="1">{"TAB1",#N/A,TRUE,"GENERAL";"TAB2",#N/A,TRUE,"GENERAL";"TAB3",#N/A,TRUE,"GENERAL";"TAB4",#N/A,TRUE,"GENERAL";"TAB5",#N/A,TRUE,"GENERAL"}</definedName>
    <definedName name="rjjth" localSheetId="50" hidden="1">{"TAB1",#N/A,TRUE,"GENERAL";"TAB2",#N/A,TRUE,"GENERAL";"TAB3",#N/A,TRUE,"GENERAL";"TAB4",#N/A,TRUE,"GENERAL";"TAB5",#N/A,TRUE,"GENERAL"}</definedName>
    <definedName name="rjjth" localSheetId="1" hidden="1">{"TAB1",#N/A,TRUE,"GENERAL";"TAB2",#N/A,TRUE,"GENERAL";"TAB3",#N/A,TRUE,"GENERAL";"TAB4",#N/A,TRUE,"GENERAL";"TAB5",#N/A,TRUE,"GENERAL"}</definedName>
    <definedName name="rjjth" localSheetId="73" hidden="1">{"TAB1",#N/A,TRUE,"GENERAL";"TAB2",#N/A,TRUE,"GENERAL";"TAB3",#N/A,TRUE,"GENERAL";"TAB4",#N/A,TRUE,"GENERAL";"TAB5",#N/A,TRUE,"GENERAL"}</definedName>
    <definedName name="rjjth" hidden="1">{"TAB1",#N/A,TRUE,"GENERAL";"TAB2",#N/A,TRUE,"GENERAL";"TAB3",#N/A,TRUE,"GENERAL";"TAB4",#N/A,TRUE,"GENERAL";"TAB5",#N/A,TRUE,"GENERAL"}</definedName>
    <definedName name="rjy" localSheetId="50" hidden="1">{"via1",#N/A,TRUE,"general";"via2",#N/A,TRUE,"general";"via3",#N/A,TRUE,"general"}</definedName>
    <definedName name="rjy" localSheetId="1" hidden="1">{"via1",#N/A,TRUE,"general";"via2",#N/A,TRUE,"general";"via3",#N/A,TRUE,"general"}</definedName>
    <definedName name="rjy" localSheetId="73" hidden="1">{"via1",#N/A,TRUE,"general";"via2",#N/A,TRUE,"general";"via3",#N/A,TRUE,"general"}</definedName>
    <definedName name="rjy" hidden="1">{"via1",#N/A,TRUE,"general";"via2",#N/A,TRUE,"general";"via3",#N/A,TRUE,"general"}</definedName>
    <definedName name="Rk" localSheetId="1">#REF!</definedName>
    <definedName name="Rk">#REF!</definedName>
    <definedName name="rkjyk" localSheetId="50" hidden="1">{"TAB1",#N/A,TRUE,"GENERAL";"TAB2",#N/A,TRUE,"GENERAL";"TAB3",#N/A,TRUE,"GENERAL";"TAB4",#N/A,TRUE,"GENERAL";"TAB5",#N/A,TRUE,"GENERAL"}</definedName>
    <definedName name="rkjyk" localSheetId="1" hidden="1">{"TAB1",#N/A,TRUE,"GENERAL";"TAB2",#N/A,TRUE,"GENERAL";"TAB3",#N/A,TRUE,"GENERAL";"TAB4",#N/A,TRUE,"GENERAL";"TAB5",#N/A,TRUE,"GENERAL"}</definedName>
    <definedName name="rkjyk" localSheetId="73" hidden="1">{"TAB1",#N/A,TRUE,"GENERAL";"TAB2",#N/A,TRUE,"GENERAL";"TAB3",#N/A,TRUE,"GENERAL";"TAB4",#N/A,TRUE,"GENERAL";"TAB5",#N/A,TRUE,"GENERAL"}</definedName>
    <definedName name="rkjyk" hidden="1">{"TAB1",#N/A,TRUE,"GENERAL";"TAB2",#N/A,TRUE,"GENERAL";"TAB3",#N/A,TRUE,"GENERAL";"TAB4",#N/A,TRUE,"GENERAL";"TAB5",#N/A,TRUE,"GENERAL"}</definedName>
    <definedName name="rkru" localSheetId="50" hidden="1">{"via1",#N/A,TRUE,"general";"via2",#N/A,TRUE,"general";"via3",#N/A,TRUE,"general"}</definedName>
    <definedName name="rkru" localSheetId="1" hidden="1">{"via1",#N/A,TRUE,"general";"via2",#N/A,TRUE,"general";"via3",#N/A,TRUE,"general"}</definedName>
    <definedName name="rkru" localSheetId="73" hidden="1">{"via1",#N/A,TRUE,"general";"via2",#N/A,TRUE,"general";"via3",#N/A,TRUE,"general"}</definedName>
    <definedName name="rkru" hidden="1">{"via1",#N/A,TRUE,"general";"via2",#N/A,TRUE,"general";"via3",#N/A,TRUE,"general"}</definedName>
    <definedName name="rky" localSheetId="50" hidden="1">{"TAB1",#N/A,TRUE,"GENERAL";"TAB2",#N/A,TRUE,"GENERAL";"TAB3",#N/A,TRUE,"GENERAL";"TAB4",#N/A,TRUE,"GENERAL";"TAB5",#N/A,TRUE,"GENERAL"}</definedName>
    <definedName name="rky" localSheetId="1" hidden="1">{"TAB1",#N/A,TRUE,"GENERAL";"TAB2",#N/A,TRUE,"GENERAL";"TAB3",#N/A,TRUE,"GENERAL";"TAB4",#N/A,TRUE,"GENERAL";"TAB5",#N/A,TRUE,"GENERAL"}</definedName>
    <definedName name="rky" localSheetId="73" hidden="1">{"TAB1",#N/A,TRUE,"GENERAL";"TAB2",#N/A,TRUE,"GENERAL";"TAB3",#N/A,TRUE,"GENERAL";"TAB4",#N/A,TRUE,"GENERAL";"TAB5",#N/A,TRUE,"GENERAL"}</definedName>
    <definedName name="rky" hidden="1">{"TAB1",#N/A,TRUE,"GENERAL";"TAB2",#N/A,TRUE,"GENERAL";"TAB3",#N/A,TRUE,"GENERAL";"TAB4",#N/A,TRUE,"GENERAL";"TAB5",#N/A,TRUE,"GENERAL"}</definedName>
    <definedName name="rl" localSheetId="1">#REF!</definedName>
    <definedName name="rl">#REF!</definedName>
    <definedName name="RLLANT" localSheetId="1">#REF!</definedName>
    <definedName name="RLLANT">#REF!</definedName>
    <definedName name="rlo" localSheetId="1">#REF!</definedName>
    <definedName name="rlo">#REF!</definedName>
    <definedName name="Rm" localSheetId="1">#REF!</definedName>
    <definedName name="Rm">#REF!</definedName>
    <definedName name="Rmm" localSheetId="1">#REF!</definedName>
    <definedName name="Rmm">#REF!</definedName>
    <definedName name="Rn" localSheetId="1">#REF!</definedName>
    <definedName name="Rn">#REF!</definedName>
    <definedName name="Rñ" localSheetId="1">#REF!</definedName>
    <definedName name="Rñ">#REF!</definedName>
    <definedName name="Ro" localSheetId="1">#REF!</definedName>
    <definedName name="Ro">#REF!</definedName>
    <definedName name="RODILLO" localSheetId="1">#REF!</definedName>
    <definedName name="RODILLO">#REF!</definedName>
    <definedName name="Rows2Unhide" localSheetId="1" hidden="1">#REF!</definedName>
    <definedName name="Rows2Unhide" hidden="1">#REF!</definedName>
    <definedName name="Rp" localSheetId="1">#REF!</definedName>
    <definedName name="Rp">#REF!</definedName>
    <definedName name="Rq" localSheetId="1">#REF!</definedName>
    <definedName name="Rq">#REF!</definedName>
    <definedName name="rr" localSheetId="1">#REF!</definedName>
    <definedName name="rr">#REF!</definedName>
    <definedName name="rrr" localSheetId="50" hidden="1">{"via1",#N/A,TRUE,"general";"via2",#N/A,TRUE,"general";"via3",#N/A,TRUE,"general"}</definedName>
    <definedName name="rrr" localSheetId="1" hidden="1">{"via1",#N/A,TRUE,"general";"via2",#N/A,TRUE,"general";"via3",#N/A,TRUE,"general"}</definedName>
    <definedName name="rrr" localSheetId="73" hidden="1">{"via1",#N/A,TRUE,"general";"via2",#N/A,TRUE,"general";"via3",#N/A,TRUE,"general"}</definedName>
    <definedName name="rrr" hidden="1">{"via1",#N/A,TRUE,"general";"via2",#N/A,TRUE,"general";"via3",#N/A,TRUE,"general"}</definedName>
    <definedName name="RRRR" localSheetId="50" hidden="1">{#N/A,#N/A,TRUE,"INGENIERIA";#N/A,#N/A,TRUE,"COMPRAS";#N/A,#N/A,TRUE,"DIRECCION";#N/A,#N/A,TRUE,"RESUMEN"}</definedName>
    <definedName name="RRRR" localSheetId="1" hidden="1">{#N/A,#N/A,TRUE,"INGENIERIA";#N/A,#N/A,TRUE,"COMPRAS";#N/A,#N/A,TRUE,"DIRECCION";#N/A,#N/A,TRUE,"RESUMEN"}</definedName>
    <definedName name="RRRR" hidden="1">{#N/A,#N/A,TRUE,"INGENIERIA";#N/A,#N/A,TRUE,"COMPRAS";#N/A,#N/A,TRUE,"DIRECCION";#N/A,#N/A,TRUE,"RESUMEN"}</definedName>
    <definedName name="rrrrrb" localSheetId="50" hidden="1">{"via1",#N/A,TRUE,"general";"via2",#N/A,TRUE,"general";"via3",#N/A,TRUE,"general"}</definedName>
    <definedName name="rrrrrb" localSheetId="1" hidden="1">{"via1",#N/A,TRUE,"general";"via2",#N/A,TRUE,"general";"via3",#N/A,TRUE,"general"}</definedName>
    <definedName name="rrrrrb" localSheetId="73" hidden="1">{"via1",#N/A,TRUE,"general";"via2",#N/A,TRUE,"general";"via3",#N/A,TRUE,"general"}</definedName>
    <definedName name="rrrrrb" hidden="1">{"via1",#N/A,TRUE,"general";"via2",#N/A,TRUE,"general";"via3",#N/A,TRUE,"general"}</definedName>
    <definedName name="rrrrrrre" localSheetId="50"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73" hidden="1">{"TAB1",#N/A,TRUE,"GENERAL";"TAB2",#N/A,TRUE,"GENERAL";"TAB3",#N/A,TRUE,"GENERAL";"TAB4",#N/A,TRUE,"GENERAL";"TAB5",#N/A,TRUE,"GENERAL"}</definedName>
    <definedName name="rrrrrrre" hidden="1">{"TAB1",#N/A,TRUE,"GENERAL";"TAB2",#N/A,TRUE,"GENERAL";"TAB3",#N/A,TRUE,"GENERAL";"TAB4",#N/A,TRUE,"GENERAL";"TAB5",#N/A,TRUE,"GENERAL"}</definedName>
    <definedName name="rrrrt" localSheetId="50" hidden="1">{"via1",#N/A,TRUE,"general";"via2",#N/A,TRUE,"general";"via3",#N/A,TRUE,"general"}</definedName>
    <definedName name="rrrrt" localSheetId="1" hidden="1">{"via1",#N/A,TRUE,"general";"via2",#N/A,TRUE,"general";"via3",#N/A,TRUE,"general"}</definedName>
    <definedName name="rrrrt" localSheetId="73" hidden="1">{"via1",#N/A,TRUE,"general";"via2",#N/A,TRUE,"general";"via3",#N/A,TRUE,"general"}</definedName>
    <definedName name="rrrrt" hidden="1">{"via1",#N/A,TRUE,"general";"via2",#N/A,TRUE,"general";"via3",#N/A,TRUE,"general"}</definedName>
    <definedName name="RRRTGTG" localSheetId="1">#REF!</definedName>
    <definedName name="RRRTGTG">#REF!</definedName>
    <definedName name="Rs" localSheetId="1">#REF!</definedName>
    <definedName name="Rs">#REF!</definedName>
    <definedName name="rsadf" localSheetId="1">#REF!</definedName>
    <definedName name="rsadf">#REF!</definedName>
    <definedName name="rsdgsd5" localSheetId="50"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73" hidden="1">{"TAB1",#N/A,TRUE,"GENERAL";"TAB2",#N/A,TRUE,"GENERAL";"TAB3",#N/A,TRUE,"GENERAL";"TAB4",#N/A,TRUE,"GENERAL";"TAB5",#N/A,TRUE,"GENERAL"}</definedName>
    <definedName name="rsdgsd5" hidden="1">{"TAB1",#N/A,TRUE,"GENERAL";"TAB2",#N/A,TRUE,"GENERAL";"TAB3",#N/A,TRUE,"GENERAL";"TAB4",#N/A,TRUE,"GENERAL";"TAB5",#N/A,TRUE,"GENERAL"}</definedName>
    <definedName name="Rt" localSheetId="1">#REF!</definedName>
    <definedName name="rt" localSheetId="71" hidden="1">{"TAB1",#N/A,TRUE,"GENERAL";"TAB2",#N/A,TRUE,"GENERAL";"TAB3",#N/A,TRUE,"GENERAL";"TAB4",#N/A,TRUE,"GENERAL";"TAB5",#N/A,TRUE,"GENERAL"}</definedName>
    <definedName name="rt" localSheetId="73" hidden="1">{"TAB1",#N/A,TRUE,"GENERAL";"TAB2",#N/A,TRUE,"GENERAL";"TAB3",#N/A,TRUE,"GENERAL";"TAB4",#N/A,TRUE,"GENERAL";"TAB5",#N/A,TRUE,"GENERAL"}</definedName>
    <definedName name="Rt">#REF!</definedName>
    <definedName name="rte" localSheetId="50" hidden="1">{"TAB1",#N/A,TRUE,"GENERAL";"TAB2",#N/A,TRUE,"GENERAL";"TAB3",#N/A,TRUE,"GENERAL";"TAB4",#N/A,TRUE,"GENERAL";"TAB5",#N/A,TRUE,"GENERAL"}</definedName>
    <definedName name="rte" localSheetId="1" hidden="1">{"TAB1",#N/A,TRUE,"GENERAL";"TAB2",#N/A,TRUE,"GENERAL";"TAB3",#N/A,TRUE,"GENERAL";"TAB4",#N/A,TRUE,"GENERAL";"TAB5",#N/A,TRUE,"GENERAL"}</definedName>
    <definedName name="rte" localSheetId="73" hidden="1">{"TAB1",#N/A,TRUE,"GENERAL";"TAB2",#N/A,TRUE,"GENERAL";"TAB3",#N/A,TRUE,"GENERAL";"TAB4",#N/A,TRUE,"GENERAL";"TAB5",#N/A,TRUE,"GENERAL"}</definedName>
    <definedName name="rte" hidden="1">{"TAB1",#N/A,TRUE,"GENERAL";"TAB2",#N/A,TRUE,"GENERAL";"TAB3",#N/A,TRUE,"GENERAL";"TAB4",#N/A,TRUE,"GENERAL";"TAB5",#N/A,TRUE,"GENERAL"}</definedName>
    <definedName name="rteg" localSheetId="50" hidden="1">{"via1",#N/A,TRUE,"general";"via2",#N/A,TRUE,"general";"via3",#N/A,TRUE,"general"}</definedName>
    <definedName name="rteg" localSheetId="1" hidden="1">{"via1",#N/A,TRUE,"general";"via2",#N/A,TRUE,"general";"via3",#N/A,TRUE,"general"}</definedName>
    <definedName name="rteg" localSheetId="73" hidden="1">{"via1",#N/A,TRUE,"general";"via2",#N/A,TRUE,"general";"via3",#N/A,TRUE,"general"}</definedName>
    <definedName name="rteg" hidden="1">{"via1",#N/A,TRUE,"general";"via2",#N/A,TRUE,"general";"via3",#N/A,TRUE,"general"}</definedName>
    <definedName name="rtert" localSheetId="50" hidden="1">{"TAB1",#N/A,TRUE,"GENERAL";"TAB2",#N/A,TRUE,"GENERAL";"TAB3",#N/A,TRUE,"GENERAL";"TAB4",#N/A,TRUE,"GENERAL";"TAB5",#N/A,TRUE,"GENERAL"}</definedName>
    <definedName name="rtert" localSheetId="1" hidden="1">{"TAB1",#N/A,TRUE,"GENERAL";"TAB2",#N/A,TRUE,"GENERAL";"TAB3",#N/A,TRUE,"GENERAL";"TAB4",#N/A,TRUE,"GENERAL";"TAB5",#N/A,TRUE,"GENERAL"}</definedName>
    <definedName name="rtert" localSheetId="73" hidden="1">{"TAB1",#N/A,TRUE,"GENERAL";"TAB2",#N/A,TRUE,"GENERAL";"TAB3",#N/A,TRUE,"GENERAL";"TAB4",#N/A,TRUE,"GENERAL";"TAB5",#N/A,TRUE,"GENERAL"}</definedName>
    <definedName name="rtert" hidden="1">{"TAB1",#N/A,TRUE,"GENERAL";"TAB2",#N/A,TRUE,"GENERAL";"TAB3",#N/A,TRUE,"GENERAL";"TAB4",#N/A,TRUE,"GENERAL";"TAB5",#N/A,TRUE,"GENERAL"}</definedName>
    <definedName name="rtes" localSheetId="50" hidden="1">{"via1",#N/A,TRUE,"general";"via2",#N/A,TRUE,"general";"via3",#N/A,TRUE,"general"}</definedName>
    <definedName name="rtes" localSheetId="1" hidden="1">{"via1",#N/A,TRUE,"general";"via2",#N/A,TRUE,"general";"via3",#N/A,TRUE,"general"}</definedName>
    <definedName name="rtes" localSheetId="73" hidden="1">{"via1",#N/A,TRUE,"general";"via2",#N/A,TRUE,"general";"via3",#N/A,TRUE,"general"}</definedName>
    <definedName name="rtes" hidden="1">{"via1",#N/A,TRUE,"general";"via2",#N/A,TRUE,"general";"via3",#N/A,TRUE,"general"}</definedName>
    <definedName name="rtewth" localSheetId="50"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73" hidden="1">{"TAB1",#N/A,TRUE,"GENERAL";"TAB2",#N/A,TRUE,"GENERAL";"TAB3",#N/A,TRUE,"GENERAL";"TAB4",#N/A,TRUE,"GENERAL";"TAB5",#N/A,TRUE,"GENERAL"}</definedName>
    <definedName name="rtewth" hidden="1">{"TAB1",#N/A,TRUE,"GENERAL";"TAB2",#N/A,TRUE,"GENERAL";"TAB3",#N/A,TRUE,"GENERAL";"TAB4",#N/A,TRUE,"GENERAL";"TAB5",#N/A,TRUE,"GENERAL"}</definedName>
    <definedName name="rthjtj" localSheetId="50"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73" hidden="1">{"TAB1",#N/A,TRUE,"GENERAL";"TAB2",#N/A,TRUE,"GENERAL";"TAB3",#N/A,TRUE,"GENERAL";"TAB4",#N/A,TRUE,"GENERAL";"TAB5",#N/A,TRUE,"GENERAL"}</definedName>
    <definedName name="rthjtj" hidden="1">{"TAB1",#N/A,TRUE,"GENERAL";"TAB2",#N/A,TRUE,"GENERAL";"TAB3",#N/A,TRUE,"GENERAL";"TAB4",#N/A,TRUE,"GENERAL";"TAB5",#N/A,TRUE,"GENERAL"}</definedName>
    <definedName name="rthrthg" localSheetId="50" hidden="1">{"via1",#N/A,TRUE,"general";"via2",#N/A,TRUE,"general";"via3",#N/A,TRUE,"general"}</definedName>
    <definedName name="rthrthg" localSheetId="1" hidden="1">{"via1",#N/A,TRUE,"general";"via2",#N/A,TRUE,"general";"via3",#N/A,TRUE,"general"}</definedName>
    <definedName name="rthrthg" localSheetId="73" hidden="1">{"via1",#N/A,TRUE,"general";"via2",#N/A,TRUE,"general";"via3",#N/A,TRUE,"general"}</definedName>
    <definedName name="rthrthg" hidden="1">{"via1",#N/A,TRUE,"general";"via2",#N/A,TRUE,"general";"via3",#N/A,TRUE,"general"}</definedName>
    <definedName name="rthtrh" localSheetId="50" hidden="1">{"via1",#N/A,TRUE,"general";"via2",#N/A,TRUE,"general";"via3",#N/A,TRUE,"general"}</definedName>
    <definedName name="rthtrh" localSheetId="1" hidden="1">{"via1",#N/A,TRUE,"general";"via2",#N/A,TRUE,"general";"via3",#N/A,TRUE,"general"}</definedName>
    <definedName name="rthtrh" localSheetId="73" hidden="1">{"via1",#N/A,TRUE,"general";"via2",#N/A,TRUE,"general";"via3",#N/A,TRUE,"general"}</definedName>
    <definedName name="rthtrh" hidden="1">{"via1",#N/A,TRUE,"general";"via2",#N/A,TRUE,"general";"via3",#N/A,TRUE,"general"}</definedName>
    <definedName name="rtkk" localSheetId="50" hidden="1">{"via1",#N/A,TRUE,"general";"via2",#N/A,TRUE,"general";"via3",#N/A,TRUE,"general"}</definedName>
    <definedName name="rtkk" localSheetId="1" hidden="1">{"via1",#N/A,TRUE,"general";"via2",#N/A,TRUE,"general";"via3",#N/A,TRUE,"general"}</definedName>
    <definedName name="rtkk" localSheetId="73" hidden="1">{"via1",#N/A,TRUE,"general";"via2",#N/A,TRUE,"general";"via3",#N/A,TRUE,"general"}</definedName>
    <definedName name="rtkk" hidden="1">{"via1",#N/A,TRUE,"general";"via2",#N/A,TRUE,"general";"via3",#N/A,TRUE,"general"}</definedName>
    <definedName name="rttthy" localSheetId="50" hidden="1">{"via1",#N/A,TRUE,"general";"via2",#N/A,TRUE,"general";"via3",#N/A,TRUE,"general"}</definedName>
    <definedName name="rttthy" localSheetId="1" hidden="1">{"via1",#N/A,TRUE,"general";"via2",#N/A,TRUE,"general";"via3",#N/A,TRUE,"general"}</definedName>
    <definedName name="rttthy" localSheetId="73" hidden="1">{"via1",#N/A,TRUE,"general";"via2",#N/A,TRUE,"general";"via3",#N/A,TRUE,"general"}</definedName>
    <definedName name="rttthy" hidden="1">{"via1",#N/A,TRUE,"general";"via2",#N/A,TRUE,"general";"via3",#N/A,TRUE,"general"}</definedName>
    <definedName name="rtu" localSheetId="50" hidden="1">{"via1",#N/A,TRUE,"general";"via2",#N/A,TRUE,"general";"via3",#N/A,TRUE,"general"}</definedName>
    <definedName name="rtu" localSheetId="1" hidden="1">{"via1",#N/A,TRUE,"general";"via2",#N/A,TRUE,"general";"via3",#N/A,TRUE,"general"}</definedName>
    <definedName name="rtu" localSheetId="73" hidden="1">{"via1",#N/A,TRUE,"general";"via2",#N/A,TRUE,"general";"via3",#N/A,TRUE,"general"}</definedName>
    <definedName name="rtu" hidden="1">{"via1",#N/A,TRUE,"general";"via2",#N/A,TRUE,"general";"via3",#N/A,TRUE,"general"}</definedName>
    <definedName name="rtug" localSheetId="50" hidden="1">{"TAB1",#N/A,TRUE,"GENERAL";"TAB2",#N/A,TRUE,"GENERAL";"TAB3",#N/A,TRUE,"GENERAL";"TAB4",#N/A,TRUE,"GENERAL";"TAB5",#N/A,TRUE,"GENERAL"}</definedName>
    <definedName name="rtug" localSheetId="1" hidden="1">{"TAB1",#N/A,TRUE,"GENERAL";"TAB2",#N/A,TRUE,"GENERAL";"TAB3",#N/A,TRUE,"GENERAL";"TAB4",#N/A,TRUE,"GENERAL";"TAB5",#N/A,TRUE,"GENERAL"}</definedName>
    <definedName name="rtug" localSheetId="73" hidden="1">{"TAB1",#N/A,TRUE,"GENERAL";"TAB2",#N/A,TRUE,"GENERAL";"TAB3",#N/A,TRUE,"GENERAL";"TAB4",#N/A,TRUE,"GENERAL";"TAB5",#N/A,TRUE,"GENERAL"}</definedName>
    <definedName name="rtug" hidden="1">{"TAB1",#N/A,TRUE,"GENERAL";"TAB2",#N/A,TRUE,"GENERAL";"TAB3",#N/A,TRUE,"GENERAL";"TAB4",#N/A,TRUE,"GENERAL";"TAB5",#N/A,TRUE,"GENERAL"}</definedName>
    <definedName name="rtugsd" localSheetId="50"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73" hidden="1">{"TAB1",#N/A,TRUE,"GENERAL";"TAB2",#N/A,TRUE,"GENERAL";"TAB3",#N/A,TRUE,"GENERAL";"TAB4",#N/A,TRUE,"GENERAL";"TAB5",#N/A,TRUE,"GENERAL"}</definedName>
    <definedName name="rtugsd" hidden="1">{"TAB1",#N/A,TRUE,"GENERAL";"TAB2",#N/A,TRUE,"GENERAL";"TAB3",#N/A,TRUE,"GENERAL";"TAB4",#N/A,TRUE,"GENERAL";"TAB5",#N/A,TRUE,"GENERAL"}</definedName>
    <definedName name="rturtu" localSheetId="50" hidden="1">{"via1",#N/A,TRUE,"general";"via2",#N/A,TRUE,"general";"via3",#N/A,TRUE,"general"}</definedName>
    <definedName name="rturtu" localSheetId="1" hidden="1">{"via1",#N/A,TRUE,"general";"via2",#N/A,TRUE,"general";"via3",#N/A,TRUE,"general"}</definedName>
    <definedName name="rturtu" localSheetId="73" hidden="1">{"via1",#N/A,TRUE,"general";"via2",#N/A,TRUE,"general";"via3",#N/A,TRUE,"general"}</definedName>
    <definedName name="rturtu" hidden="1">{"via1",#N/A,TRUE,"general";"via2",#N/A,TRUE,"general";"via3",#N/A,TRUE,"general"}</definedName>
    <definedName name="rturu" localSheetId="50" hidden="1">{"via1",#N/A,TRUE,"general";"via2",#N/A,TRUE,"general";"via3",#N/A,TRUE,"general"}</definedName>
    <definedName name="rturu" localSheetId="1" hidden="1">{"via1",#N/A,TRUE,"general";"via2",#N/A,TRUE,"general";"via3",#N/A,TRUE,"general"}</definedName>
    <definedName name="rturu" localSheetId="73" hidden="1">{"via1",#N/A,TRUE,"general";"via2",#N/A,TRUE,"general";"via3",#N/A,TRUE,"general"}</definedName>
    <definedName name="rturu" hidden="1">{"via1",#N/A,TRUE,"general";"via2",#N/A,TRUE,"general";"via3",#N/A,TRUE,"general"}</definedName>
    <definedName name="rtut" localSheetId="50" hidden="1">{"via1",#N/A,TRUE,"general";"via2",#N/A,TRUE,"general";"via3",#N/A,TRUE,"general"}</definedName>
    <definedName name="rtut" localSheetId="1" hidden="1">{"via1",#N/A,TRUE,"general";"via2",#N/A,TRUE,"general";"via3",#N/A,TRUE,"general"}</definedName>
    <definedName name="rtut" localSheetId="73" hidden="1">{"via1",#N/A,TRUE,"general";"via2",#N/A,TRUE,"general";"via3",#N/A,TRUE,"general"}</definedName>
    <definedName name="rtut" hidden="1">{"via1",#N/A,TRUE,"general";"via2",#N/A,TRUE,"general";"via3",#N/A,TRUE,"general"}</definedName>
    <definedName name="rtutru" localSheetId="50" hidden="1">{"via1",#N/A,TRUE,"general";"via2",#N/A,TRUE,"general";"via3",#N/A,TRUE,"general"}</definedName>
    <definedName name="rtutru" localSheetId="1" hidden="1">{"via1",#N/A,TRUE,"general";"via2",#N/A,TRUE,"general";"via3",#N/A,TRUE,"general"}</definedName>
    <definedName name="rtutru" localSheetId="73" hidden="1">{"via1",#N/A,TRUE,"general";"via2",#N/A,TRUE,"general";"via3",#N/A,TRUE,"general"}</definedName>
    <definedName name="rtutru" hidden="1">{"via1",#N/A,TRUE,"general";"via2",#N/A,TRUE,"general";"via3",#N/A,TRUE,"general"}</definedName>
    <definedName name="rtuy" localSheetId="50" hidden="1">{"via1",#N/A,TRUE,"general";"via2",#N/A,TRUE,"general";"via3",#N/A,TRUE,"general"}</definedName>
    <definedName name="rtuy" localSheetId="1" hidden="1">{"via1",#N/A,TRUE,"general";"via2",#N/A,TRUE,"general";"via3",#N/A,TRUE,"general"}</definedName>
    <definedName name="rtuy" localSheetId="73" hidden="1">{"via1",#N/A,TRUE,"general";"via2",#N/A,TRUE,"general";"via3",#N/A,TRUE,"general"}</definedName>
    <definedName name="rtuy" hidden="1">{"via1",#N/A,TRUE,"general";"via2",#N/A,TRUE,"general";"via3",#N/A,TRUE,"general"}</definedName>
    <definedName name="rty" localSheetId="1">#REF!</definedName>
    <definedName name="rty">#REF!</definedName>
    <definedName name="rtyhr" localSheetId="50" hidden="1">{"TAB1",#N/A,TRUE,"GENERAL";"TAB2",#N/A,TRUE,"GENERAL";"TAB3",#N/A,TRUE,"GENERAL";"TAB4",#N/A,TRUE,"GENERAL";"TAB5",#N/A,TRUE,"GENERAL"}</definedName>
    <definedName name="rtyhr" localSheetId="1" hidden="1">{"TAB1",#N/A,TRUE,"GENERAL";"TAB2",#N/A,TRUE,"GENERAL";"TAB3",#N/A,TRUE,"GENERAL";"TAB4",#N/A,TRUE,"GENERAL";"TAB5",#N/A,TRUE,"GENERAL"}</definedName>
    <definedName name="rtyhr" localSheetId="73" hidden="1">{"TAB1",#N/A,TRUE,"GENERAL";"TAB2",#N/A,TRUE,"GENERAL";"TAB3",#N/A,TRUE,"GENERAL";"TAB4",#N/A,TRUE,"GENERAL";"TAB5",#N/A,TRUE,"GENERAL"}</definedName>
    <definedName name="rtyhr" hidden="1">{"TAB1",#N/A,TRUE,"GENERAL";"TAB2",#N/A,TRUE,"GENERAL";"TAB3",#N/A,TRUE,"GENERAL";"TAB4",#N/A,TRUE,"GENERAL";"TAB5",#N/A,TRUE,"GENERAL"}</definedName>
    <definedName name="rtym" localSheetId="50" hidden="1">{"via1",#N/A,TRUE,"general";"via2",#N/A,TRUE,"general";"via3",#N/A,TRUE,"general"}</definedName>
    <definedName name="rtym" localSheetId="1" hidden="1">{"via1",#N/A,TRUE,"general";"via2",#N/A,TRUE,"general";"via3",#N/A,TRUE,"general"}</definedName>
    <definedName name="rtym" localSheetId="73" hidden="1">{"via1",#N/A,TRUE,"general";"via2",#N/A,TRUE,"general";"via3",#N/A,TRUE,"general"}</definedName>
    <definedName name="rtym" hidden="1">{"via1",#N/A,TRUE,"general";"via2",#N/A,TRUE,"general";"via3",#N/A,TRUE,"general"}</definedName>
    <definedName name="rtyrey" localSheetId="50"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73" hidden="1">{"TAB1",#N/A,TRUE,"GENERAL";"TAB2",#N/A,TRUE,"GENERAL";"TAB3",#N/A,TRUE,"GENERAL";"TAB4",#N/A,TRUE,"GENERAL";"TAB5",#N/A,TRUE,"GENERAL"}</definedName>
    <definedName name="rtyrey" hidden="1">{"TAB1",#N/A,TRUE,"GENERAL";"TAB2",#N/A,TRUE,"GENERAL";"TAB3",#N/A,TRUE,"GENERAL";"TAB4",#N/A,TRUE,"GENERAL";"TAB5",#N/A,TRUE,"GENERAL"}</definedName>
    <definedName name="rtyrh" localSheetId="50" hidden="1">{"via1",#N/A,TRUE,"general";"via2",#N/A,TRUE,"general";"via3",#N/A,TRUE,"general"}</definedName>
    <definedName name="rtyrh" localSheetId="1" hidden="1">{"via1",#N/A,TRUE,"general";"via2",#N/A,TRUE,"general";"via3",#N/A,TRUE,"general"}</definedName>
    <definedName name="rtyrh" localSheetId="73" hidden="1">{"via1",#N/A,TRUE,"general";"via2",#N/A,TRUE,"general";"via3",#N/A,TRUE,"general"}</definedName>
    <definedName name="rtyrh" hidden="1">{"via1",#N/A,TRUE,"general";"via2",#N/A,TRUE,"general";"via3",#N/A,TRUE,"general"}</definedName>
    <definedName name="RTYRTY" localSheetId="50" hidden="1">{"via1",#N/A,TRUE,"general";"via2",#N/A,TRUE,"general";"via3",#N/A,TRUE,"general"}</definedName>
    <definedName name="RTYRTY" localSheetId="1" hidden="1">{"via1",#N/A,TRUE,"general";"via2",#N/A,TRUE,"general";"via3",#N/A,TRUE,"general"}</definedName>
    <definedName name="RTYRTY" localSheetId="73" hidden="1">{"via1",#N/A,TRUE,"general";"via2",#N/A,TRUE,"general";"via3",#N/A,TRUE,"general"}</definedName>
    <definedName name="RTYRTY" hidden="1">{"via1",#N/A,TRUE,"general";"via2",#N/A,TRUE,"general";"via3",#N/A,TRUE,"general"}</definedName>
    <definedName name="rtyt" localSheetId="50" hidden="1">{"TAB1",#N/A,TRUE,"GENERAL";"TAB2",#N/A,TRUE,"GENERAL";"TAB3",#N/A,TRUE,"GENERAL";"TAB4",#N/A,TRUE,"GENERAL";"TAB5",#N/A,TRUE,"GENERAL"}</definedName>
    <definedName name="rtyt" localSheetId="1" hidden="1">{"TAB1",#N/A,TRUE,"GENERAL";"TAB2",#N/A,TRUE,"GENERAL";"TAB3",#N/A,TRUE,"GENERAL";"TAB4",#N/A,TRUE,"GENERAL";"TAB5",#N/A,TRUE,"GENERAL"}</definedName>
    <definedName name="rtyt" localSheetId="73" hidden="1">{"TAB1",#N/A,TRUE,"GENERAL";"TAB2",#N/A,TRUE,"GENERAL";"TAB3",#N/A,TRUE,"GENERAL";"TAB4",#N/A,TRUE,"GENERAL";"TAB5",#N/A,TRUE,"GENERAL"}</definedName>
    <definedName name="rtyt" hidden="1">{"TAB1",#N/A,TRUE,"GENERAL";"TAB2",#N/A,TRUE,"GENERAL";"TAB3",#N/A,TRUE,"GENERAL";"TAB4",#N/A,TRUE,"GENERAL";"TAB5",#N/A,TRUE,"GENERAL"}</definedName>
    <definedName name="rtytry" localSheetId="50" hidden="1">{"via1",#N/A,TRUE,"general";"via2",#N/A,TRUE,"general";"via3",#N/A,TRUE,"general"}</definedName>
    <definedName name="rtytry" localSheetId="1" hidden="1">{"via1",#N/A,TRUE,"general";"via2",#N/A,TRUE,"general";"via3",#N/A,TRUE,"general"}</definedName>
    <definedName name="rtytry" localSheetId="73" hidden="1">{"via1",#N/A,TRUE,"general";"via2",#N/A,TRUE,"general";"via3",#N/A,TRUE,"general"}</definedName>
    <definedName name="rtytry" hidden="1">{"via1",#N/A,TRUE,"general";"via2",#N/A,TRUE,"general";"via3",#N/A,TRUE,"general"}</definedName>
    <definedName name="ruru" localSheetId="50" hidden="1">{"TAB1",#N/A,TRUE,"GENERAL";"TAB2",#N/A,TRUE,"GENERAL";"TAB3",#N/A,TRUE,"GENERAL";"TAB4",#N/A,TRUE,"GENERAL";"TAB5",#N/A,TRUE,"GENERAL"}</definedName>
    <definedName name="ruru" localSheetId="1" hidden="1">{"TAB1",#N/A,TRUE,"GENERAL";"TAB2",#N/A,TRUE,"GENERAL";"TAB3",#N/A,TRUE,"GENERAL";"TAB4",#N/A,TRUE,"GENERAL";"TAB5",#N/A,TRUE,"GENERAL"}</definedName>
    <definedName name="ruru" localSheetId="73" hidden="1">{"TAB1",#N/A,TRUE,"GENERAL";"TAB2",#N/A,TRUE,"GENERAL";"TAB3",#N/A,TRUE,"GENERAL";"TAB4",#N/A,TRUE,"GENERAL";"TAB5",#N/A,TRUE,"GENERAL"}</definedName>
    <definedName name="ruru" hidden="1">{"TAB1",#N/A,TRUE,"GENERAL";"TAB2",#N/A,TRUE,"GENERAL";"TAB3",#N/A,TRUE,"GENERAL";"TAB4",#N/A,TRUE,"GENERAL";"TAB5",#N/A,TRUE,"GENERAL"}</definedName>
    <definedName name="RUTA" localSheetId="2">DATE(YEAR([0]!Loan_Start),MONTH([0]!Loan_Start)+Payment_Number,DAY([0]!Loan_Start))</definedName>
    <definedName name="RUTA" localSheetId="3">DATE(YEAR([0]!Loan_Start),MONTH([0]!Loan_Start)+Payment_Number,DAY([0]!Loan_Start))</definedName>
    <definedName name="RUTA" localSheetId="4">DATE(YEAR([0]!Loan_Start),MONTH([0]!Loan_Start)+Payment_Number,DAY([0]!Loan_Start))</definedName>
    <definedName name="RUTA" localSheetId="5">DATE(YEAR([0]!Loan_Start),MONTH([0]!Loan_Start)+Payment_Number,DAY([0]!Loan_Start))</definedName>
    <definedName name="RUTA" localSheetId="6">DATE(YEAR([0]!Loan_Start),MONTH([0]!Loan_Start)+Payment_Number,DAY([0]!Loan_Start))</definedName>
    <definedName name="RUTA" localSheetId="7">DATE(YEAR([0]!Loan_Start),MONTH([0]!Loan_Start)+Payment_Number,DAY([0]!Loan_Start))</definedName>
    <definedName name="RUTA" localSheetId="8">DATE(YEAR([0]!Loan_Start),MONTH([0]!Loan_Start)+Payment_Number,DAY([0]!Loan_Start))</definedName>
    <definedName name="RUTA" localSheetId="9">DATE(YEAR([0]!Loan_Start),MONTH([0]!Loan_Start)+Payment_Number,DAY([0]!Loan_Start))</definedName>
    <definedName name="RUTA" localSheetId="10">DATE(YEAR([0]!Loan_Start),MONTH([0]!Loan_Start)+Payment_Number,DAY([0]!Loan_Start))</definedName>
    <definedName name="RUTA" localSheetId="11">DATE(YEAR([0]!Loan_Start),MONTH([0]!Loan_Start)+Payment_Number,DAY([0]!Loan_Start))</definedName>
    <definedName name="RUTA" localSheetId="12">DATE(YEAR([0]!Loan_Start),MONTH([0]!Loan_Start)+Payment_Number,DAY([0]!Loan_Start))</definedName>
    <definedName name="RUTA" localSheetId="13">DATE(YEAR([0]!Loan_Start),MONTH([0]!Loan_Start)+Payment_Number,DAY([0]!Loan_Start))</definedName>
    <definedName name="RUTA" localSheetId="14">DATE(YEAR([0]!Loan_Start),MONTH([0]!Loan_Start)+Payment_Number,DAY([0]!Loan_Start))</definedName>
    <definedName name="RUTA" localSheetId="15">DATE(YEAR([0]!Loan_Start),MONTH([0]!Loan_Start)+Payment_Number,DAY([0]!Loan_Start))</definedName>
    <definedName name="RUTA" localSheetId="16">DATE(YEAR([0]!Loan_Start),MONTH([0]!Loan_Start)+Payment_Number,DAY([0]!Loan_Start))</definedName>
    <definedName name="RUTA" localSheetId="17">DATE(YEAR([0]!Loan_Start),MONTH([0]!Loan_Start)+Payment_Number,DAY([0]!Loan_Start))</definedName>
    <definedName name="RUTA" localSheetId="18">DATE(YEAR([0]!Loan_Start),MONTH([0]!Loan_Start)+Payment_Number,DAY([0]!Loan_Start))</definedName>
    <definedName name="RUTA" localSheetId="19">DATE(YEAR([0]!Loan_Start),MONTH([0]!Loan_Start)+Payment_Number,DAY([0]!Loan_Start))</definedName>
    <definedName name="RUTA" localSheetId="20">DATE(YEAR([0]!Loan_Start),MONTH([0]!Loan_Start)+Payment_Number,DAY([0]!Loan_Start))</definedName>
    <definedName name="RUTA" localSheetId="21">DATE(YEAR([0]!Loan_Start),MONTH([0]!Loan_Start)+Payment_Number,DAY([0]!Loan_Start))</definedName>
    <definedName name="RUTA" localSheetId="22">DATE(YEAR([0]!Loan_Start),MONTH([0]!Loan_Start)+Payment_Number,DAY([0]!Loan_Start))</definedName>
    <definedName name="RUTA" localSheetId="23">DATE(YEAR([0]!Loan_Start),MONTH([0]!Loan_Start)+Payment_Number,DAY([0]!Loan_Start))</definedName>
    <definedName name="RUTA" localSheetId="24">DATE(YEAR([0]!Loan_Start),MONTH([0]!Loan_Start)+Payment_Number,DAY([0]!Loan_Start))</definedName>
    <definedName name="RUTA" localSheetId="25">DATE(YEAR([0]!Loan_Start),MONTH([0]!Loan_Start)+Payment_Number,DAY([0]!Loan_Start))</definedName>
    <definedName name="RUTA" localSheetId="26">DATE(YEAR([0]!Loan_Start),MONTH([0]!Loan_Start)+Payment_Number,DAY([0]!Loan_Start))</definedName>
    <definedName name="RUTA" localSheetId="27">DATE(YEAR([0]!Loan_Start),MONTH([0]!Loan_Start)+Payment_Number,DAY([0]!Loan_Start))</definedName>
    <definedName name="RUTA" localSheetId="28">DATE(YEAR([0]!Loan_Start),MONTH([0]!Loan_Start)+Payment_Number,DAY([0]!Loan_Start))</definedName>
    <definedName name="RUTA" localSheetId="29">DATE(YEAR([0]!Loan_Start),MONTH([0]!Loan_Start)+Payment_Number,DAY([0]!Loan_Start))</definedName>
    <definedName name="RUTA" localSheetId="30">DATE(YEAR([0]!Loan_Start),MONTH([0]!Loan_Start)+Payment_Number,DAY([0]!Loan_Start))</definedName>
    <definedName name="RUTA" localSheetId="31">DATE(YEAR([0]!Loan_Start),MONTH([0]!Loan_Start)+Payment_Number,DAY([0]!Loan_Start))</definedName>
    <definedName name="RUTA" localSheetId="32">DATE(YEAR([0]!Loan_Start),MONTH([0]!Loan_Start)+Payment_Number,DAY([0]!Loan_Start))</definedName>
    <definedName name="RUTA" localSheetId="33">DATE(YEAR([0]!Loan_Start),MONTH([0]!Loan_Start)+Payment_Number,DAY([0]!Loan_Start))</definedName>
    <definedName name="RUTA" localSheetId="34">DATE(YEAR([0]!Loan_Start),MONTH([0]!Loan_Start)+Payment_Number,DAY([0]!Loan_Start))</definedName>
    <definedName name="RUTA" localSheetId="35">DATE(YEAR([0]!Loan_Start),MONTH([0]!Loan_Start)+Payment_Number,DAY([0]!Loan_Start))</definedName>
    <definedName name="RUTA" localSheetId="36">DATE(YEAR([0]!Loan_Start),MONTH([0]!Loan_Start)+Payment_Number,DAY([0]!Loan_Start))</definedName>
    <definedName name="RUTA" localSheetId="37">DATE(YEAR([0]!Loan_Start),MONTH([0]!Loan_Start)+Payment_Number,DAY([0]!Loan_Start))</definedName>
    <definedName name="RUTA" localSheetId="39">DATE(YEAR([0]!Loan_Start),MONTH([0]!Loan_Start)+Payment_Number,DAY([0]!Loan_Start))</definedName>
    <definedName name="RUTA" localSheetId="40">DATE(YEAR([0]!Loan_Start),MONTH([0]!Loan_Start)+Payment_Number,DAY([0]!Loan_Start))</definedName>
    <definedName name="RUTA" localSheetId="41">DATE(YEAR([0]!Loan_Start),MONTH([0]!Loan_Start)+Payment_Number,DAY([0]!Loan_Start))</definedName>
    <definedName name="RUTA" localSheetId="42">DATE(YEAR([0]!Loan_Start),MONTH([0]!Loan_Start)+Payment_Number,DAY([0]!Loan_Start))</definedName>
    <definedName name="RUTA" localSheetId="43">DATE(YEAR([0]!Loan_Start),MONTH([0]!Loan_Start)+Payment_Number,DAY([0]!Loan_Start))</definedName>
    <definedName name="RUTA" localSheetId="44">DATE(YEAR([0]!Loan_Start),MONTH([0]!Loan_Start)+Payment_Number,DAY([0]!Loan_Start))</definedName>
    <definedName name="RUTA" localSheetId="45">DATE(YEAR([0]!Loan_Start),MONTH([0]!Loan_Start)+Payment_Number,DAY([0]!Loan_Start))</definedName>
    <definedName name="RUTA" localSheetId="46">DATE(YEAR([0]!Loan_Start),MONTH([0]!Loan_Start)+Payment_Number,DAY([0]!Loan_Start))</definedName>
    <definedName name="RUTA" localSheetId="47">DATE(YEAR([0]!Loan_Start),MONTH([0]!Loan_Start)+Payment_Number,DAY([0]!Loan_Start))</definedName>
    <definedName name="RUTA" localSheetId="48">DATE(YEAR([0]!Loan_Start),MONTH([0]!Loan_Start)+Payment_Number,DAY([0]!Loan_Start))</definedName>
    <definedName name="RUTA" localSheetId="49">DATE(YEAR([0]!Loan_Start),MONTH([0]!Loan_Start)+Payment_Number,DAY([0]!Loan_Start))</definedName>
    <definedName name="RUTA" localSheetId="50">DATE(YEAR([0]!Loan_Start),MONTH([0]!Loan_Start)+Payment_Number,DAY([0]!Loan_Start))</definedName>
    <definedName name="RUTA" localSheetId="51">DATE(YEAR([0]!Loan_Start),MONTH([0]!Loan_Start)+Payment_Number,DAY([0]!Loan_Start))</definedName>
    <definedName name="RUTA" localSheetId="52">DATE(YEAR([0]!Loan_Start),MONTH([0]!Loan_Start)+Payment_Number,DAY([0]!Loan_Start))</definedName>
    <definedName name="RUTA" localSheetId="53">DATE(YEAR([0]!Loan_Start),MONTH([0]!Loan_Start)+Payment_Number,DAY([0]!Loan_Start))</definedName>
    <definedName name="RUTA" localSheetId="54">DATE(YEAR([0]!Loan_Start),MONTH([0]!Loan_Start)+Payment_Number,DAY([0]!Loan_Start))</definedName>
    <definedName name="RUTA" localSheetId="55">DATE(YEAR([0]!Loan_Start),MONTH([0]!Loan_Start)+Payment_Number,DAY([0]!Loan_Start))</definedName>
    <definedName name="RUTA" localSheetId="56">DATE(YEAR([0]!Loan_Start),MONTH([0]!Loan_Start)+Payment_Number,DAY([0]!Loan_Start))</definedName>
    <definedName name="RUTA" localSheetId="57">DATE(YEAR([0]!Loan_Start),MONTH([0]!Loan_Start)+Payment_Number,DAY([0]!Loan_Start))</definedName>
    <definedName name="RUTA" localSheetId="58">DATE(YEAR([0]!Loan_Start),MONTH([0]!Loan_Start)+Payment_Number,DAY([0]!Loan_Start))</definedName>
    <definedName name="RUTA" localSheetId="59">DATE(YEAR([0]!Loan_Start),MONTH([0]!Loan_Start)+Payment_Number,DAY([0]!Loan_Start))</definedName>
    <definedName name="RUTA" localSheetId="60">DATE(YEAR([0]!Loan_Start),MONTH([0]!Loan_Start)+Payment_Number,DAY([0]!Loan_Start))</definedName>
    <definedName name="RUTA" localSheetId="61">DATE(YEAR([0]!Loan_Start),MONTH([0]!Loan_Start)+Payment_Number,DAY([0]!Loan_Start))</definedName>
    <definedName name="RUTA" localSheetId="62">DATE(YEAR([0]!Loan_Start),MONTH([0]!Loan_Start)+Payment_Number,DAY([0]!Loan_Start))</definedName>
    <definedName name="RUTA" localSheetId="63">DATE(YEAR([0]!Loan_Start),MONTH([0]!Loan_Start)+Payment_Number,DAY([0]!Loan_Start))</definedName>
    <definedName name="RUTA" localSheetId="64">DATE(YEAR([0]!Loan_Start),MONTH([0]!Loan_Start)+Payment_Number,DAY([0]!Loan_Start))</definedName>
    <definedName name="RUTA" localSheetId="65">DATE(YEAR([0]!Loan_Start),MONTH([0]!Loan_Start)+Payment_Number,DAY([0]!Loan_Start))</definedName>
    <definedName name="RUTA" localSheetId="66">DATE(YEAR([0]!Loan_Start),MONTH([0]!Loan_Start)+Payment_Number,DAY([0]!Loan_Start))</definedName>
    <definedName name="RUTA" localSheetId="67">DATE(YEAR([0]!Loan_Start),MONTH([0]!Loan_Start)+Payment_Number,DAY([0]!Loan_Start))</definedName>
    <definedName name="RUTA" localSheetId="68">DATE(YEAR([0]!Loan_Start),MONTH([0]!Loan_Start)+Payment_Number,DAY([0]!Loan_Start))</definedName>
    <definedName name="RUTA" localSheetId="69">DATE(YEAR([0]!Loan_Start),MONTH([0]!Loan_Start)+Payment_Number,DAY([0]!Loan_Start))</definedName>
    <definedName name="RUTA" localSheetId="70">DATE(YEAR([0]!Loan_Start),MONTH([0]!Loan_Start)+Payment_Number,DAY([0]!Loan_Start))</definedName>
    <definedName name="RUTA" localSheetId="1">DATE(YEAR('AU + PGIO'!Loan_Start),MONTH('AU + PGIO'!Loan_Start)+Payment_Number,DAY('AU + PGIO'!Loan_Start))</definedName>
    <definedName name="RUTA">DATE(YEAR([0]!Loan_Start),MONTH([0]!Loan_Start)+Payment_Number,DAY([0]!Loan_Start))</definedName>
    <definedName name="rutu" localSheetId="50" hidden="1">{"via1",#N/A,TRUE,"general";"via2",#N/A,TRUE,"general";"via3",#N/A,TRUE,"general"}</definedName>
    <definedName name="rutu" localSheetId="1" hidden="1">{"via1",#N/A,TRUE,"general";"via2",#N/A,TRUE,"general";"via3",#N/A,TRUE,"general"}</definedName>
    <definedName name="rutu" localSheetId="73" hidden="1">{"via1",#N/A,TRUE,"general";"via2",#N/A,TRUE,"general";"via3",#N/A,TRUE,"general"}</definedName>
    <definedName name="rutu" hidden="1">{"via1",#N/A,TRUE,"general";"via2",#N/A,TRUE,"general";"via3",#N/A,TRUE,"general"}</definedName>
    <definedName name="Rv" localSheetId="1">#REF!</definedName>
    <definedName name="Rv">#REF!</definedName>
    <definedName name="RVIB" localSheetId="1">#REF!</definedName>
    <definedName name="RVIB">#REF!</definedName>
    <definedName name="Rw" localSheetId="1">#REF!</definedName>
    <definedName name="Rw">#REF!</definedName>
    <definedName name="rwt" localSheetId="50" hidden="1">{"via1",#N/A,TRUE,"general";"via2",#N/A,TRUE,"general";"via3",#N/A,TRUE,"general"}</definedName>
    <definedName name="rwt" localSheetId="1" hidden="1">{"via1",#N/A,TRUE,"general";"via2",#N/A,TRUE,"general";"via3",#N/A,TRUE,"general"}</definedName>
    <definedName name="rwt" localSheetId="73" hidden="1">{"via1",#N/A,TRUE,"general";"via2",#N/A,TRUE,"general";"via3",#N/A,TRUE,"general"}</definedName>
    <definedName name="rwt" hidden="1">{"via1",#N/A,TRUE,"general";"via2",#N/A,TRUE,"general";"via3",#N/A,TRUE,"general"}</definedName>
    <definedName name="Rx" localSheetId="1">#REF!</definedName>
    <definedName name="Rx">#REF!</definedName>
    <definedName name="Ry" localSheetId="1">#REF!</definedName>
    <definedName name="ry" localSheetId="71" hidden="1">{"via1",#N/A,TRUE,"general";"via2",#N/A,TRUE,"general";"via3",#N/A,TRUE,"general"}</definedName>
    <definedName name="ry" localSheetId="73" hidden="1">{"via1",#N/A,TRUE,"general";"via2",#N/A,TRUE,"general";"via3",#N/A,TRUE,"general"}</definedName>
    <definedName name="Ry">#REF!</definedName>
    <definedName name="ryeryb" localSheetId="50"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73" hidden="1">{"TAB1",#N/A,TRUE,"GENERAL";"TAB2",#N/A,TRUE,"GENERAL";"TAB3",#N/A,TRUE,"GENERAL";"TAB4",#N/A,TRUE,"GENERAL";"TAB5",#N/A,TRUE,"GENERAL"}</definedName>
    <definedName name="ryeryb" hidden="1">{"TAB1",#N/A,TRUE,"GENERAL";"TAB2",#N/A,TRUE,"GENERAL";"TAB3",#N/A,TRUE,"GENERAL";"TAB4",#N/A,TRUE,"GENERAL";"TAB5",#N/A,TRUE,"GENERAL"}</definedName>
    <definedName name="rytrsdg" localSheetId="50" hidden="1">{"via1",#N/A,TRUE,"general";"via2",#N/A,TRUE,"general";"via3",#N/A,TRUE,"general"}</definedName>
    <definedName name="rytrsdg" localSheetId="1" hidden="1">{"via1",#N/A,TRUE,"general";"via2",#N/A,TRUE,"general";"via3",#N/A,TRUE,"general"}</definedName>
    <definedName name="rytrsdg" localSheetId="73" hidden="1">{"via1",#N/A,TRUE,"general";"via2",#N/A,TRUE,"general";"via3",#N/A,TRUE,"general"}</definedName>
    <definedName name="rytrsdg" hidden="1">{"via1",#N/A,TRUE,"general";"via2",#N/A,TRUE,"general";"via3",#N/A,TRUE,"general"}</definedName>
    <definedName name="RYUTU" localSheetId="50" hidden="1">{#N/A,#N/A,TRUE,"INGENIERIA";#N/A,#N/A,TRUE,"COMPRAS";#N/A,#N/A,TRUE,"DIRECCION";#N/A,#N/A,TRUE,"RESUMEN"}</definedName>
    <definedName name="RYUTU" localSheetId="1" hidden="1">{#N/A,#N/A,TRUE,"INGENIERIA";#N/A,#N/A,TRUE,"COMPRAS";#N/A,#N/A,TRUE,"DIRECCION";#N/A,#N/A,TRUE,"RESUMEN"}</definedName>
    <definedName name="RYUTU" hidden="1">{#N/A,#N/A,TRUE,"INGENIERIA";#N/A,#N/A,TRUE,"COMPRAS";#N/A,#N/A,TRUE,"DIRECCION";#N/A,#N/A,TRUE,"RESUMEN"}</definedName>
    <definedName name="Rz" localSheetId="1">#REF!</definedName>
    <definedName name="Rz">#REF!</definedName>
    <definedName name="S" localSheetId="1">#REF!</definedName>
    <definedName name="S">#REF!</definedName>
    <definedName name="Sa" localSheetId="1">#REF!</definedName>
    <definedName name="Sa">#REF!</definedName>
    <definedName name="saa" localSheetId="50" hidden="1">{"via1",#N/A,TRUE,"general";"via2",#N/A,TRUE,"general";"via3",#N/A,TRUE,"general"}</definedName>
    <definedName name="saa" localSheetId="1" hidden="1">{"via1",#N/A,TRUE,"general";"via2",#N/A,TRUE,"general";"via3",#N/A,TRUE,"general"}</definedName>
    <definedName name="saa" localSheetId="73" hidden="1">{"via1",#N/A,TRUE,"general";"via2",#N/A,TRUE,"general";"via3",#N/A,TRUE,"general"}</definedName>
    <definedName name="saa" hidden="1">{"via1",#N/A,TRUE,"general";"via2",#N/A,TRUE,"general";"via3",#N/A,TRUE,"general"}</definedName>
    <definedName name="SAD" localSheetId="50" hidden="1">{"via1",#N/A,TRUE,"general";"via2",#N/A,TRUE,"general";"via3",#N/A,TRUE,"general"}</definedName>
    <definedName name="SAD" localSheetId="1" hidden="1">{"via1",#N/A,TRUE,"general";"via2",#N/A,TRUE,"general";"via3",#N/A,TRUE,"general"}</definedName>
    <definedName name="SAD" localSheetId="73" hidden="1">{"via1",#N/A,TRUE,"general";"via2",#N/A,TRUE,"general";"via3",#N/A,TRUE,"general"}</definedName>
    <definedName name="SAD" hidden="1">{"via1",#N/A,TRUE,"general";"via2",#N/A,TRUE,"general";"via3",#N/A,TRUE,"general"}</definedName>
    <definedName name="SADF" localSheetId="50" hidden="1">{"via1",#N/A,TRUE,"general";"via2",#N/A,TRUE,"general";"via3",#N/A,TRUE,"general"}</definedName>
    <definedName name="SADF" localSheetId="1" hidden="1">{"via1",#N/A,TRUE,"general";"via2",#N/A,TRUE,"general";"via3",#N/A,TRUE,"general"}</definedName>
    <definedName name="SADF" localSheetId="73" hidden="1">{"via1",#N/A,TRUE,"general";"via2",#N/A,TRUE,"general";"via3",#N/A,TRUE,"general"}</definedName>
    <definedName name="SADF" hidden="1">{"via1",#N/A,TRUE,"general";"via2",#N/A,TRUE,"general";"via3",#N/A,TRUE,"general"}</definedName>
    <definedName name="sadff" localSheetId="50" hidden="1">{"TAB1",#N/A,TRUE,"GENERAL";"TAB2",#N/A,TRUE,"GENERAL";"TAB3",#N/A,TRUE,"GENERAL";"TAB4",#N/A,TRUE,"GENERAL";"TAB5",#N/A,TRUE,"GENERAL"}</definedName>
    <definedName name="sadff" localSheetId="1" hidden="1">{"TAB1",#N/A,TRUE,"GENERAL";"TAB2",#N/A,TRUE,"GENERAL";"TAB3",#N/A,TRUE,"GENERAL";"TAB4",#N/A,TRUE,"GENERAL";"TAB5",#N/A,TRUE,"GENERAL"}</definedName>
    <definedName name="sadff" localSheetId="73" hidden="1">{"TAB1",#N/A,TRUE,"GENERAL";"TAB2",#N/A,TRUE,"GENERAL";"TAB3",#N/A,TRUE,"GENERAL";"TAB4",#N/A,TRUE,"GENERAL";"TAB5",#N/A,TRUE,"GENERAL"}</definedName>
    <definedName name="sadff" hidden="1">{"TAB1",#N/A,TRUE,"GENERAL";"TAB2",#N/A,TRUE,"GENERAL";"TAB3",#N/A,TRUE,"GENERAL";"TAB4",#N/A,TRUE,"GENERAL";"TAB5",#N/A,TRUE,"GENERAL"}</definedName>
    <definedName name="sadfo" localSheetId="50" hidden="1">{"via1",#N/A,TRUE,"general";"via2",#N/A,TRUE,"general";"via3",#N/A,TRUE,"general"}</definedName>
    <definedName name="sadfo" localSheetId="1" hidden="1">{"via1",#N/A,TRUE,"general";"via2",#N/A,TRUE,"general";"via3",#N/A,TRUE,"general"}</definedName>
    <definedName name="sadfo" localSheetId="73" hidden="1">{"via1",#N/A,TRUE,"general";"via2",#N/A,TRUE,"general";"via3",#N/A,TRUE,"general"}</definedName>
    <definedName name="sadfo" hidden="1">{"via1",#N/A,TRUE,"general";"via2",#N/A,TRUE,"general";"via3",#N/A,TRUE,"general"}</definedName>
    <definedName name="safdp" localSheetId="50" hidden="1">{"TAB1",#N/A,TRUE,"GENERAL";"TAB2",#N/A,TRUE,"GENERAL";"TAB3",#N/A,TRUE,"GENERAL";"TAB4",#N/A,TRUE,"GENERAL";"TAB5",#N/A,TRUE,"GENERAL"}</definedName>
    <definedName name="safdp" localSheetId="1" hidden="1">{"TAB1",#N/A,TRUE,"GENERAL";"TAB2",#N/A,TRUE,"GENERAL";"TAB3",#N/A,TRUE,"GENERAL";"TAB4",#N/A,TRUE,"GENERAL";"TAB5",#N/A,TRUE,"GENERAL"}</definedName>
    <definedName name="safdp" localSheetId="73" hidden="1">{"TAB1",#N/A,TRUE,"GENERAL";"TAB2",#N/A,TRUE,"GENERAL";"TAB3",#N/A,TRUE,"GENERAL";"TAB4",#N/A,TRUE,"GENERAL";"TAB5",#N/A,TRUE,"GENERAL"}</definedName>
    <definedName name="safdp" hidden="1">{"TAB1",#N/A,TRUE,"GENERAL";"TAB2",#N/A,TRUE,"GENERAL";"TAB3",#N/A,TRUE,"GENERAL";"TAB4",#N/A,TRUE,"GENERAL";"TAB5",#N/A,TRUE,"GENERAL"}</definedName>
    <definedName name="SANIB" localSheetId="1">#REF!</definedName>
    <definedName name="SANIB">#REF!</definedName>
    <definedName name="SANIBLA" localSheetId="1">#REF!</definedName>
    <definedName name="SANIBLA">#REF!</definedName>
    <definedName name="Sanitarios" localSheetId="50">#REF!</definedName>
    <definedName name="Sanitarios" localSheetId="1">#REF!</definedName>
    <definedName name="Sanitarios">#REF!</definedName>
    <definedName name="SANITNOVATOT" localSheetId="50">#REF!</definedName>
    <definedName name="SANITNOVATOT" localSheetId="1">#REF!</definedName>
    <definedName name="SANITNOVATOT">#REF!</definedName>
    <definedName name="SARDI" localSheetId="50">#REF!</definedName>
    <definedName name="SARDI" localSheetId="1">#REF!</definedName>
    <definedName name="SARDI">#REF!</definedName>
    <definedName name="SARDINEL" localSheetId="1">#REF!</definedName>
    <definedName name="SARDINEL">#REF!</definedName>
    <definedName name="Sb" localSheetId="1">#REF!</definedName>
    <definedName name="Sb">#REF!</definedName>
    <definedName name="sbe" localSheetId="1">#REF!</definedName>
    <definedName name="sbe">#REF!</definedName>
    <definedName name="sbgfbgdr" localSheetId="50" hidden="1">{"via1",#N/A,TRUE,"general";"via2",#N/A,TRUE,"general";"via3",#N/A,TRUE,"general"}</definedName>
    <definedName name="sbgfbgdr" localSheetId="1" hidden="1">{"via1",#N/A,TRUE,"general";"via2",#N/A,TRUE,"general";"via3",#N/A,TRUE,"general"}</definedName>
    <definedName name="sbgfbgdr" localSheetId="73" hidden="1">{"via1",#N/A,TRUE,"general";"via2",#N/A,TRUE,"general";"via3",#N/A,TRUE,"general"}</definedName>
    <definedName name="sbgfbgdr" hidden="1">{"via1",#N/A,TRUE,"general";"via2",#N/A,TRUE,"general";"via3",#N/A,TRUE,"general"}</definedName>
    <definedName name="Sc" localSheetId="1">#REF!</definedName>
    <definedName name="Sc">#REF!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1">#REF!</definedName>
    <definedName name="sd" localSheetId="71" hidden="1">{"TAB1",#N/A,TRUE,"GENERAL";"TAB2",#N/A,TRUE,"GENERAL";"TAB3",#N/A,TRUE,"GENERAL";"TAB4",#N/A,TRUE,"GENERAL";"TAB5",#N/A,TRUE,"GENERAL"}</definedName>
    <definedName name="sd" localSheetId="73" hidden="1">{"TAB1",#N/A,TRUE,"GENERAL";"TAB2",#N/A,TRUE,"GENERAL";"TAB3",#N/A,TRUE,"GENERAL";"TAB4",#N/A,TRUE,"GENERAL";"TAB5",#N/A,TRUE,"GENERAL"}</definedName>
    <definedName name="Sd">#REF!</definedName>
    <definedName name="sdaf" localSheetId="50" hidden="1">{"via1",#N/A,TRUE,"general";"via2",#N/A,TRUE,"general";"via3",#N/A,TRUE,"general"}</definedName>
    <definedName name="sdaf" localSheetId="1" hidden="1">{"via1",#N/A,TRUE,"general";"via2",#N/A,TRUE,"general";"via3",#N/A,TRUE,"general"}</definedName>
    <definedName name="sdaf" localSheetId="73" hidden="1">{"via1",#N/A,TRUE,"general";"via2",#N/A,TRUE,"general";"via3",#N/A,TRUE,"general"}</definedName>
    <definedName name="sdaf" hidden="1">{"via1",#N/A,TRUE,"general";"via2",#N/A,TRUE,"general";"via3",#N/A,TRUE,"general"}</definedName>
    <definedName name="sdas" localSheetId="50" hidden="1">{"via1",#N/A,TRUE,"general";"via2",#N/A,TRUE,"general";"via3",#N/A,TRUE,"general"}</definedName>
    <definedName name="sdas" localSheetId="1" hidden="1">{"via1",#N/A,TRUE,"general";"via2",#N/A,TRUE,"general";"via3",#N/A,TRUE,"general"}</definedName>
    <definedName name="sdas" localSheetId="73" hidden="1">{"via1",#N/A,TRUE,"general";"via2",#N/A,TRUE,"general";"via3",#N/A,TRUE,"general"}</definedName>
    <definedName name="sdas" hidden="1">{"via1",#N/A,TRUE,"general";"via2",#N/A,TRUE,"general";"via3",#N/A,TRUE,"general"}</definedName>
    <definedName name="sdasdf" localSheetId="50" hidden="1">{"via1",#N/A,TRUE,"general";"via2",#N/A,TRUE,"general";"via3",#N/A,TRUE,"general"}</definedName>
    <definedName name="sdasdf" localSheetId="1" hidden="1">{"via1",#N/A,TRUE,"general";"via2",#N/A,TRUE,"general";"via3",#N/A,TRUE,"general"}</definedName>
    <definedName name="sdasdf" localSheetId="73" hidden="1">{"via1",#N/A,TRUE,"general";"via2",#N/A,TRUE,"general";"via3",#N/A,TRUE,"general"}</definedName>
    <definedName name="sdasdf" hidden="1">{"via1",#N/A,TRUE,"general";"via2",#N/A,TRUE,"general";"via3",#N/A,TRUE,"general"}</definedName>
    <definedName name="SDCDSCT" localSheetId="50"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73" hidden="1">{"TAB1",#N/A,TRUE,"GENERAL";"TAB2",#N/A,TRUE,"GENERAL";"TAB3",#N/A,TRUE,"GENERAL";"TAB4",#N/A,TRUE,"GENERAL";"TAB5",#N/A,TRUE,"GENERAL"}</definedName>
    <definedName name="SDCDSCT" hidden="1">{"TAB1",#N/A,TRUE,"GENERAL";"TAB2",#N/A,TRUE,"GENERAL";"TAB3",#N/A,TRUE,"GENERAL";"TAB4",#N/A,TRUE,"GENERAL";"TAB5",#N/A,TRUE,"GENERAL"}</definedName>
    <definedName name="SDDSAFF" localSheetId="50" hidden="1">{#N/A,#N/A,TRUE,"1842CWN0"}</definedName>
    <definedName name="SDDSAFF" localSheetId="1" hidden="1">{#N/A,#N/A,TRUE,"1842CWN0"}</definedName>
    <definedName name="SDDSAFF" localSheetId="73" hidden="1">{#N/A,#N/A,TRUE,"1842CWN0"}</definedName>
    <definedName name="SDDSAFF" hidden="1">{#N/A,#N/A,TRUE,"1842CWN0"}</definedName>
    <definedName name="SDE" localSheetId="1">#REF!</definedName>
    <definedName name="SDE">#REF!</definedName>
    <definedName name="sdf" localSheetId="1">#REF!</definedName>
    <definedName name="sdf">#REF!</definedName>
    <definedName name="SDFCE" localSheetId="50" hidden="1">{"TAB1",#N/A,TRUE,"GENERAL";"TAB2",#N/A,TRUE,"GENERAL";"TAB3",#N/A,TRUE,"GENERAL";"TAB4",#N/A,TRUE,"GENERAL";"TAB5",#N/A,TRUE,"GENERAL"}</definedName>
    <definedName name="SDFCE" localSheetId="1" hidden="1">{"TAB1",#N/A,TRUE,"GENERAL";"TAB2",#N/A,TRUE,"GENERAL";"TAB3",#N/A,TRUE,"GENERAL";"TAB4",#N/A,TRUE,"GENERAL";"TAB5",#N/A,TRUE,"GENERAL"}</definedName>
    <definedName name="SDFCE" localSheetId="73" hidden="1">{"TAB1",#N/A,TRUE,"GENERAL";"TAB2",#N/A,TRUE,"GENERAL";"TAB3",#N/A,TRUE,"GENERAL";"TAB4",#N/A,TRUE,"GENERAL";"TAB5",#N/A,TRUE,"GENERAL"}</definedName>
    <definedName name="SDFCE" hidden="1">{"TAB1",#N/A,TRUE,"GENERAL";"TAB2",#N/A,TRUE,"GENERAL";"TAB3",#N/A,TRUE,"GENERAL";"TAB4",#N/A,TRUE,"GENERAL";"TAB5",#N/A,TRUE,"GENERAL"}</definedName>
    <definedName name="sdfd" localSheetId="50" hidden="1">{"via1",#N/A,TRUE,"general";"via2",#N/A,TRUE,"general";"via3",#N/A,TRUE,"general"}</definedName>
    <definedName name="sdfd" localSheetId="1" hidden="1">{"via1",#N/A,TRUE,"general";"via2",#N/A,TRUE,"general";"via3",#N/A,TRUE,"general"}</definedName>
    <definedName name="sdfd" localSheetId="73" hidden="1">{"via1",#N/A,TRUE,"general";"via2",#N/A,TRUE,"general";"via3",#N/A,TRUE,"general"}</definedName>
    <definedName name="sdfd" hidden="1">{"via1",#N/A,TRUE,"general";"via2",#N/A,TRUE,"general";"via3",#N/A,TRUE,"general"}</definedName>
    <definedName name="SDFDG" localSheetId="50" hidden="1">{#N/A,#N/A,TRUE,"1842CWN0"}</definedName>
    <definedName name="SDFDG" localSheetId="1" hidden="1">{#N/A,#N/A,TRUE,"1842CWN0"}</definedName>
    <definedName name="SDFDG" localSheetId="73" hidden="1">{#N/A,#N/A,TRUE,"1842CWN0"}</definedName>
    <definedName name="SDFDG" hidden="1">{#N/A,#N/A,TRUE,"1842CWN0"}</definedName>
    <definedName name="sdfds" localSheetId="50" hidden="1">{"via1",#N/A,TRUE,"general";"via2",#N/A,TRUE,"general";"via3",#N/A,TRUE,"general"}</definedName>
    <definedName name="sdfds" localSheetId="1" hidden="1">{"via1",#N/A,TRUE,"general";"via2",#N/A,TRUE,"general";"via3",#N/A,TRUE,"general"}</definedName>
    <definedName name="sdfds" localSheetId="73" hidden="1">{"via1",#N/A,TRUE,"general";"via2",#N/A,TRUE,"general";"via3",#N/A,TRUE,"general"}</definedName>
    <definedName name="sdfds" hidden="1">{"via1",#N/A,TRUE,"general";"via2",#N/A,TRUE,"general";"via3",#N/A,TRUE,"general"}</definedName>
    <definedName name="SDFDSO" localSheetId="50" hidden="1">{"via1",#N/A,TRUE,"general";"via2",#N/A,TRUE,"general";"via3",#N/A,TRUE,"general"}</definedName>
    <definedName name="SDFDSO" localSheetId="1" hidden="1">{"via1",#N/A,TRUE,"general";"via2",#N/A,TRUE,"general";"via3",#N/A,TRUE,"general"}</definedName>
    <definedName name="SDFDSO" localSheetId="73" hidden="1">{"via1",#N/A,TRUE,"general";"via2",#N/A,TRUE,"general";"via3",#N/A,TRUE,"general"}</definedName>
    <definedName name="SDFDSO" hidden="1">{"via1",#N/A,TRUE,"general";"via2",#N/A,TRUE,"general";"via3",#N/A,TRUE,"general"}</definedName>
    <definedName name="sdfdstp" localSheetId="50"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73" hidden="1">{"TAB1",#N/A,TRUE,"GENERAL";"TAB2",#N/A,TRUE,"GENERAL";"TAB3",#N/A,TRUE,"GENERAL";"TAB4",#N/A,TRUE,"GENERAL";"TAB5",#N/A,TRUE,"GENERAL"}</definedName>
    <definedName name="sdfdstp" hidden="1">{"TAB1",#N/A,TRUE,"GENERAL";"TAB2",#N/A,TRUE,"GENERAL";"TAB3",#N/A,TRUE,"GENERAL";"TAB4",#N/A,TRUE,"GENERAL";"TAB5",#N/A,TRUE,"GENERAL"}</definedName>
    <definedName name="SDFEO" localSheetId="50" hidden="1">{"via1",#N/A,TRUE,"general";"via2",#N/A,TRUE,"general";"via3",#N/A,TRUE,"general"}</definedName>
    <definedName name="SDFEO" localSheetId="1" hidden="1">{"via1",#N/A,TRUE,"general";"via2",#N/A,TRUE,"general";"via3",#N/A,TRUE,"general"}</definedName>
    <definedName name="SDFEO" localSheetId="73" hidden="1">{"via1",#N/A,TRUE,"general";"via2",#N/A,TRUE,"general";"via3",#N/A,TRUE,"general"}</definedName>
    <definedName name="SDFEO" hidden="1">{"via1",#N/A,TRUE,"general";"via2",#N/A,TRUE,"general";"via3",#N/A,TRUE,"general"}</definedName>
    <definedName name="sdfg" localSheetId="50" hidden="1">{"TAB1",#N/A,TRUE,"GENERAL";"TAB2",#N/A,TRUE,"GENERAL";"TAB3",#N/A,TRUE,"GENERAL";"TAB4",#N/A,TRUE,"GENERAL";"TAB5",#N/A,TRUE,"GENERAL"}</definedName>
    <definedName name="sdfg" localSheetId="1" hidden="1">{"TAB1",#N/A,TRUE,"GENERAL";"TAB2",#N/A,TRUE,"GENERAL";"TAB3",#N/A,TRUE,"GENERAL";"TAB4",#N/A,TRUE,"GENERAL";"TAB5",#N/A,TRUE,"GENERAL"}</definedName>
    <definedName name="sdfg" localSheetId="73" hidden="1">{"TAB1",#N/A,TRUE,"GENERAL";"TAB2",#N/A,TRUE,"GENERAL";"TAB3",#N/A,TRUE,"GENERAL";"TAB4",#N/A,TRUE,"GENERAL";"TAB5",#N/A,TRUE,"GENERAL"}</definedName>
    <definedName name="sdfg" hidden="1">{"TAB1",#N/A,TRUE,"GENERAL";"TAB2",#N/A,TRUE,"GENERAL";"TAB3",#N/A,TRUE,"GENERAL";"TAB4",#N/A,TRUE,"GENERAL";"TAB5",#N/A,TRUE,"GENERAL"}</definedName>
    <definedName name="sdfgdsfk" localSheetId="50" hidden="1">{"via1",#N/A,TRUE,"general";"via2",#N/A,TRUE,"general";"via3",#N/A,TRUE,"general"}</definedName>
    <definedName name="sdfgdsfk" localSheetId="1" hidden="1">{"via1",#N/A,TRUE,"general";"via2",#N/A,TRUE,"general";"via3",#N/A,TRUE,"general"}</definedName>
    <definedName name="sdfgdsfk" localSheetId="73" hidden="1">{"via1",#N/A,TRUE,"general";"via2",#N/A,TRUE,"general";"via3",#N/A,TRUE,"general"}</definedName>
    <definedName name="sdfgdsfk" hidden="1">{"via1",#N/A,TRUE,"general";"via2",#N/A,TRUE,"general";"via3",#N/A,TRUE,"general"}</definedName>
    <definedName name="sdfgsg" localSheetId="50" hidden="1">{"via1",#N/A,TRUE,"general";"via2",#N/A,TRUE,"general";"via3",#N/A,TRUE,"general"}</definedName>
    <definedName name="sdfgsg" localSheetId="1" hidden="1">{"via1",#N/A,TRUE,"general";"via2",#N/A,TRUE,"general";"via3",#N/A,TRUE,"general"}</definedName>
    <definedName name="sdfgsg" localSheetId="73" hidden="1">{"via1",#N/A,TRUE,"general";"via2",#N/A,TRUE,"general";"via3",#N/A,TRUE,"general"}</definedName>
    <definedName name="sdfgsg" hidden="1">{"via1",#N/A,TRUE,"general";"via2",#N/A,TRUE,"general";"via3",#N/A,TRUE,"general"}</definedName>
    <definedName name="sdfhjfasdfjasj" localSheetId="1">#REF!</definedName>
    <definedName name="sdfhjfasdfjasj">#REF!</definedName>
    <definedName name="SDFLJK" localSheetId="50"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73" hidden="1">{"TAB1",#N/A,TRUE,"GENERAL";"TAB2",#N/A,TRUE,"GENERAL";"TAB3",#N/A,TRUE,"GENERAL";"TAB4",#N/A,TRUE,"GENERAL";"TAB5",#N/A,TRUE,"GENERAL"}</definedName>
    <definedName name="SDFLJK" hidden="1">{"TAB1",#N/A,TRUE,"GENERAL";"TAB2",#N/A,TRUE,"GENERAL";"TAB3",#N/A,TRUE,"GENERAL";"TAB4",#N/A,TRUE,"GENERAL";"TAB5",#N/A,TRUE,"GENERAL"}</definedName>
    <definedName name="sdfsd4" localSheetId="50" hidden="1">{"via1",#N/A,TRUE,"general";"via2",#N/A,TRUE,"general";"via3",#N/A,TRUE,"general"}</definedName>
    <definedName name="sdfsd4" localSheetId="1" hidden="1">{"via1",#N/A,TRUE,"general";"via2",#N/A,TRUE,"general";"via3",#N/A,TRUE,"general"}</definedName>
    <definedName name="sdfsd4" localSheetId="73" hidden="1">{"via1",#N/A,TRUE,"general";"via2",#N/A,TRUE,"general";"via3",#N/A,TRUE,"general"}</definedName>
    <definedName name="sdfsd4" hidden="1">{"via1",#N/A,TRUE,"general";"via2",#N/A,TRUE,"general";"via3",#N/A,TRUE,"general"}</definedName>
    <definedName name="SDFSDF" localSheetId="50"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73" hidden="1">{"TAB1",#N/A,TRUE,"GENERAL";"TAB2",#N/A,TRUE,"GENERAL";"TAB3",#N/A,TRUE,"GENERAL";"TAB4",#N/A,TRUE,"GENERAL";"TAB5",#N/A,TRUE,"GENERAL"}</definedName>
    <definedName name="SDFSDF" hidden="1">{"TAB1",#N/A,TRUE,"GENERAL";"TAB2",#N/A,TRUE,"GENERAL";"TAB3",#N/A,TRUE,"GENERAL";"TAB4",#N/A,TRUE,"GENERAL";"TAB5",#N/A,TRUE,"GENERAL"}</definedName>
    <definedName name="sdfsdfb" localSheetId="50" hidden="1">{"via1",#N/A,TRUE,"general";"via2",#N/A,TRUE,"general";"via3",#N/A,TRUE,"general"}</definedName>
    <definedName name="sdfsdfb" localSheetId="1" hidden="1">{"via1",#N/A,TRUE,"general";"via2",#N/A,TRUE,"general";"via3",#N/A,TRUE,"general"}</definedName>
    <definedName name="sdfsdfb" localSheetId="73" hidden="1">{"via1",#N/A,TRUE,"general";"via2",#N/A,TRUE,"general";"via3",#N/A,TRUE,"general"}</definedName>
    <definedName name="sdfsdfb" hidden="1">{"via1",#N/A,TRUE,"general";"via2",#N/A,TRUE,"general";"via3",#N/A,TRUE,"general"}</definedName>
    <definedName name="sdfsdgg" localSheetId="50" hidden="1">{#N/A,#N/A,TRUE,"INGENIERIA";#N/A,#N/A,TRUE,"COMPRAS";#N/A,#N/A,TRUE,"DIRECCION";#N/A,#N/A,TRUE,"RESUMEN"}</definedName>
    <definedName name="sdfsdgg" localSheetId="1" hidden="1">{#N/A,#N/A,TRUE,"INGENIERIA";#N/A,#N/A,TRUE,"COMPRAS";#N/A,#N/A,TRUE,"DIRECCION";#N/A,#N/A,TRUE,"RESUMEN"}</definedName>
    <definedName name="sdfsdgg" localSheetId="73" hidden="1">{#N/A,#N/A,TRUE,"INGENIERIA";#N/A,#N/A,TRUE,"COMPRAS";#N/A,#N/A,TRUE,"DIRECCION";#N/A,#N/A,TRUE,"RESUMEN"}</definedName>
    <definedName name="sdfsdgg" hidden="1">{#N/A,#N/A,TRUE,"INGENIERIA";#N/A,#N/A,TRUE,"COMPRAS";#N/A,#N/A,TRUE,"DIRECCION";#N/A,#N/A,TRUE,"RESUMEN"}</definedName>
    <definedName name="SDFSF" localSheetId="50" hidden="1">{"TAB1",#N/A,TRUE,"GENERAL";"TAB2",#N/A,TRUE,"GENERAL";"TAB3",#N/A,TRUE,"GENERAL";"TAB4",#N/A,TRUE,"GENERAL";"TAB5",#N/A,TRUE,"GENERAL"}</definedName>
    <definedName name="SDFSF" localSheetId="1" hidden="1">{"TAB1",#N/A,TRUE,"GENERAL";"TAB2",#N/A,TRUE,"GENERAL";"TAB3",#N/A,TRUE,"GENERAL";"TAB4",#N/A,TRUE,"GENERAL";"TAB5",#N/A,TRUE,"GENERAL"}</definedName>
    <definedName name="SDFSF" localSheetId="73" hidden="1">{"TAB1",#N/A,TRUE,"GENERAL";"TAB2",#N/A,TRUE,"GENERAL";"TAB3",#N/A,TRUE,"GENERAL";"TAB4",#N/A,TRUE,"GENERAL";"TAB5",#N/A,TRUE,"GENERAL"}</definedName>
    <definedName name="SDFSF" hidden="1">{"TAB1",#N/A,TRUE,"GENERAL";"TAB2",#N/A,TRUE,"GENERAL";"TAB3",#N/A,TRUE,"GENERAL";"TAB4",#N/A,TRUE,"GENERAL";"TAB5",#N/A,TRUE,"GENERAL"}</definedName>
    <definedName name="sdfsv" localSheetId="50" hidden="1">{"TAB1",#N/A,TRUE,"GENERAL";"TAB2",#N/A,TRUE,"GENERAL";"TAB3",#N/A,TRUE,"GENERAL";"TAB4",#N/A,TRUE,"GENERAL";"TAB5",#N/A,TRUE,"GENERAL"}</definedName>
    <definedName name="sdfsv" localSheetId="1" hidden="1">{"TAB1",#N/A,TRUE,"GENERAL";"TAB2",#N/A,TRUE,"GENERAL";"TAB3",#N/A,TRUE,"GENERAL";"TAB4",#N/A,TRUE,"GENERAL";"TAB5",#N/A,TRUE,"GENERAL"}</definedName>
    <definedName name="sdfsv" localSheetId="73" hidden="1">{"TAB1",#N/A,TRUE,"GENERAL";"TAB2",#N/A,TRUE,"GENERAL";"TAB3",#N/A,TRUE,"GENERAL";"TAB4",#N/A,TRUE,"GENERAL";"TAB5",#N/A,TRUE,"GENERAL"}</definedName>
    <definedName name="sdfsv" hidden="1">{"TAB1",#N/A,TRUE,"GENERAL";"TAB2",#N/A,TRUE,"GENERAL";"TAB3",#N/A,TRUE,"GENERAL";"TAB4",#N/A,TRUE,"GENERAL";"TAB5",#N/A,TRUE,"GENERAL"}</definedName>
    <definedName name="sdgfd" localSheetId="50" hidden="1">{"TAB1",#N/A,TRUE,"GENERAL";"TAB2",#N/A,TRUE,"GENERAL";"TAB3",#N/A,TRUE,"GENERAL";"TAB4",#N/A,TRUE,"GENERAL";"TAB5",#N/A,TRUE,"GENERAL"}</definedName>
    <definedName name="sdgfd" localSheetId="1" hidden="1">{"TAB1",#N/A,TRUE,"GENERAL";"TAB2",#N/A,TRUE,"GENERAL";"TAB3",#N/A,TRUE,"GENERAL";"TAB4",#N/A,TRUE,"GENERAL";"TAB5",#N/A,TRUE,"GENERAL"}</definedName>
    <definedName name="sdgfd" localSheetId="73" hidden="1">{"TAB1",#N/A,TRUE,"GENERAL";"TAB2",#N/A,TRUE,"GENERAL";"TAB3",#N/A,TRUE,"GENERAL";"TAB4",#N/A,TRUE,"GENERAL";"TAB5",#N/A,TRUE,"GENERAL"}</definedName>
    <definedName name="sdgfd" hidden="1">{"TAB1",#N/A,TRUE,"GENERAL";"TAB2",#N/A,TRUE,"GENERAL";"TAB3",#N/A,TRUE,"GENERAL";"TAB4",#N/A,TRUE,"GENERAL";"TAB5",#N/A,TRUE,"GENERAL"}</definedName>
    <definedName name="sdgfgp" localSheetId="50" hidden="1">{"via1",#N/A,TRUE,"general";"via2",#N/A,TRUE,"general";"via3",#N/A,TRUE,"general"}</definedName>
    <definedName name="sdgfgp" localSheetId="1" hidden="1">{"via1",#N/A,TRUE,"general";"via2",#N/A,TRUE,"general";"via3",#N/A,TRUE,"general"}</definedName>
    <definedName name="sdgfgp" localSheetId="73" hidden="1">{"via1",#N/A,TRUE,"general";"via2",#N/A,TRUE,"general";"via3",#N/A,TRUE,"general"}</definedName>
    <definedName name="sdgfgp" hidden="1">{"via1",#N/A,TRUE,"general";"via2",#N/A,TRUE,"general";"via3",#N/A,TRUE,"general"}</definedName>
    <definedName name="sdgfiu" localSheetId="50" hidden="1">{"via1",#N/A,TRUE,"general";"via2",#N/A,TRUE,"general";"via3",#N/A,TRUE,"general"}</definedName>
    <definedName name="sdgfiu" localSheetId="1" hidden="1">{"via1",#N/A,TRUE,"general";"via2",#N/A,TRUE,"general";"via3",#N/A,TRUE,"general"}</definedName>
    <definedName name="sdgfiu" localSheetId="73" hidden="1">{"via1",#N/A,TRUE,"general";"via2",#N/A,TRUE,"general";"via3",#N/A,TRUE,"general"}</definedName>
    <definedName name="sdgfiu" hidden="1">{"via1",#N/A,TRUE,"general";"via2",#N/A,TRUE,"general";"via3",#N/A,TRUE,"general"}</definedName>
    <definedName name="sdgsd" localSheetId="50" hidden="1">{"TAB1",#N/A,TRUE,"GENERAL";"TAB2",#N/A,TRUE,"GENERAL";"TAB3",#N/A,TRUE,"GENERAL";"TAB4",#N/A,TRUE,"GENERAL";"TAB5",#N/A,TRUE,"GENERAL"}</definedName>
    <definedName name="sdgsd" localSheetId="1" hidden="1">{"TAB1",#N/A,TRUE,"GENERAL";"TAB2",#N/A,TRUE,"GENERAL";"TAB3",#N/A,TRUE,"GENERAL";"TAB4",#N/A,TRUE,"GENERAL";"TAB5",#N/A,TRUE,"GENERAL"}</definedName>
    <definedName name="sdgsd" localSheetId="73" hidden="1">{"TAB1",#N/A,TRUE,"GENERAL";"TAB2",#N/A,TRUE,"GENERAL";"TAB3",#N/A,TRUE,"GENERAL";"TAB4",#N/A,TRUE,"GENERAL";"TAB5",#N/A,TRUE,"GENERAL"}</definedName>
    <definedName name="sdgsd" hidden="1">{"TAB1",#N/A,TRUE,"GENERAL";"TAB2",#N/A,TRUE,"GENERAL";"TAB3",#N/A,TRUE,"GENERAL";"TAB4",#N/A,TRUE,"GENERAL";"TAB5",#N/A,TRUE,"GENERAL"}</definedName>
    <definedName name="sdgsg" localSheetId="50" hidden="1">{"via1",#N/A,TRUE,"general";"via2",#N/A,TRUE,"general";"via3",#N/A,TRUE,"general"}</definedName>
    <definedName name="sdgsg" localSheetId="1" hidden="1">{"via1",#N/A,TRUE,"general";"via2",#N/A,TRUE,"general";"via3",#N/A,TRUE,"general"}</definedName>
    <definedName name="sdgsg" localSheetId="73" hidden="1">{"via1",#N/A,TRUE,"general";"via2",#N/A,TRUE,"general";"via3",#N/A,TRUE,"general"}</definedName>
    <definedName name="sdgsg" hidden="1">{"via1",#N/A,TRUE,"general";"via2",#N/A,TRUE,"general";"via3",#N/A,TRUE,"general"}</definedName>
    <definedName name="SDIKOM" localSheetId="50"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73" hidden="1">{"TAB1",#N/A,TRUE,"GENERAL";"TAB2",#N/A,TRUE,"GENERAL";"TAB3",#N/A,TRUE,"GENERAL";"TAB4",#N/A,TRUE,"GENERAL";"TAB5",#N/A,TRUE,"GENERAL"}</definedName>
    <definedName name="SDIKOM" hidden="1">{"TAB1",#N/A,TRUE,"GENERAL";"TAB2",#N/A,TRUE,"GENERAL";"TAB3",#N/A,TRUE,"GENERAL";"TAB4",#N/A,TRUE,"GENERAL";"TAB5",#N/A,TRUE,"GENERAL"}</definedName>
    <definedName name="sdsdfh" localSheetId="50" hidden="1">{"via1",#N/A,TRUE,"general";"via2",#N/A,TRUE,"general";"via3",#N/A,TRUE,"general"}</definedName>
    <definedName name="sdsdfh" localSheetId="1" hidden="1">{"via1",#N/A,TRUE,"general";"via2",#N/A,TRUE,"general";"via3",#N/A,TRUE,"general"}</definedName>
    <definedName name="sdsdfh" localSheetId="73" hidden="1">{"via1",#N/A,TRUE,"general";"via2",#N/A,TRUE,"general";"via3",#N/A,TRUE,"general"}</definedName>
    <definedName name="sdsdfh" hidden="1">{"via1",#N/A,TRUE,"general";"via2",#N/A,TRUE,"general";"via3",#N/A,TRUE,"general"}</definedName>
    <definedName name="sdsdfsdff" localSheetId="50" hidden="1">{#N/A,#N/A,TRUE,"1842CWN0"}</definedName>
    <definedName name="sdsdfsdff" localSheetId="1" hidden="1">{#N/A,#N/A,TRUE,"1842CWN0"}</definedName>
    <definedName name="sdsdfsdff" localSheetId="73" hidden="1">{#N/A,#N/A,TRUE,"1842CWN0"}</definedName>
    <definedName name="sdsdfsdff" hidden="1">{#N/A,#N/A,TRUE,"1842CWN0"}</definedName>
    <definedName name="Se" localSheetId="1">#REF!</definedName>
    <definedName name="Se">#REF!</definedName>
    <definedName name="SEG" localSheetId="1">#REF!</definedName>
    <definedName name="SEG">#REF!</definedName>
    <definedName name="Segundos" localSheetId="1">#REF!</definedName>
    <definedName name="Segundos">#REF!</definedName>
    <definedName name="sencount" hidden="1">1</definedName>
    <definedName name="SEÑAL" localSheetId="1">#REF!</definedName>
    <definedName name="SEÑAL">#REF!</definedName>
    <definedName name="setrj" localSheetId="50" hidden="1">{"via1",#N/A,TRUE,"general";"via2",#N/A,TRUE,"general";"via3",#N/A,TRUE,"general"}</definedName>
    <definedName name="setrj" localSheetId="1" hidden="1">{"via1",#N/A,TRUE,"general";"via2",#N/A,TRUE,"general";"via3",#N/A,TRUE,"general"}</definedName>
    <definedName name="setrj" localSheetId="73" hidden="1">{"via1",#N/A,TRUE,"general";"via2",#N/A,TRUE,"general";"via3",#N/A,TRUE,"general"}</definedName>
    <definedName name="setrj" hidden="1">{"via1",#N/A,TRUE,"general";"via2",#N/A,TRUE,"general";"via3",#N/A,TRUE,"general"}</definedName>
    <definedName name="sett" localSheetId="50" hidden="1">{"via1",#N/A,TRUE,"general";"via2",#N/A,TRUE,"general";"via3",#N/A,TRUE,"general"}</definedName>
    <definedName name="sett" localSheetId="1" hidden="1">{"via1",#N/A,TRUE,"general";"via2",#N/A,TRUE,"general";"via3",#N/A,TRUE,"general"}</definedName>
    <definedName name="sett" localSheetId="73" hidden="1">{"via1",#N/A,TRUE,"general";"via2",#N/A,TRUE,"general";"via3",#N/A,TRUE,"general"}</definedName>
    <definedName name="sett" hidden="1">{"via1",#N/A,TRUE,"general";"via2",#N/A,TRUE,"general";"via3",#N/A,TRUE,"general"}</definedName>
    <definedName name="Sf" localSheetId="1">#REF!</definedName>
    <definedName name="Sf">#REF!</definedName>
    <definedName name="sfasf" localSheetId="50" hidden="1">{"TAB1",#N/A,TRUE,"GENERAL";"TAB2",#N/A,TRUE,"GENERAL";"TAB3",#N/A,TRUE,"GENERAL";"TAB4",#N/A,TRUE,"GENERAL";"TAB5",#N/A,TRUE,"GENERAL"}</definedName>
    <definedName name="sfasf" localSheetId="1" hidden="1">{"TAB1",#N/A,TRUE,"GENERAL";"TAB2",#N/A,TRUE,"GENERAL";"TAB3",#N/A,TRUE,"GENERAL";"TAB4",#N/A,TRUE,"GENERAL";"TAB5",#N/A,TRUE,"GENERAL"}</definedName>
    <definedName name="sfasf" localSheetId="73" hidden="1">{"TAB1",#N/A,TRUE,"GENERAL";"TAB2",#N/A,TRUE,"GENERAL";"TAB3",#N/A,TRUE,"GENERAL";"TAB4",#N/A,TRUE,"GENERAL";"TAB5",#N/A,TRUE,"GENERAL"}</definedName>
    <definedName name="sfasf" hidden="1">{"TAB1",#N/A,TRUE,"GENERAL";"TAB2",#N/A,TRUE,"GENERAL";"TAB3",#N/A,TRUE,"GENERAL";"TAB4",#N/A,TRUE,"GENERAL";"TAB5",#N/A,TRUE,"GENERAL"}</definedName>
    <definedName name="SFHSGFH" localSheetId="50"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73" hidden="1">{"TAB1",#N/A,TRUE,"GENERAL";"TAB2",#N/A,TRUE,"GENERAL";"TAB3",#N/A,TRUE,"GENERAL";"TAB4",#N/A,TRUE,"GENERAL";"TAB5",#N/A,TRUE,"GENERAL"}</definedName>
    <definedName name="SFHSGFH" hidden="1">{"TAB1",#N/A,TRUE,"GENERAL";"TAB2",#N/A,TRUE,"GENERAL";"TAB3",#N/A,TRUE,"GENERAL";"TAB4",#N/A,TRUE,"GENERAL";"TAB5",#N/A,TRUE,"GENERAL"}</definedName>
    <definedName name="sfsd" localSheetId="50" hidden="1">{"via1",#N/A,TRUE,"general";"via2",#N/A,TRUE,"general";"via3",#N/A,TRUE,"general"}</definedName>
    <definedName name="sfsd" localSheetId="1" hidden="1">{"via1",#N/A,TRUE,"general";"via2",#N/A,TRUE,"general";"via3",#N/A,TRUE,"general"}</definedName>
    <definedName name="sfsd" localSheetId="73" hidden="1">{"via1",#N/A,TRUE,"general";"via2",#N/A,TRUE,"general";"via3",#N/A,TRUE,"general"}</definedName>
    <definedName name="sfsd" hidden="1">{"via1",#N/A,TRUE,"general";"via2",#N/A,TRUE,"general";"via3",#N/A,TRUE,"general"}</definedName>
    <definedName name="sfsdf" localSheetId="50" hidden="1">{"TAB1",#N/A,TRUE,"GENERAL";"TAB2",#N/A,TRUE,"GENERAL";"TAB3",#N/A,TRUE,"GENERAL";"TAB4",#N/A,TRUE,"GENERAL";"TAB5",#N/A,TRUE,"GENERAL"}</definedName>
    <definedName name="sfsdf" localSheetId="1" hidden="1">{"TAB1",#N/A,TRUE,"GENERAL";"TAB2",#N/A,TRUE,"GENERAL";"TAB3",#N/A,TRUE,"GENERAL";"TAB4",#N/A,TRUE,"GENERAL";"TAB5",#N/A,TRUE,"GENERAL"}</definedName>
    <definedName name="sfsdf" localSheetId="73" hidden="1">{"TAB1",#N/A,TRUE,"GENERAL";"TAB2",#N/A,TRUE,"GENERAL";"TAB3",#N/A,TRUE,"GENERAL";"TAB4",#N/A,TRUE,"GENERAL";"TAB5",#N/A,TRUE,"GENERAL"}</definedName>
    <definedName name="sfsdf" hidden="1">{"TAB1",#N/A,TRUE,"GENERAL";"TAB2",#N/A,TRUE,"GENERAL";"TAB3",#N/A,TRUE,"GENERAL";"TAB4",#N/A,TRUE,"GENERAL";"TAB5",#N/A,TRUE,"GENERAL"}</definedName>
    <definedName name="sfsdferg" localSheetId="50"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73" hidden="1">{"TAB1",#N/A,TRUE,"GENERAL";"TAB2",#N/A,TRUE,"GENERAL";"TAB3",#N/A,TRUE,"GENERAL";"TAB4",#N/A,TRUE,"GENERAL";"TAB5",#N/A,TRUE,"GENERAL"}</definedName>
    <definedName name="sfsdferg" hidden="1">{"TAB1",#N/A,TRUE,"GENERAL";"TAB2",#N/A,TRUE,"GENERAL";"TAB3",#N/A,TRUE,"GENERAL";"TAB4",#N/A,TRUE,"GENERAL";"TAB5",#N/A,TRUE,"GENERAL"}</definedName>
    <definedName name="sfsdfs" localSheetId="50"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73" hidden="1">{"TAB1",#N/A,TRUE,"GENERAL";"TAB2",#N/A,TRUE,"GENERAL";"TAB3",#N/A,TRUE,"GENERAL";"TAB4",#N/A,TRUE,"GENERAL";"TAB5",#N/A,TRUE,"GENERAL"}</definedName>
    <definedName name="sfsdfs" hidden="1">{"TAB1",#N/A,TRUE,"GENERAL";"TAB2",#N/A,TRUE,"GENERAL";"TAB3",#N/A,TRUE,"GENERAL";"TAB4",#N/A,TRUE,"GENERAL";"TAB5",#N/A,TRUE,"GENERAL"}</definedName>
    <definedName name="Sg" localSheetId="1">#REF!</definedName>
    <definedName name="Sg">#REF!</definedName>
    <definedName name="SGGGSV" localSheetId="1" hidden="1">#REF!</definedName>
    <definedName name="SGGGSV" hidden="1">#REF!</definedName>
    <definedName name="Sh" localSheetId="1">#REF!</definedName>
    <definedName name="Sh">#REF!</definedName>
    <definedName name="si" localSheetId="1">#REF!</definedName>
    <definedName name="si">#REF!</definedName>
    <definedName name="SIFON_180_2" localSheetId="1">#REF!</definedName>
    <definedName name="SIFON_180_2">#REF!</definedName>
    <definedName name="SIKA" localSheetId="1">#REF!</definedName>
    <definedName name="SIKA">#REF!</definedName>
    <definedName name="SIKADUR" localSheetId="50">#REF!</definedName>
    <definedName name="SIKADUR" localSheetId="1">#REF!</definedName>
    <definedName name="SIKADUR">#REF!</definedName>
    <definedName name="Silletas_crucetas" localSheetId="50">#REF!</definedName>
    <definedName name="Silletas_crucetas" localSheetId="1">#REF!</definedName>
    <definedName name="Silletas_crucetas">#REF!</definedName>
    <definedName name="sk" localSheetId="50">#REF!</definedName>
    <definedName name="sk" localSheetId="1">#REF!</definedName>
    <definedName name="sk">#REF!</definedName>
    <definedName name="sm" localSheetId="1">#REF!</definedName>
    <definedName name="sm">#REF!</definedName>
    <definedName name="sn" localSheetId="1">#REF!</definedName>
    <definedName name="sn">#REF!</definedName>
    <definedName name="snw" localSheetId="1">#REF!</definedName>
    <definedName name="snw">#REF!</definedName>
    <definedName name="sñ" localSheetId="1">#REF!</definedName>
    <definedName name="sñ">#REF!</definedName>
    <definedName name="so" localSheetId="1">#REF!</definedName>
    <definedName name="so">#REF!</definedName>
    <definedName name="SOBRE2H" localSheetId="1">#REF!</definedName>
    <definedName name="SOBRE2H">#REF!</definedName>
    <definedName name="SOBRECIMIEN20" localSheetId="1">#REF!</definedName>
    <definedName name="SOBRECIMIEN20">#REF!</definedName>
    <definedName name="sobrecimiento" localSheetId="1">#REF!</definedName>
    <definedName name="sobrecimiento">#REF!</definedName>
    <definedName name="solado" localSheetId="1">#REF!</definedName>
    <definedName name="solado">#REF!</definedName>
    <definedName name="SOLDA" localSheetId="1">#REF!</definedName>
    <definedName name="SOLDA">#REF!</definedName>
    <definedName name="SOLDAD" localSheetId="1">#REF!</definedName>
    <definedName name="SOLDAD">#REF!</definedName>
    <definedName name="soldadura" localSheetId="50">#REF!</definedName>
    <definedName name="soldadura" localSheetId="1">#REF!</definedName>
    <definedName name="soldadura">#REF!</definedName>
    <definedName name="SORT" localSheetId="1" hidden="1">#REF!</definedName>
    <definedName name="SORT" hidden="1">#REF!</definedName>
    <definedName name="sr" localSheetId="1">#REF!</definedName>
    <definedName name="sr">#REF!</definedName>
    <definedName name="srwrwr" localSheetId="50"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73"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ETL" localSheetId="1">#REF!</definedName>
    <definedName name="SSETL">#REF!</definedName>
    <definedName name="sss" localSheetId="1">#REF!</definedName>
    <definedName name="sss">#REF!</definedName>
    <definedName name="ssss" localSheetId="1">#REF!</definedName>
    <definedName name="ssss">#REF!</definedName>
    <definedName name="sssss7" localSheetId="50" hidden="1">{"via1",#N/A,TRUE,"general";"via2",#N/A,TRUE,"general";"via3",#N/A,TRUE,"general"}</definedName>
    <definedName name="sssss7" localSheetId="1" hidden="1">{"via1",#N/A,TRUE,"general";"via2",#N/A,TRUE,"general";"via3",#N/A,TRUE,"general"}</definedName>
    <definedName name="sssss7" localSheetId="73" hidden="1">{"via1",#N/A,TRUE,"general";"via2",#N/A,TRUE,"general";"via3",#N/A,TRUE,"general"}</definedName>
    <definedName name="sssss7" hidden="1">{"via1",#N/A,TRUE,"general";"via2",#N/A,TRUE,"general";"via3",#N/A,TRUE,"general"}</definedName>
    <definedName name="sssssa" localSheetId="50"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73" hidden="1">{"TAB1",#N/A,TRUE,"GENERAL";"TAB2",#N/A,TRUE,"GENERAL";"TAB3",#N/A,TRUE,"GENERAL";"TAB4",#N/A,TRUE,"GENERAL";"TAB5",#N/A,TRUE,"GENERAL"}</definedName>
    <definedName name="sssssa" hidden="1">{"TAB1",#N/A,TRUE,"GENERAL";"TAB2",#N/A,TRUE,"GENERAL";"TAB3",#N/A,TRUE,"GENERAL";"TAB4",#N/A,TRUE,"GENERAL";"TAB5",#N/A,TRUE,"GENERAL"}</definedName>
    <definedName name="SSSSSSS" localSheetId="50">IF(Loan_Amount*Interest_Rate*Loan_Years*Loan_Start&gt;0,1,0)</definedName>
    <definedName name="SSSSSSS" localSheetId="1">IF('AU + PGIO'!Loan_Amount*'AU + PGIO'!Interest_Rate*'AU + PGIO'!Loan_Years*'AU + PGIO'!Loan_Start&gt;0,1,0)</definedName>
    <definedName name="SSSSSSS">IF(Loan_Amount*Interest_Rate*Loan_Years*Loan_Start&gt;0,1,0)</definedName>
    <definedName name="sssssy" localSheetId="50" hidden="1">{"via1",#N/A,TRUE,"general";"via2",#N/A,TRUE,"general";"via3",#N/A,TRUE,"general"}</definedName>
    <definedName name="sssssy" localSheetId="1" hidden="1">{"via1",#N/A,TRUE,"general";"via2",#N/A,TRUE,"general";"via3",#N/A,TRUE,"general"}</definedName>
    <definedName name="sssssy" localSheetId="73" hidden="1">{"via1",#N/A,TRUE,"general";"via2",#N/A,TRUE,"general";"via3",#N/A,TRUE,"general"}</definedName>
    <definedName name="sssssy" hidden="1">{"via1",#N/A,TRUE,"general";"via2",#N/A,TRUE,"general";"via3",#N/A,TRUE,"general"}</definedName>
    <definedName name="stt" localSheetId="50" hidden="1">{"via1",#N/A,TRUE,"general";"via2",#N/A,TRUE,"general";"via3",#N/A,TRUE,"general"}</definedName>
    <definedName name="stt" localSheetId="1" hidden="1">{"via1",#N/A,TRUE,"general";"via2",#N/A,TRUE,"general";"via3",#N/A,TRUE,"general"}</definedName>
    <definedName name="stt" localSheetId="73" hidden="1">{"via1",#N/A,TRUE,"general";"via2",#N/A,TRUE,"general";"via3",#N/A,TRUE,"general"}</definedName>
    <definedName name="stt" hidden="1">{"via1",#N/A,TRUE,"general";"via2",#N/A,TRUE,"general";"via3",#N/A,TRUE,"general"}</definedName>
    <definedName name="Stub" localSheetId="1" hidden="1">#REF!</definedName>
    <definedName name="Stub" hidden="1">#REF!</definedName>
    <definedName name="Stub_Header1" localSheetId="1" hidden="1">#REF!</definedName>
    <definedName name="Stub_Header1" hidden="1">#REF!</definedName>
    <definedName name="Stub_Header2" localSheetId="1" hidden="1">#REF!</definedName>
    <definedName name="Stub_Header2" hidden="1">#REF!</definedName>
    <definedName name="Stub_Header3" localSheetId="1" hidden="1">#REF!</definedName>
    <definedName name="Stub_Header3" hidden="1">#REF!</definedName>
    <definedName name="Subbase2" localSheetId="1">#REF!</definedName>
    <definedName name="Subbase2">#REF!</definedName>
    <definedName name="SUPERCEL" localSheetId="1">#REF!</definedName>
    <definedName name="SUPERCEL">#REF!</definedName>
    <definedName name="Supervía" localSheetId="50" hidden="1">{#N/A,#N/A,TRUE,"0001";#N/A,#N/A,TRUE,"0002";#N/A,#N/A,TRUE,"0003";#N/A,#N/A,TRUE,"0004";#N/A,#N/A,TRUE,"0005";#N/A,#N/A,TRUE,"0006";#N/A,#N/A,TRUE,"0007";#N/A,#N/A,TRUE,"0008";#N/A,#N/A,TRUE,"0009";#N/A,#N/A,TRUE,"0010"}</definedName>
    <definedName name="Supervía" localSheetId="1" hidden="1">{#N/A,#N/A,TRUE,"0001";#N/A,#N/A,TRUE,"0002";#N/A,#N/A,TRUE,"0003";#N/A,#N/A,TRUE,"0004";#N/A,#N/A,TRUE,"0005";#N/A,#N/A,TRUE,"0006";#N/A,#N/A,TRUE,"0007";#N/A,#N/A,TRUE,"0008";#N/A,#N/A,TRUE,"0009";#N/A,#N/A,TRUE,"0010"}</definedName>
    <definedName name="Supervía" localSheetId="73"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wsw" localSheetId="50" hidden="1">{"via1",#N/A,TRUE,"general";"via2",#N/A,TRUE,"general";"via3",#N/A,TRUE,"general"}</definedName>
    <definedName name="swsw" localSheetId="1" hidden="1">{"via1",#N/A,TRUE,"general";"via2",#N/A,TRUE,"general";"via3",#N/A,TRUE,"general"}</definedName>
    <definedName name="swsw" localSheetId="73" hidden="1">{"via1",#N/A,TRUE,"general";"via2",#N/A,TRUE,"general";"via3",#N/A,TRUE,"general"}</definedName>
    <definedName name="swsw" hidden="1">{"via1",#N/A,TRUE,"general";"via2",#N/A,TRUE,"general";"via3",#N/A,TRUE,"general"}</definedName>
    <definedName name="swsw3" localSheetId="50" hidden="1">{"TAB1",#N/A,TRUE,"GENERAL";"TAB2",#N/A,TRUE,"GENERAL";"TAB3",#N/A,TRUE,"GENERAL";"TAB4",#N/A,TRUE,"GENERAL";"TAB5",#N/A,TRUE,"GENERAL"}</definedName>
    <definedName name="swsw3" localSheetId="1" hidden="1">{"TAB1",#N/A,TRUE,"GENERAL";"TAB2",#N/A,TRUE,"GENERAL";"TAB3",#N/A,TRUE,"GENERAL";"TAB4",#N/A,TRUE,"GENERAL";"TAB5",#N/A,TRUE,"GENERAL"}</definedName>
    <definedName name="swsw3" localSheetId="73"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#REF!</definedName>
    <definedName name="T.1" localSheetId="1">#REF!</definedName>
    <definedName name="T.1">#REF!</definedName>
    <definedName name="T.10" localSheetId="1">#REF!</definedName>
    <definedName name="T.10">#REF!</definedName>
    <definedName name="T.11" localSheetId="1">#REF!</definedName>
    <definedName name="T.11">#REF!</definedName>
    <definedName name="T.12" localSheetId="1">#REF!</definedName>
    <definedName name="T.12">#REF!</definedName>
    <definedName name="T.13" localSheetId="1">#REF!</definedName>
    <definedName name="T.13">#REF!</definedName>
    <definedName name="T.14" localSheetId="1">#REF!</definedName>
    <definedName name="T.14">#REF!</definedName>
    <definedName name="T.15" localSheetId="1">#REF!</definedName>
    <definedName name="T.15">#REF!</definedName>
    <definedName name="T.16" localSheetId="1">#REF!</definedName>
    <definedName name="T.16">#REF!</definedName>
    <definedName name="T.17" localSheetId="1">#REF!</definedName>
    <definedName name="T.17">#REF!</definedName>
    <definedName name="T.2" localSheetId="1">#REF!</definedName>
    <definedName name="T.2">#REF!</definedName>
    <definedName name="T.3" localSheetId="1">#REF!</definedName>
    <definedName name="T.3">#REF!</definedName>
    <definedName name="T.4" localSheetId="1">#REF!</definedName>
    <definedName name="T.4">#REF!</definedName>
    <definedName name="T.5" localSheetId="1">#REF!</definedName>
    <definedName name="T.5">#REF!</definedName>
    <definedName name="T.6" localSheetId="1">#REF!</definedName>
    <definedName name="T.6">#REF!</definedName>
    <definedName name="T.7" localSheetId="1">#REF!</definedName>
    <definedName name="T.7">#REF!</definedName>
    <definedName name="T.8" localSheetId="1">#REF!</definedName>
    <definedName name="T.8">#REF!</definedName>
    <definedName name="T.9" localSheetId="1">#REF!</definedName>
    <definedName name="T.9">#REF!</definedName>
    <definedName name="t5t5" localSheetId="50" hidden="1">{"TAB1",#N/A,TRUE,"GENERAL";"TAB2",#N/A,TRUE,"GENERAL";"TAB3",#N/A,TRUE,"GENERAL";"TAB4",#N/A,TRUE,"GENERAL";"TAB5",#N/A,TRUE,"GENERAL"}</definedName>
    <definedName name="t5t5" localSheetId="1" hidden="1">{"TAB1",#N/A,TRUE,"GENERAL";"TAB2",#N/A,TRUE,"GENERAL";"TAB3",#N/A,TRUE,"GENERAL";"TAB4",#N/A,TRUE,"GENERAL";"TAB5",#N/A,TRUE,"GENERAL"}</definedName>
    <definedName name="t5t5" localSheetId="73" hidden="1">{"TAB1",#N/A,TRUE,"GENERAL";"TAB2",#N/A,TRUE,"GENERAL";"TAB3",#N/A,TRUE,"GENERAL";"TAB4",#N/A,TRUE,"GENERAL";"TAB5",#N/A,TRUE,"GENERAL"}</definedName>
    <definedName name="t5t5" hidden="1">{"TAB1",#N/A,TRUE,"GENERAL";"TAB2",#N/A,TRUE,"GENERAL";"TAB3",#N/A,TRUE,"GENERAL";"TAB4",#N/A,TRUE,"GENERAL";"TAB5",#N/A,TRUE,"GENERAL"}</definedName>
    <definedName name="Ta" localSheetId="1">#REF!</definedName>
    <definedName name="Ta">#REF!</definedName>
    <definedName name="TAB" localSheetId="1">#REF!</definedName>
    <definedName name="TAB">#REF!</definedName>
    <definedName name="TABLA" localSheetId="1">#REF!</definedName>
    <definedName name="TABLA">#REF!</definedName>
    <definedName name="Tabla_cepillada" localSheetId="1">#REF!</definedName>
    <definedName name="Tabla_cepillada">#REF!</definedName>
    <definedName name="TABLA_DE_CARACOLI" localSheetId="1">#REF!</definedName>
    <definedName name="TABLA_DE_CARACOLI">#REF!</definedName>
    <definedName name="Tablero_18_ctos" localSheetId="50">#REF!</definedName>
    <definedName name="Tablero_18_ctos" localSheetId="1">#REF!</definedName>
    <definedName name="Tablero_18_ctos">#REF!</definedName>
    <definedName name="TABLETA" localSheetId="1">#REF!</definedName>
    <definedName name="TABLETA">#REF!</definedName>
    <definedName name="tablilla" localSheetId="1">#REF!</definedName>
    <definedName name="tablilla">#REF!</definedName>
    <definedName name="TABLON" localSheetId="1">#REF!</definedName>
    <definedName name="TABLON">#REF!</definedName>
    <definedName name="Tanq" localSheetId="1">#REF!</definedName>
    <definedName name="Tanq">#REF!</definedName>
    <definedName name="TANQUE" localSheetId="1">#REF!</definedName>
    <definedName name="TANQUE">#REF!</definedName>
    <definedName name="Tanque_100_lts" localSheetId="1">#REF!</definedName>
    <definedName name="Tanque_100_lts">#REF!</definedName>
    <definedName name="TANQUEELEVATOT" localSheetId="1">#REF!</definedName>
    <definedName name="TANQUEELEVATOT">#REF!</definedName>
    <definedName name="TAPA_HF" localSheetId="50">#REF!</definedName>
    <definedName name="TAPA_HF" localSheetId="1">#REF!</definedName>
    <definedName name="TAPA_HF">#REF!</definedName>
    <definedName name="TAPON_2__P.V.C" localSheetId="50">#REF!</definedName>
    <definedName name="TAPON_2__P.V.C" localSheetId="1">#REF!</definedName>
    <definedName name="TAPON_2__P.V.C">#REF!</definedName>
    <definedName name="Taxpb" localSheetId="50" hidden="1">#REF!</definedName>
    <definedName name="Taxpb" localSheetId="1" hidden="1">#REF!</definedName>
    <definedName name="Taxpb" hidden="1">#REF!</definedName>
    <definedName name="Tb" localSheetId="1">#REF!</definedName>
    <definedName name="Tb">#REF!</definedName>
    <definedName name="Tc" localSheetId="1">#REF!</definedName>
    <definedName name="Tc">#REF!</definedName>
    <definedName name="Td" localSheetId="1">#REF!</definedName>
    <definedName name="Td">#REF!</definedName>
    <definedName name="tdy" localSheetId="50" hidden="1">{"TAB1",#N/A,TRUE,"GENERAL";"TAB2",#N/A,TRUE,"GENERAL";"TAB3",#N/A,TRUE,"GENERAL";"TAB4",#N/A,TRUE,"GENERAL";"TAB5",#N/A,TRUE,"GENERAL"}</definedName>
    <definedName name="tdy" localSheetId="1" hidden="1">{"TAB1",#N/A,TRUE,"GENERAL";"TAB2",#N/A,TRUE,"GENERAL";"TAB3",#N/A,TRUE,"GENERAL";"TAB4",#N/A,TRUE,"GENERAL";"TAB5",#N/A,TRUE,"GENERAL"}</definedName>
    <definedName name="tdy" localSheetId="73" hidden="1">{"TAB1",#N/A,TRUE,"GENERAL";"TAB2",#N/A,TRUE,"GENERAL";"TAB3",#N/A,TRUE,"GENERAL";"TAB4",#N/A,TRUE,"GENERAL";"TAB5",#N/A,TRUE,"GENERAL"}</definedName>
    <definedName name="tdy" hidden="1">{"TAB1",#N/A,TRUE,"GENERAL";"TAB2",#N/A,TRUE,"GENERAL";"TAB3",#N/A,TRUE,"GENERAL";"TAB4",#N/A,TRUE,"GENERAL";"TAB5",#N/A,TRUE,"GENERAL"}</definedName>
    <definedName name="Te" localSheetId="1">#REF!</definedName>
    <definedName name="Te">#REF!</definedName>
    <definedName name="TECN" localSheetId="2">DATE(YEAR([0]!Loan_Start),MONTH([0]!Loan_Start)+Payment_Number,DAY([0]!Loan_Start))</definedName>
    <definedName name="TECN" localSheetId="3">DATE(YEAR([0]!Loan_Start),MONTH([0]!Loan_Start)+Payment_Number,DAY([0]!Loan_Start))</definedName>
    <definedName name="TECN" localSheetId="4">DATE(YEAR([0]!Loan_Start),MONTH([0]!Loan_Start)+Payment_Number,DAY([0]!Loan_Start))</definedName>
    <definedName name="TECN" localSheetId="5">DATE(YEAR([0]!Loan_Start),MONTH([0]!Loan_Start)+Payment_Number,DAY([0]!Loan_Start))</definedName>
    <definedName name="TECN" localSheetId="6">DATE(YEAR([0]!Loan_Start),MONTH([0]!Loan_Start)+Payment_Number,DAY([0]!Loan_Start))</definedName>
    <definedName name="TECN" localSheetId="7">DATE(YEAR([0]!Loan_Start),MONTH([0]!Loan_Start)+Payment_Number,DAY([0]!Loan_Start))</definedName>
    <definedName name="TECN" localSheetId="8">DATE(YEAR([0]!Loan_Start),MONTH([0]!Loan_Start)+Payment_Number,DAY([0]!Loan_Start))</definedName>
    <definedName name="TECN" localSheetId="9">DATE(YEAR([0]!Loan_Start),MONTH([0]!Loan_Start)+Payment_Number,DAY([0]!Loan_Start))</definedName>
    <definedName name="TECN" localSheetId="10">DATE(YEAR([0]!Loan_Start),MONTH([0]!Loan_Start)+Payment_Number,DAY([0]!Loan_Start))</definedName>
    <definedName name="TECN" localSheetId="11">DATE(YEAR([0]!Loan_Start),MONTH([0]!Loan_Start)+Payment_Number,DAY([0]!Loan_Start))</definedName>
    <definedName name="TECN" localSheetId="12">DATE(YEAR([0]!Loan_Start),MONTH([0]!Loan_Start)+Payment_Number,DAY([0]!Loan_Start))</definedName>
    <definedName name="TECN" localSheetId="13">DATE(YEAR([0]!Loan_Start),MONTH([0]!Loan_Start)+Payment_Number,DAY([0]!Loan_Start))</definedName>
    <definedName name="TECN" localSheetId="14">DATE(YEAR([0]!Loan_Start),MONTH([0]!Loan_Start)+Payment_Number,DAY([0]!Loan_Start))</definedName>
    <definedName name="TECN" localSheetId="15">DATE(YEAR([0]!Loan_Start),MONTH([0]!Loan_Start)+Payment_Number,DAY([0]!Loan_Start))</definedName>
    <definedName name="TECN" localSheetId="16">DATE(YEAR([0]!Loan_Start),MONTH([0]!Loan_Start)+Payment_Number,DAY([0]!Loan_Start))</definedName>
    <definedName name="TECN" localSheetId="17">DATE(YEAR([0]!Loan_Start),MONTH([0]!Loan_Start)+Payment_Number,DAY([0]!Loan_Start))</definedName>
    <definedName name="TECN" localSheetId="18">DATE(YEAR([0]!Loan_Start),MONTH([0]!Loan_Start)+Payment_Number,DAY([0]!Loan_Start))</definedName>
    <definedName name="TECN" localSheetId="19">DATE(YEAR([0]!Loan_Start),MONTH([0]!Loan_Start)+Payment_Number,DAY([0]!Loan_Start))</definedName>
    <definedName name="TECN" localSheetId="20">DATE(YEAR([0]!Loan_Start),MONTH([0]!Loan_Start)+Payment_Number,DAY([0]!Loan_Start))</definedName>
    <definedName name="TECN" localSheetId="21">DATE(YEAR([0]!Loan_Start),MONTH([0]!Loan_Start)+Payment_Number,DAY([0]!Loan_Start))</definedName>
    <definedName name="TECN" localSheetId="22">DATE(YEAR([0]!Loan_Start),MONTH([0]!Loan_Start)+Payment_Number,DAY([0]!Loan_Start))</definedName>
    <definedName name="TECN" localSheetId="23">DATE(YEAR([0]!Loan_Start),MONTH([0]!Loan_Start)+Payment_Number,DAY([0]!Loan_Start))</definedName>
    <definedName name="TECN" localSheetId="24">DATE(YEAR([0]!Loan_Start),MONTH([0]!Loan_Start)+Payment_Number,DAY([0]!Loan_Start))</definedName>
    <definedName name="TECN" localSheetId="25">DATE(YEAR([0]!Loan_Start),MONTH([0]!Loan_Start)+Payment_Number,DAY([0]!Loan_Start))</definedName>
    <definedName name="TECN" localSheetId="26">DATE(YEAR([0]!Loan_Start),MONTH([0]!Loan_Start)+Payment_Number,DAY([0]!Loan_Start))</definedName>
    <definedName name="TECN" localSheetId="27">DATE(YEAR([0]!Loan_Start),MONTH([0]!Loan_Start)+Payment_Number,DAY([0]!Loan_Start))</definedName>
    <definedName name="TECN" localSheetId="28">DATE(YEAR([0]!Loan_Start),MONTH([0]!Loan_Start)+Payment_Number,DAY([0]!Loan_Start))</definedName>
    <definedName name="TECN" localSheetId="29">DATE(YEAR([0]!Loan_Start),MONTH([0]!Loan_Start)+Payment_Number,DAY([0]!Loan_Start))</definedName>
    <definedName name="TECN" localSheetId="30">DATE(YEAR([0]!Loan_Start),MONTH([0]!Loan_Start)+Payment_Number,DAY([0]!Loan_Start))</definedName>
    <definedName name="TECN" localSheetId="31">DATE(YEAR([0]!Loan_Start),MONTH([0]!Loan_Start)+Payment_Number,DAY([0]!Loan_Start))</definedName>
    <definedName name="TECN" localSheetId="32">DATE(YEAR([0]!Loan_Start),MONTH([0]!Loan_Start)+Payment_Number,DAY([0]!Loan_Start))</definedName>
    <definedName name="TECN" localSheetId="33">DATE(YEAR([0]!Loan_Start),MONTH([0]!Loan_Start)+Payment_Number,DAY([0]!Loan_Start))</definedName>
    <definedName name="TECN" localSheetId="34">DATE(YEAR([0]!Loan_Start),MONTH([0]!Loan_Start)+Payment_Number,DAY([0]!Loan_Start))</definedName>
    <definedName name="TECN" localSheetId="35">DATE(YEAR([0]!Loan_Start),MONTH([0]!Loan_Start)+Payment_Number,DAY([0]!Loan_Start))</definedName>
    <definedName name="TECN" localSheetId="36">DATE(YEAR([0]!Loan_Start),MONTH([0]!Loan_Start)+Payment_Number,DAY([0]!Loan_Start))</definedName>
    <definedName name="TECN" localSheetId="37">DATE(YEAR([0]!Loan_Start),MONTH([0]!Loan_Start)+Payment_Number,DAY([0]!Loan_Start))</definedName>
    <definedName name="TECN" localSheetId="39">DATE(YEAR([0]!Loan_Start),MONTH([0]!Loan_Start)+Payment_Number,DAY([0]!Loan_Start))</definedName>
    <definedName name="TECN" localSheetId="40">DATE(YEAR([0]!Loan_Start),MONTH([0]!Loan_Start)+Payment_Number,DAY([0]!Loan_Start))</definedName>
    <definedName name="TECN" localSheetId="41">DATE(YEAR([0]!Loan_Start),MONTH([0]!Loan_Start)+Payment_Number,DAY([0]!Loan_Start))</definedName>
    <definedName name="TECN" localSheetId="42">DATE(YEAR([0]!Loan_Start),MONTH([0]!Loan_Start)+Payment_Number,DAY([0]!Loan_Start))</definedName>
    <definedName name="TECN" localSheetId="43">DATE(YEAR([0]!Loan_Start),MONTH([0]!Loan_Start)+Payment_Number,DAY([0]!Loan_Start))</definedName>
    <definedName name="TECN" localSheetId="44">DATE(YEAR([0]!Loan_Start),MONTH([0]!Loan_Start)+Payment_Number,DAY([0]!Loan_Start))</definedName>
    <definedName name="TECN" localSheetId="45">DATE(YEAR([0]!Loan_Start),MONTH([0]!Loan_Start)+Payment_Number,DAY([0]!Loan_Start))</definedName>
    <definedName name="TECN" localSheetId="46">DATE(YEAR([0]!Loan_Start),MONTH([0]!Loan_Start)+Payment_Number,DAY([0]!Loan_Start))</definedName>
    <definedName name="TECN" localSheetId="47">DATE(YEAR([0]!Loan_Start),MONTH([0]!Loan_Start)+Payment_Number,DAY([0]!Loan_Start))</definedName>
    <definedName name="TECN" localSheetId="48">DATE(YEAR([0]!Loan_Start),MONTH([0]!Loan_Start)+Payment_Number,DAY([0]!Loan_Start))</definedName>
    <definedName name="TECN" localSheetId="49">DATE(YEAR([0]!Loan_Start),MONTH([0]!Loan_Start)+Payment_Number,DAY([0]!Loan_Start))</definedName>
    <definedName name="TECN" localSheetId="50">DATE(YEAR([0]!Loan_Start),MONTH([0]!Loan_Start)+Payment_Number,DAY([0]!Loan_Start))</definedName>
    <definedName name="TECN" localSheetId="51">DATE(YEAR([0]!Loan_Start),MONTH([0]!Loan_Start)+Payment_Number,DAY([0]!Loan_Start))</definedName>
    <definedName name="TECN" localSheetId="52">DATE(YEAR([0]!Loan_Start),MONTH([0]!Loan_Start)+Payment_Number,DAY([0]!Loan_Start))</definedName>
    <definedName name="TECN" localSheetId="53">DATE(YEAR([0]!Loan_Start),MONTH([0]!Loan_Start)+Payment_Number,DAY([0]!Loan_Start))</definedName>
    <definedName name="TECN" localSheetId="54">DATE(YEAR([0]!Loan_Start),MONTH([0]!Loan_Start)+Payment_Number,DAY([0]!Loan_Start))</definedName>
    <definedName name="TECN" localSheetId="55">DATE(YEAR([0]!Loan_Start),MONTH([0]!Loan_Start)+Payment_Number,DAY([0]!Loan_Start))</definedName>
    <definedName name="TECN" localSheetId="56">DATE(YEAR([0]!Loan_Start),MONTH([0]!Loan_Start)+Payment_Number,DAY([0]!Loan_Start))</definedName>
    <definedName name="TECN" localSheetId="57">DATE(YEAR([0]!Loan_Start),MONTH([0]!Loan_Start)+Payment_Number,DAY([0]!Loan_Start))</definedName>
    <definedName name="TECN" localSheetId="58">DATE(YEAR([0]!Loan_Start),MONTH([0]!Loan_Start)+Payment_Number,DAY([0]!Loan_Start))</definedName>
    <definedName name="TECN" localSheetId="59">DATE(YEAR([0]!Loan_Start),MONTH([0]!Loan_Start)+Payment_Number,DAY([0]!Loan_Start))</definedName>
    <definedName name="TECN" localSheetId="60">DATE(YEAR([0]!Loan_Start),MONTH([0]!Loan_Start)+Payment_Number,DAY([0]!Loan_Start))</definedName>
    <definedName name="TECN" localSheetId="61">DATE(YEAR([0]!Loan_Start),MONTH([0]!Loan_Start)+Payment_Number,DAY([0]!Loan_Start))</definedName>
    <definedName name="TECN" localSheetId="62">DATE(YEAR([0]!Loan_Start),MONTH([0]!Loan_Start)+Payment_Number,DAY([0]!Loan_Start))</definedName>
    <definedName name="TECN" localSheetId="63">DATE(YEAR([0]!Loan_Start),MONTH([0]!Loan_Start)+Payment_Number,DAY([0]!Loan_Start))</definedName>
    <definedName name="TECN" localSheetId="64">DATE(YEAR([0]!Loan_Start),MONTH([0]!Loan_Start)+Payment_Number,DAY([0]!Loan_Start))</definedName>
    <definedName name="TECN" localSheetId="65">DATE(YEAR([0]!Loan_Start),MONTH([0]!Loan_Start)+Payment_Number,DAY([0]!Loan_Start))</definedName>
    <definedName name="TECN" localSheetId="66">DATE(YEAR([0]!Loan_Start),MONTH([0]!Loan_Start)+Payment_Number,DAY([0]!Loan_Start))</definedName>
    <definedName name="TECN" localSheetId="67">DATE(YEAR([0]!Loan_Start),MONTH([0]!Loan_Start)+Payment_Number,DAY([0]!Loan_Start))</definedName>
    <definedName name="TECN" localSheetId="68">DATE(YEAR([0]!Loan_Start),MONTH([0]!Loan_Start)+Payment_Number,DAY([0]!Loan_Start))</definedName>
    <definedName name="TECN" localSheetId="69">DATE(YEAR([0]!Loan_Start),MONTH([0]!Loan_Start)+Payment_Number,DAY([0]!Loan_Start))</definedName>
    <definedName name="TECN" localSheetId="70">DATE(YEAR([0]!Loan_Start),MONTH([0]!Loan_Start)+Payment_Number,DAY([0]!Loan_Start))</definedName>
    <definedName name="TECN" localSheetId="1">DATE(YEAR('AU + PGIO'!Loan_Start),MONTH('AU + PGIO'!Loan_Start)+Payment_Number,DAY('AU + PGIO'!Loan_Start))</definedName>
    <definedName name="TECN">DATE(YEAR(Loan_Start),MONTH(Loan_Start)+Payment_Number,DAY(Loan_Start))</definedName>
    <definedName name="TEE_2_____2____P.V.C" localSheetId="50">#REF!</definedName>
    <definedName name="TEE_2_____2____P.V.C" localSheetId="1">#REF!</definedName>
    <definedName name="TEE_2_____2____P.V.C">#REF!</definedName>
    <definedName name="TEE_3____3____2____P.V.C" localSheetId="50">#REF!</definedName>
    <definedName name="TEE_3____3____2____P.V.C" localSheetId="1">#REF!</definedName>
    <definedName name="TEE_3____3____2____P.V.C">#REF!</definedName>
    <definedName name="TEE_3____3____2____P.V.C_UM" localSheetId="50">#REF!</definedName>
    <definedName name="TEE_3____3____2____P.V.C_UM" localSheetId="1">#REF!</definedName>
    <definedName name="TEE_3____3____2____P.V.C_UM">#REF!</definedName>
    <definedName name="TEE_3____3____3____P.V.C" localSheetId="1">#REF!</definedName>
    <definedName name="TEE_3____3____3____P.V.C">#REF!</definedName>
    <definedName name="TEE_3__x_3__B_x_B" localSheetId="1">#REF!</definedName>
    <definedName name="TEE_3__x_3__B_x_B">#REF!</definedName>
    <definedName name="TEE_4____4____4____P.V.C_UM" localSheetId="1">#REF!</definedName>
    <definedName name="TEE_4____4____4____P.V.C_UM">#REF!</definedName>
    <definedName name="TEFLON" localSheetId="1">#REF!</definedName>
    <definedName name="TEFLON">#REF!</definedName>
    <definedName name="TEJA6" localSheetId="1">#REF!</definedName>
    <definedName name="TEJA6">#REF!</definedName>
    <definedName name="TELA" localSheetId="1">#REF!</definedName>
    <definedName name="TELA">#REF!</definedName>
    <definedName name="TETTETETTEE" localSheetId="50" hidden="1">{#N/A,#N/A,TRUE,"INGENIERIA";#N/A,#N/A,TRUE,"COMPRAS";#N/A,#N/A,TRUE,"DIRECCION";#N/A,#N/A,TRUE,"RESUMEN"}</definedName>
    <definedName name="TETTETETTEE" localSheetId="1" hidden="1">{#N/A,#N/A,TRUE,"INGENIERIA";#N/A,#N/A,TRUE,"COMPRAS";#N/A,#N/A,TRUE,"DIRECCION";#N/A,#N/A,TRUE,"RESUMEN"}</definedName>
    <definedName name="TETTETETTEE" hidden="1">{#N/A,#N/A,TRUE,"INGENIERIA";#N/A,#N/A,TRUE,"COMPRAS";#N/A,#N/A,TRUE,"DIRECCION";#N/A,#N/A,TRUE,"RESUMEN"}</definedName>
    <definedName name="tewst" localSheetId="50" hidden="1">{"TAB1",#N/A,TRUE,"GENERAL";"TAB2",#N/A,TRUE,"GENERAL";"TAB3",#N/A,TRUE,"GENERAL";"TAB4",#N/A,TRUE,"GENERAL";"TAB5",#N/A,TRUE,"GENERAL"}</definedName>
    <definedName name="tewst" localSheetId="1" hidden="1">{"TAB1",#N/A,TRUE,"GENERAL";"TAB2",#N/A,TRUE,"GENERAL";"TAB3",#N/A,TRUE,"GENERAL";"TAB4",#N/A,TRUE,"GENERAL";"TAB5",#N/A,TRUE,"GENERAL"}</definedName>
    <definedName name="tewst" localSheetId="73" hidden="1">{"TAB1",#N/A,TRUE,"GENERAL";"TAB2",#N/A,TRUE,"GENERAL";"TAB3",#N/A,TRUE,"GENERAL";"TAB4",#N/A,TRUE,"GENERAL";"TAB5",#N/A,TRUE,"GENERAL"}</definedName>
    <definedName name="tewst" hidden="1">{"TAB1",#N/A,TRUE,"GENERAL";"TAB2",#N/A,TRUE,"GENERAL";"TAB3",#N/A,TRUE,"GENERAL";"TAB4",#N/A,TRUE,"GENERAL";"TAB5",#N/A,TRUE,"GENERAL"}</definedName>
    <definedName name="teytrh" localSheetId="50" hidden="1">{"via1",#N/A,TRUE,"general";"via2",#N/A,TRUE,"general";"via3",#N/A,TRUE,"general"}</definedName>
    <definedName name="teytrh" localSheetId="1" hidden="1">{"via1",#N/A,TRUE,"general";"via2",#N/A,TRUE,"general";"via3",#N/A,TRUE,"general"}</definedName>
    <definedName name="teytrh" localSheetId="73" hidden="1">{"via1",#N/A,TRUE,"general";"via2",#N/A,TRUE,"general";"via3",#N/A,TRUE,"general"}</definedName>
    <definedName name="teytrh" hidden="1">{"via1",#N/A,TRUE,"general";"via2",#N/A,TRUE,"general";"via3",#N/A,TRUE,"general"}</definedName>
    <definedName name="Tf" localSheetId="1">#REF!</definedName>
    <definedName name="Tf">#REF!</definedName>
    <definedName name="Tg" localSheetId="1">#REF!</definedName>
    <definedName name="Tg">#REF!</definedName>
    <definedName name="Th" localSheetId="1">#REF!</definedName>
    <definedName name="Th">#REF!</definedName>
    <definedName name="thdh" localSheetId="50" hidden="1">{"TAB1",#N/A,TRUE,"GENERAL";"TAB2",#N/A,TRUE,"GENERAL";"TAB3",#N/A,TRUE,"GENERAL";"TAB4",#N/A,TRUE,"GENERAL";"TAB5",#N/A,TRUE,"GENERAL"}</definedName>
    <definedName name="thdh" localSheetId="1" hidden="1">{"TAB1",#N/A,TRUE,"GENERAL";"TAB2",#N/A,TRUE,"GENERAL";"TAB3",#N/A,TRUE,"GENERAL";"TAB4",#N/A,TRUE,"GENERAL";"TAB5",#N/A,TRUE,"GENERAL"}</definedName>
    <definedName name="thdh" localSheetId="73" hidden="1">{"TAB1",#N/A,TRUE,"GENERAL";"TAB2",#N/A,TRUE,"GENERAL";"TAB3",#N/A,TRUE,"GENERAL";"TAB4",#N/A,TRUE,"GENERAL";"TAB5",#N/A,TRUE,"GENERAL"}</definedName>
    <definedName name="thdh" hidden="1">{"TAB1",#N/A,TRUE,"GENERAL";"TAB2",#N/A,TRUE,"GENERAL";"TAB3",#N/A,TRUE,"GENERAL";"TAB4",#N/A,TRUE,"GENERAL";"TAB5",#N/A,TRUE,"GENERAL"}</definedName>
    <definedName name="thtj" localSheetId="50" hidden="1">{"via1",#N/A,TRUE,"general";"via2",#N/A,TRUE,"general";"via3",#N/A,TRUE,"general"}</definedName>
    <definedName name="thtj" localSheetId="1" hidden="1">{"via1",#N/A,TRUE,"general";"via2",#N/A,TRUE,"general";"via3",#N/A,TRUE,"general"}</definedName>
    <definedName name="thtj" localSheetId="73" hidden="1">{"via1",#N/A,TRUE,"general";"via2",#N/A,TRUE,"general";"via3",#N/A,TRUE,"general"}</definedName>
    <definedName name="thtj" hidden="1">{"via1",#N/A,TRUE,"general";"via2",#N/A,TRUE,"general";"via3",#N/A,TRUE,"general"}</definedName>
    <definedName name="Ti" localSheetId="1">#REF!</definedName>
    <definedName name="Ti">#REF!</definedName>
    <definedName name="tipov" localSheetId="1">#REF!</definedName>
    <definedName name="tipov">#REF!</definedName>
    <definedName name="TIT" localSheetId="1">#REF!</definedName>
    <definedName name="TIT">#REF!</definedName>
    <definedName name="titi" localSheetId="50">IF(Loan_Amount*Interest_Rate*Loan_Years*Loan_Start&gt;0,1,0)</definedName>
    <definedName name="titi" localSheetId="1">IF('AU + PGIO'!Loan_Amount*'AU + PGIO'!Interest_Rate*'AU + PGIO'!Loan_Years*'AU + PGIO'!Loan_Start&gt;0,1,0)</definedName>
    <definedName name="titi">IF(Loan_Amount*Interest_Rate*Loan_Years*Loan_Start&gt;0,1,0)</definedName>
    <definedName name="Titlepb" localSheetId="50" hidden="1">#REF!</definedName>
    <definedName name="Titlepb" localSheetId="1" hidden="1">#REF!</definedName>
    <definedName name="Titlepb" hidden="1">#REF!</definedName>
    <definedName name="TITO">#N/A</definedName>
    <definedName name="TITOF">#N/A</definedName>
    <definedName name="TITULO" localSheetId="50">#REF!</definedName>
    <definedName name="TITULO" localSheetId="1">#REF!</definedName>
    <definedName name="TITULO">#REF!</definedName>
    <definedName name="_xlnm.Print_Titles" localSheetId="1">'AU + PGIO'!$7:$10</definedName>
    <definedName name="_xlnm.Print_Titles" localSheetId="71">CUADRILLAS!$1:$4</definedName>
    <definedName name="_xlnm.Print_Titles" localSheetId="73">EQUIPOS!$4:$5</definedName>
    <definedName name="_xlnm.Print_Titles">#N/A</definedName>
    <definedName name="Tj" localSheetId="50">#REF!</definedName>
    <definedName name="Tj" localSheetId="1">#REF!</definedName>
    <definedName name="Tj">#REF!</definedName>
    <definedName name="Tk" localSheetId="50">#REF!</definedName>
    <definedName name="Tk" localSheetId="1">#REF!</definedName>
    <definedName name="Tk">#REF!</definedName>
    <definedName name="tl" localSheetId="50">#REF!</definedName>
    <definedName name="tl" localSheetId="1">#REF!</definedName>
    <definedName name="tl">#REF!</definedName>
    <definedName name="Tll" localSheetId="50">#REF!</definedName>
    <definedName name="Tll" localSheetId="1">#REF!</definedName>
    <definedName name="Tll">#REF!</definedName>
    <definedName name="Tm" localSheetId="1">#REF!</definedName>
    <definedName name="Tm">#REF!</definedName>
    <definedName name="Tn" localSheetId="1">#REF!</definedName>
    <definedName name="Tn">#REF!</definedName>
    <definedName name="Tñ" localSheetId="1">#REF!</definedName>
    <definedName name="Tñ">#REF!</definedName>
    <definedName name="To" localSheetId="1">#REF!</definedName>
    <definedName name="To">#REF!</definedName>
    <definedName name="Toma_correinte_cf6" localSheetId="1">#REF!</definedName>
    <definedName name="Toma_correinte_cf6">#REF!</definedName>
    <definedName name="TOPO" localSheetId="1">#REF!</definedName>
    <definedName name="TOPO">#REF!</definedName>
    <definedName name="topografo" localSheetId="1">#REF!</definedName>
    <definedName name="topografo">#REF!</definedName>
    <definedName name="TORNILLO_3" localSheetId="1">#REF!</definedName>
    <definedName name="TORNILLO_3">#REF!</definedName>
    <definedName name="TORNILLOS_2.5" localSheetId="1">#REF!</definedName>
    <definedName name="TORNILLOS_2.5">#REF!</definedName>
    <definedName name="tortas" localSheetId="50"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73" hidden="1">{"TAB1",#N/A,TRUE,"GENERAL";"TAB2",#N/A,TRUE,"GENERAL";"TAB3",#N/A,TRUE,"GENERAL";"TAB4",#N/A,TRUE,"GENERAL";"TAB5",#N/A,TRUE,"GENERAL"}</definedName>
    <definedName name="tortas" hidden="1">{"TAB1",#N/A,TRUE,"GENERAL";"TAB2",#N/A,TRUE,"GENERAL";"TAB3",#N/A,TRUE,"GENERAL";"TAB4",#N/A,TRUE,"GENERAL";"TAB5",#N/A,TRUE,"GENERAL"}</definedName>
    <definedName name="tortas2" localSheetId="50" hidden="1">{"via1",#N/A,TRUE,"general";"via2",#N/A,TRUE,"general";"via3",#N/A,TRUE,"general"}</definedName>
    <definedName name="tortas2" localSheetId="1" hidden="1">{"via1",#N/A,TRUE,"general";"via2",#N/A,TRUE,"general";"via3",#N/A,TRUE,"general"}</definedName>
    <definedName name="tortas2" localSheetId="73" hidden="1">{"via1",#N/A,TRUE,"general";"via2",#N/A,TRUE,"general";"via3",#N/A,TRUE,"general"}</definedName>
    <definedName name="tortas2" hidden="1">{"via1",#N/A,TRUE,"general";"via2",#N/A,TRUE,"general";"via3",#N/A,TRUE,"general"}</definedName>
    <definedName name="Total_Interest" localSheetId="50">#REF!</definedName>
    <definedName name="Total_Interest" localSheetId="1">#REF!</definedName>
    <definedName name="Total_Interest">#REF!</definedName>
    <definedName name="Total_Pay" localSheetId="50">#REF!</definedName>
    <definedName name="Total_Pay" localSheetId="1">#REF!</definedName>
    <definedName name="Total_Pay">#REF!</definedName>
    <definedName name="Total_Payment" localSheetId="2">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9">Scheduled_Payment+Extra_Payment</definedName>
    <definedName name="Total_Payment" localSheetId="20">Scheduled_Payment+Extra_Payment</definedName>
    <definedName name="Total_Payment" localSheetId="21">Scheduled_Payment+Extra_Payment</definedName>
    <definedName name="Total_Payment" localSheetId="22">Scheduled_Payment+Extra_Payment</definedName>
    <definedName name="Total_Payment" localSheetId="23">Scheduled_Payment+Extra_Payment</definedName>
    <definedName name="Total_Payment" localSheetId="24">Scheduled_Payment+Extra_Payment</definedName>
    <definedName name="Total_Payment" localSheetId="25">Scheduled_Payment+Extra_Payment</definedName>
    <definedName name="Total_Payment" localSheetId="26">Scheduled_Payment+Extra_Payment</definedName>
    <definedName name="Total_Payment" localSheetId="27">Scheduled_Payment+Extra_Payment</definedName>
    <definedName name="Total_Payment" localSheetId="28">Scheduled_Payment+Extra_Payment</definedName>
    <definedName name="Total_Payment" localSheetId="29">Scheduled_Payment+Extra_Payment</definedName>
    <definedName name="Total_Payment" localSheetId="30">Scheduled_Payment+Extra_Payment</definedName>
    <definedName name="Total_Payment" localSheetId="31">Scheduled_Payment+Extra_Payment</definedName>
    <definedName name="Total_Payment" localSheetId="32">Scheduled_Payment+Extra_Payment</definedName>
    <definedName name="Total_Payment" localSheetId="33">Scheduled_Payment+Extra_Payment</definedName>
    <definedName name="Total_Payment" localSheetId="34">Scheduled_Payment+Extra_Payment</definedName>
    <definedName name="Total_Payment" localSheetId="35">Scheduled_Payment+Extra_Payment</definedName>
    <definedName name="Total_Payment" localSheetId="36">Scheduled_Payment+Extra_Payment</definedName>
    <definedName name="Total_Payment" localSheetId="37">Scheduled_Payment+Extra_Payment</definedName>
    <definedName name="Total_Payment" localSheetId="39">Scheduled_Payment+Extra_Payment</definedName>
    <definedName name="Total_Payment" localSheetId="40">Scheduled_Payment+Extra_Payment</definedName>
    <definedName name="Total_Payment" localSheetId="41">Scheduled_Payment+Extra_Payment</definedName>
    <definedName name="Total_Payment" localSheetId="42">Scheduled_Payment+Extra_Payment</definedName>
    <definedName name="Total_Payment" localSheetId="43">Scheduled_Payment+Extra_Payment</definedName>
    <definedName name="Total_Payment" localSheetId="44">Scheduled_Payment+Extra_Payment</definedName>
    <definedName name="Total_Payment" localSheetId="45">Scheduled_Payment+Extra_Payment</definedName>
    <definedName name="Total_Payment" localSheetId="46">Scheduled_Payment+Extra_Payment</definedName>
    <definedName name="Total_Payment" localSheetId="47">Scheduled_Payment+Extra_Payment</definedName>
    <definedName name="Total_Payment" localSheetId="48">Scheduled_Payment+Extra_Payment</definedName>
    <definedName name="Total_Payment" localSheetId="49">Scheduled_Payment+Extra_Payment</definedName>
    <definedName name="Total_Payment" localSheetId="50">Scheduled_Payment+Extra_Payment</definedName>
    <definedName name="Total_Payment" localSheetId="51">Scheduled_Payment+Extra_Payment</definedName>
    <definedName name="Total_Payment" localSheetId="52">Scheduled_Payment+Extra_Payment</definedName>
    <definedName name="Total_Payment" localSheetId="53">Scheduled_Payment+Extra_Payment</definedName>
    <definedName name="Total_Payment" localSheetId="54">Scheduled_Payment+Extra_Payment</definedName>
    <definedName name="Total_Payment" localSheetId="55">Scheduled_Payment+Extra_Payment</definedName>
    <definedName name="Total_Payment" localSheetId="56">Scheduled_Payment+Extra_Payment</definedName>
    <definedName name="Total_Payment" localSheetId="57">Scheduled_Payment+Extra_Payment</definedName>
    <definedName name="Total_Payment" localSheetId="58">Scheduled_Payment+Extra_Payment</definedName>
    <definedName name="Total_Payment" localSheetId="59">Scheduled_Payment+Extra_Payment</definedName>
    <definedName name="Total_Payment" localSheetId="60">Scheduled_Payment+Extra_Payment</definedName>
    <definedName name="Total_Payment" localSheetId="61">Scheduled_Payment+Extra_Payment</definedName>
    <definedName name="Total_Payment" localSheetId="62">Scheduled_Payment+Extra_Payment</definedName>
    <definedName name="Total_Payment" localSheetId="63">Scheduled_Payment+Extra_Payment</definedName>
    <definedName name="Total_Payment" localSheetId="64">Scheduled_Payment+Extra_Payment</definedName>
    <definedName name="Total_Payment" localSheetId="65">Scheduled_Payment+Extra_Payment</definedName>
    <definedName name="Total_Payment" localSheetId="66">Scheduled_Payment+Extra_Payment</definedName>
    <definedName name="Total_Payment" localSheetId="67">Scheduled_Payment+Extra_Payment</definedName>
    <definedName name="Total_Payment" localSheetId="68">Scheduled_Payment+Extra_Payment</definedName>
    <definedName name="Total_Payment" localSheetId="69">Scheduled_Payment+Extra_Payment</definedName>
    <definedName name="Total_Payment" localSheetId="70">Scheduled_Payment+Extra_Payment</definedName>
    <definedName name="Total_Payment" localSheetId="1">Scheduled_Payment+Extra_Payment</definedName>
    <definedName name="Total_Payment">Scheduled_Payment+Extra_Payment</definedName>
    <definedName name="TOTALAFIR4006" localSheetId="50">#REF!</definedName>
    <definedName name="TOTALAFIR4006" localSheetId="1">#REF!</definedName>
    <definedName name="TOTALAFIR4006">#REF!</definedName>
    <definedName name="TOTALAFIR4006A" localSheetId="50">#REF!</definedName>
    <definedName name="TOTALAFIR4006A" localSheetId="1">#REF!</definedName>
    <definedName name="TOTALAFIR4006A">#REF!</definedName>
    <definedName name="TOTALAFIR40CN01" localSheetId="50">#REF!</definedName>
    <definedName name="TOTALAFIR40CN01" localSheetId="1">#REF!</definedName>
    <definedName name="TOTALAFIR40CN01">#REF!</definedName>
    <definedName name="TOTALAFIR55CN01" localSheetId="1">#REF!</definedName>
    <definedName name="TOTALAFIR55CN01">#REF!</definedName>
    <definedName name="TOTALAFIR55CN03" localSheetId="1">#REF!</definedName>
    <definedName name="TOTALAFIR55CN03">#REF!</definedName>
    <definedName name="TOTALAFIR5607" localSheetId="1">#REF!</definedName>
    <definedName name="TOTALAFIR5607">#REF!</definedName>
    <definedName name="TOTALPAV4006" localSheetId="50">#REF!</definedName>
    <definedName name="TOTALPAV4006" localSheetId="1">#REF!</definedName>
    <definedName name="TOTALPAV4006">#REF!</definedName>
    <definedName name="TOTALPAV4006A" localSheetId="50">#REF!</definedName>
    <definedName name="TOTALPAV4006A" localSheetId="1">#REF!</definedName>
    <definedName name="TOTALPAV4006A">#REF!</definedName>
    <definedName name="TOTALPAV40CN01" localSheetId="50">#REF!</definedName>
    <definedName name="TOTALPAV40CN01" localSheetId="1">#REF!</definedName>
    <definedName name="TOTALPAV40CN01">#REF!</definedName>
    <definedName name="TOTALPAV40CNA" localSheetId="1">#REF!</definedName>
    <definedName name="TOTALPAV40CNA">#REF!</definedName>
    <definedName name="TOTALPAV40CNB" localSheetId="1">#REF!</definedName>
    <definedName name="TOTALPAV40CNB">#REF!</definedName>
    <definedName name="TOTALPAV55CN01" localSheetId="1">#REF!</definedName>
    <definedName name="TOTALPAV55CN01">#REF!</definedName>
    <definedName name="TOTALPAV55CN03" localSheetId="1">#REF!</definedName>
    <definedName name="TOTALPAV55CN03">#REF!</definedName>
    <definedName name="TOTALPAV55CNO3" localSheetId="1">#REF!</definedName>
    <definedName name="TOTALPAV55CNO3">#REF!</definedName>
    <definedName name="TOTALPAV5607" localSheetId="1">#REF!</definedName>
    <definedName name="TOTALPAV5607">#REF!</definedName>
    <definedName name="Tp" localSheetId="1">#REF!</definedName>
    <definedName name="Tp">#REF!</definedName>
    <definedName name="Tq" localSheetId="1">#REF!</definedName>
    <definedName name="Tq">#REF!</definedName>
    <definedName name="Tr" localSheetId="1">#REF!</definedName>
    <definedName name="tr" localSheetId="71" hidden="1">{"TAB1",#N/A,TRUE,"GENERAL";"TAB2",#N/A,TRUE,"GENERAL";"TAB3",#N/A,TRUE,"GENERAL";"TAB4",#N/A,TRUE,"GENERAL";"TAB5",#N/A,TRUE,"GENERAL"}</definedName>
    <definedName name="tr" localSheetId="73" hidden="1">{"TAB1",#N/A,TRUE,"GENERAL";"TAB2",#N/A,TRUE,"GENERAL";"TAB3",#N/A,TRUE,"GENERAL";"TAB4",#N/A,TRUE,"GENERAL";"TAB5",#N/A,TRUE,"GENERAL"}</definedName>
    <definedName name="Tr">#REF!</definedName>
    <definedName name="TRAMPAGRASA" localSheetId="1">#REF!</definedName>
    <definedName name="TRAMPAGRASA">#REF!</definedName>
    <definedName name="Transformador_375" localSheetId="1">#REF!</definedName>
    <definedName name="Transformador_375">#REF!</definedName>
    <definedName name="TRANSPORI" localSheetId="50" hidden="1">{#N/A,#N/A,TRUE,"INGENIERIA";#N/A,#N/A,TRUE,"COMPRAS";#N/A,#N/A,TRUE,"DIRECCION";#N/A,#N/A,TRUE,"RESUMEN"}</definedName>
    <definedName name="TRANSPORI" localSheetId="1" hidden="1">{#N/A,#N/A,TRUE,"INGENIERIA";#N/A,#N/A,TRUE,"COMPRAS";#N/A,#N/A,TRUE,"DIRECCION";#N/A,#N/A,TRUE,"RESUMEN"}</definedName>
    <definedName name="TRANSPORI" localSheetId="73" hidden="1">{#N/A,#N/A,TRUE,"INGENIERIA";#N/A,#N/A,TRUE,"COMPRAS";#N/A,#N/A,TRUE,"DIRECCION";#N/A,#N/A,TRUE,"RESUMEN"}</definedName>
    <definedName name="TRANSPORI" hidden="1">{#N/A,#N/A,TRUE,"INGENIERIA";#N/A,#N/A,TRUE,"COMPRAS";#N/A,#N/A,TRUE,"DIRECCION";#N/A,#N/A,TRUE,"RESUMEN"}</definedName>
    <definedName name="TRANSPORTE" localSheetId="50" hidden="1">{#N/A,#N/A,TRUE,"INGENIERIA";#N/A,#N/A,TRUE,"COMPRAS";#N/A,#N/A,TRUE,"DIRECCION";#N/A,#N/A,TRUE,"RESUMEN"}</definedName>
    <definedName name="TRANSPORTE" localSheetId="1" hidden="1">{#N/A,#N/A,TRUE,"INGENIERIA";#N/A,#N/A,TRUE,"COMPRAS";#N/A,#N/A,TRUE,"DIRECCION";#N/A,#N/A,TRUE,"RESUMEN"}</definedName>
    <definedName name="TRANSPORTE" localSheetId="73" hidden="1">{#N/A,#N/A,TRUE,"INGENIERIA";#N/A,#N/A,TRUE,"COMPRAS";#N/A,#N/A,TRUE,"DIRECCION";#N/A,#N/A,TRUE,"RESUMEN"}</definedName>
    <definedName name="TRANSPORTE" hidden="1">{#N/A,#N/A,TRUE,"INGENIERIA";#N/A,#N/A,TRUE,"COMPRAS";#N/A,#N/A,TRUE,"DIRECCION";#N/A,#N/A,TRUE,"RESUMEN"}</definedName>
    <definedName name="TRANSPORTES">#N/A</definedName>
    <definedName name="trest" localSheetId="50" hidden="1">{"TAB1",#N/A,TRUE,"GENERAL";"TAB2",#N/A,TRUE,"GENERAL";"TAB3",#N/A,TRUE,"GENERAL";"TAB4",#N/A,TRUE,"GENERAL";"TAB5",#N/A,TRUE,"GENERAL"}</definedName>
    <definedName name="trest" localSheetId="1" hidden="1">{"TAB1",#N/A,TRUE,"GENERAL";"TAB2",#N/A,TRUE,"GENERAL";"TAB3",#N/A,TRUE,"GENERAL";"TAB4",#N/A,TRUE,"GENERAL";"TAB5",#N/A,TRUE,"GENERAL"}</definedName>
    <definedName name="trest" localSheetId="73" hidden="1">{"TAB1",#N/A,TRUE,"GENERAL";"TAB2",#N/A,TRUE,"GENERAL";"TAB3",#N/A,TRUE,"GENERAL";"TAB4",#N/A,TRUE,"GENERAL";"TAB5",#N/A,TRUE,"GENERAL"}</definedName>
    <definedName name="trest" hidden="1">{"TAB1",#N/A,TRUE,"GENERAL";"TAB2",#N/A,TRUE,"GENERAL";"TAB3",#N/A,TRUE,"GENERAL";"TAB4",#N/A,TRUE,"GENERAL";"TAB5",#N/A,TRUE,"GENERAL"}</definedName>
    <definedName name="tret" localSheetId="50" hidden="1">{"TAB1",#N/A,TRUE,"GENERAL";"TAB2",#N/A,TRUE,"GENERAL";"TAB3",#N/A,TRUE,"GENERAL";"TAB4",#N/A,TRUE,"GENERAL";"TAB5",#N/A,TRUE,"GENERAL"}</definedName>
    <definedName name="tret" localSheetId="1" hidden="1">{"TAB1",#N/A,TRUE,"GENERAL";"TAB2",#N/A,TRUE,"GENERAL";"TAB3",#N/A,TRUE,"GENERAL";"TAB4",#N/A,TRUE,"GENERAL";"TAB5",#N/A,TRUE,"GENERAL"}</definedName>
    <definedName name="tret" localSheetId="73" hidden="1">{"TAB1",#N/A,TRUE,"GENERAL";"TAB2",#N/A,TRUE,"GENERAL";"TAB3",#N/A,TRUE,"GENERAL";"TAB4",#N/A,TRUE,"GENERAL";"TAB5",#N/A,TRUE,"GENERAL"}</definedName>
    <definedName name="tret" hidden="1">{"TAB1",#N/A,TRUE,"GENERAL";"TAB2",#N/A,TRUE,"GENERAL";"TAB3",#N/A,TRUE,"GENERAL";"TAB4",#N/A,TRUE,"GENERAL";"TAB5",#N/A,TRUE,"GENERAL"}</definedName>
    <definedName name="TREY" localSheetId="50" hidden="1">{#N/A,#N/A,TRUE,"INGENIERIA";#N/A,#N/A,TRUE,"COMPRAS";#N/A,#N/A,TRUE,"DIRECCION";#N/A,#N/A,TRUE,"RESUMEN"}</definedName>
    <definedName name="TREY" localSheetId="1" hidden="1">{#N/A,#N/A,TRUE,"INGENIERIA";#N/A,#N/A,TRUE,"COMPRAS";#N/A,#N/A,TRUE,"DIRECCION";#N/A,#N/A,TRUE,"RESUMEN"}</definedName>
    <definedName name="TREY" hidden="1">{#N/A,#N/A,TRUE,"INGENIERIA";#N/A,#N/A,TRUE,"COMPRAS";#N/A,#N/A,TRUE,"DIRECCION";#N/A,#N/A,TRUE,"RESUMEN"}</definedName>
    <definedName name="trh" localSheetId="50" hidden="1">{"via1",#N/A,TRUE,"general";"via2",#N/A,TRUE,"general";"via3",#N/A,TRUE,"general"}</definedName>
    <definedName name="trh" localSheetId="1" hidden="1">{"via1",#N/A,TRUE,"general";"via2",#N/A,TRUE,"general";"via3",#N/A,TRUE,"general"}</definedName>
    <definedName name="trh" localSheetId="73" hidden="1">{"via1",#N/A,TRUE,"general";"via2",#N/A,TRUE,"general";"via3",#N/A,TRUE,"general"}</definedName>
    <definedName name="trh" hidden="1">{"via1",#N/A,TRUE,"general";"via2",#N/A,TRUE,"general";"via3",#N/A,TRUE,"general"}</definedName>
    <definedName name="trhfh" localSheetId="50" hidden="1">{"via1",#N/A,TRUE,"general";"via2",#N/A,TRUE,"general";"via3",#N/A,TRUE,"general"}</definedName>
    <definedName name="trhfh" localSheetId="1" hidden="1">{"via1",#N/A,TRUE,"general";"via2",#N/A,TRUE,"general";"via3",#N/A,TRUE,"general"}</definedName>
    <definedName name="trhfh" localSheetId="73" hidden="1">{"via1",#N/A,TRUE,"general";"via2",#N/A,TRUE,"general";"via3",#N/A,TRUE,"general"}</definedName>
    <definedName name="trhfh" hidden="1">{"via1",#N/A,TRUE,"general";"via2",#N/A,TRUE,"general";"via3",#N/A,TRUE,"general"}</definedName>
    <definedName name="TRIPLEX" localSheetId="1">#REF!</definedName>
    <definedName name="TRIPLEX">#REF!</definedName>
    <definedName name="TRIT" localSheetId="1">#REF!</definedName>
    <definedName name="TRIT">#REF!</definedName>
    <definedName name="TRITURADO" localSheetId="1">#REF!</definedName>
    <definedName name="TRITURADO">#REF!</definedName>
    <definedName name="trjfgjh" localSheetId="50" hidden="1">{"via1",#N/A,TRUE,"general";"via2",#N/A,TRUE,"general";"via3",#N/A,TRUE,"general"}</definedName>
    <definedName name="trjfgjh" localSheetId="1" hidden="1">{"via1",#N/A,TRUE,"general";"via2",#N/A,TRUE,"general";"via3",#N/A,TRUE,"general"}</definedName>
    <definedName name="trjfgjh" localSheetId="73" hidden="1">{"via1",#N/A,TRUE,"general";"via2",#N/A,TRUE,"general";"via3",#N/A,TRUE,"general"}</definedName>
    <definedName name="trjfgjh" hidden="1">{"via1",#N/A,TRUE,"general";"via2",#N/A,TRUE,"general";"via3",#N/A,TRUE,"general"}</definedName>
    <definedName name="tru" localSheetId="50" hidden="1">{"via1",#N/A,TRUE,"general";"via2",#N/A,TRUE,"general";"via3",#N/A,TRUE,"general"}</definedName>
    <definedName name="tru" localSheetId="1" hidden="1">{"via1",#N/A,TRUE,"general";"via2",#N/A,TRUE,"general";"via3",#N/A,TRUE,"general"}</definedName>
    <definedName name="tru" localSheetId="73" hidden="1">{"via1",#N/A,TRUE,"general";"via2",#N/A,TRUE,"general";"via3",#N/A,TRUE,"general"}</definedName>
    <definedName name="tru" hidden="1">{"via1",#N/A,TRUE,"general";"via2",#N/A,TRUE,"general";"via3",#N/A,TRUE,"general"}</definedName>
    <definedName name="truds" localSheetId="50" hidden="1">{"via1",#N/A,TRUE,"general";"via2",#N/A,TRUE,"general";"via3",#N/A,TRUE,"general"}</definedName>
    <definedName name="truds" localSheetId="1" hidden="1">{"via1",#N/A,TRUE,"general";"via2",#N/A,TRUE,"general";"via3",#N/A,TRUE,"general"}</definedName>
    <definedName name="truds" localSheetId="73" hidden="1">{"via1",#N/A,TRUE,"general";"via2",#N/A,TRUE,"general";"via3",#N/A,TRUE,"general"}</definedName>
    <definedName name="truds" hidden="1">{"via1",#N/A,TRUE,"general";"via2",#N/A,TRUE,"general";"via3",#N/A,TRUE,"general"}</definedName>
    <definedName name="trutu" localSheetId="50" hidden="1">{"via1",#N/A,TRUE,"general";"via2",#N/A,TRUE,"general";"via3",#N/A,TRUE,"general"}</definedName>
    <definedName name="trutu" localSheetId="1" hidden="1">{"via1",#N/A,TRUE,"general";"via2",#N/A,TRUE,"general";"via3",#N/A,TRUE,"general"}</definedName>
    <definedName name="trutu" localSheetId="73" hidden="1">{"via1",#N/A,TRUE,"general";"via2",#N/A,TRUE,"general";"via3",#N/A,TRUE,"general"}</definedName>
    <definedName name="trutu" hidden="1">{"via1",#N/A,TRUE,"general";"via2",#N/A,TRUE,"general";"via3",#N/A,TRUE,"general"}</definedName>
    <definedName name="trydfg" localSheetId="50" hidden="1">{"via1",#N/A,TRUE,"general";"via2",#N/A,TRUE,"general";"via3",#N/A,TRUE,"general"}</definedName>
    <definedName name="trydfg" localSheetId="1" hidden="1">{"via1",#N/A,TRUE,"general";"via2",#N/A,TRUE,"general";"via3",#N/A,TRUE,"general"}</definedName>
    <definedName name="trydfg" localSheetId="73" hidden="1">{"via1",#N/A,TRUE,"general";"via2",#N/A,TRUE,"general";"via3",#N/A,TRUE,"general"}</definedName>
    <definedName name="trydfg" hidden="1">{"via1",#N/A,TRUE,"general";"via2",#N/A,TRUE,"general";"via3",#N/A,TRUE,"general"}</definedName>
    <definedName name="trydtrygf" localSheetId="50" hidden="1">{"via1",#N/A,TRUE,"general";"via2",#N/A,TRUE,"general";"via3",#N/A,TRUE,"general"}</definedName>
    <definedName name="trydtrygf" localSheetId="1" hidden="1">{"via1",#N/A,TRUE,"general";"via2",#N/A,TRUE,"general";"via3",#N/A,TRUE,"general"}</definedName>
    <definedName name="trydtrygf" localSheetId="73" hidden="1">{"via1",#N/A,TRUE,"general";"via2",#N/A,TRUE,"general";"via3",#N/A,TRUE,"general"}</definedName>
    <definedName name="trydtrygf" hidden="1">{"via1",#N/A,TRUE,"general";"via2",#N/A,TRUE,"general";"via3",#N/A,TRUE,"general"}</definedName>
    <definedName name="tryery" localSheetId="50"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73" hidden="1">{"TAB1",#N/A,TRUE,"GENERAL";"TAB2",#N/A,TRUE,"GENERAL";"TAB3",#N/A,TRUE,"GENERAL";"TAB4",#N/A,TRUE,"GENERAL";"TAB5",#N/A,TRUE,"GENERAL"}</definedName>
    <definedName name="tryery" hidden="1">{"TAB1",#N/A,TRUE,"GENERAL";"TAB2",#N/A,TRUE,"GENERAL";"TAB3",#N/A,TRUE,"GENERAL";"TAB4",#N/A,TRUE,"GENERAL";"TAB5",#N/A,TRUE,"GENERAL"}</definedName>
    <definedName name="tryi6" localSheetId="50" hidden="1">{"TAB1",#N/A,TRUE,"GENERAL";"TAB2",#N/A,TRUE,"GENERAL";"TAB3",#N/A,TRUE,"GENERAL";"TAB4",#N/A,TRUE,"GENERAL";"TAB5",#N/A,TRUE,"GENERAL"}</definedName>
    <definedName name="tryi6" localSheetId="1" hidden="1">{"TAB1",#N/A,TRUE,"GENERAL";"TAB2",#N/A,TRUE,"GENERAL";"TAB3",#N/A,TRUE,"GENERAL";"TAB4",#N/A,TRUE,"GENERAL";"TAB5",#N/A,TRUE,"GENERAL"}</definedName>
    <definedName name="tryi6" localSheetId="73" hidden="1">{"TAB1",#N/A,TRUE,"GENERAL";"TAB2",#N/A,TRUE,"GENERAL";"TAB3",#N/A,TRUE,"GENERAL";"TAB4",#N/A,TRUE,"GENERAL";"TAB5",#N/A,TRUE,"GENERAL"}</definedName>
    <definedName name="tryi6" hidden="1">{"TAB1",#N/A,TRUE,"GENERAL";"TAB2",#N/A,TRUE,"GENERAL";"TAB3",#N/A,TRUE,"GENERAL";"TAB4",#N/A,TRUE,"GENERAL";"TAB5",#N/A,TRUE,"GENERAL"}</definedName>
    <definedName name="tryrth" localSheetId="50" hidden="1">{"via1",#N/A,TRUE,"general";"via2",#N/A,TRUE,"general";"via3",#N/A,TRUE,"general"}</definedName>
    <definedName name="tryrth" localSheetId="1" hidden="1">{"via1",#N/A,TRUE,"general";"via2",#N/A,TRUE,"general";"via3",#N/A,TRUE,"general"}</definedName>
    <definedName name="tryrth" localSheetId="73" hidden="1">{"via1",#N/A,TRUE,"general";"via2",#N/A,TRUE,"general";"via3",#N/A,TRUE,"general"}</definedName>
    <definedName name="tryrth" hidden="1">{"via1",#N/A,TRUE,"general";"via2",#N/A,TRUE,"general";"via3",#N/A,TRUE,"general"}</definedName>
    <definedName name="Ts" localSheetId="1">#REF!</definedName>
    <definedName name="Ts">#REF!</definedName>
    <definedName name="tsert" localSheetId="50" hidden="1">{"TAB1",#N/A,TRUE,"GENERAL";"TAB2",#N/A,TRUE,"GENERAL";"TAB3",#N/A,TRUE,"GENERAL";"TAB4",#N/A,TRUE,"GENERAL";"TAB5",#N/A,TRUE,"GENERAL"}</definedName>
    <definedName name="tsert" localSheetId="1" hidden="1">{"TAB1",#N/A,TRUE,"GENERAL";"TAB2",#N/A,TRUE,"GENERAL";"TAB3",#N/A,TRUE,"GENERAL";"TAB4",#N/A,TRUE,"GENERAL";"TAB5",#N/A,TRUE,"GENERAL"}</definedName>
    <definedName name="tsert" localSheetId="73" hidden="1">{"TAB1",#N/A,TRUE,"GENERAL";"TAB2",#N/A,TRUE,"GENERAL";"TAB3",#N/A,TRUE,"GENERAL";"TAB4",#N/A,TRUE,"GENERAL";"TAB5",#N/A,TRUE,"GENERAL"}</definedName>
    <definedName name="tsert" hidden="1">{"TAB1",#N/A,TRUE,"GENERAL";"TAB2",#N/A,TRUE,"GENERAL";"TAB3",#N/A,TRUE,"GENERAL";"TAB4",#N/A,TRUE,"GENERAL";"TAB5",#N/A,TRUE,"GENERAL"}</definedName>
    <definedName name="Tt" localSheetId="1">#REF!</definedName>
    <definedName name="Tt">#REF!</definedName>
    <definedName name="TtlCDCronog" localSheetId="1">#REF!</definedName>
    <definedName name="TtlCDCronog">#REF!</definedName>
    <definedName name="TTR" localSheetId="50" hidden="1">{"via1",#N/A,TRUE,"general";"via2",#N/A,TRUE,"general";"via3",#N/A,TRUE,"general"}</definedName>
    <definedName name="TTR" localSheetId="1" hidden="1">{"via1",#N/A,TRUE,"general";"via2",#N/A,TRUE,"general";"via3",#N/A,TRUE,"general"}</definedName>
    <definedName name="TTR" localSheetId="73" hidden="1">{"via1",#N/A,TRUE,"general";"via2",#N/A,TRUE,"general";"via3",#N/A,TRUE,"general"}</definedName>
    <definedName name="TTR" hidden="1">{"via1",#N/A,TRUE,"general";"via2",#N/A,TRUE,"general";"via3",#N/A,TRUE,"general"}</definedName>
    <definedName name="ttrff" localSheetId="50" hidden="1">{"via1",#N/A,TRUE,"general";"via2",#N/A,TRUE,"general";"via3",#N/A,TRUE,"general"}</definedName>
    <definedName name="ttrff" localSheetId="1" hidden="1">{"via1",#N/A,TRUE,"general";"via2",#N/A,TRUE,"general";"via3",#N/A,TRUE,"general"}</definedName>
    <definedName name="ttrff" localSheetId="73" hidden="1">{"via1",#N/A,TRUE,"general";"via2",#N/A,TRUE,"general";"via3",#N/A,TRUE,"general"}</definedName>
    <definedName name="ttrff" hidden="1">{"via1",#N/A,TRUE,"general";"via2",#N/A,TRUE,"general";"via3",#N/A,TRUE,"general"}</definedName>
    <definedName name="ttt" localSheetId="50" hidden="1">{"TAB1",#N/A,TRUE,"GENERAL";"TAB2",#N/A,TRUE,"GENERAL";"TAB3",#N/A,TRUE,"GENERAL";"TAB4",#N/A,TRUE,"GENERAL";"TAB5",#N/A,TRUE,"GENERAL"}</definedName>
    <definedName name="ttt" localSheetId="1" hidden="1">{"TAB1",#N/A,TRUE,"GENERAL";"TAB2",#N/A,TRUE,"GENERAL";"TAB3",#N/A,TRUE,"GENERAL";"TAB4",#N/A,TRUE,"GENERAL";"TAB5",#N/A,TRUE,"GENERAL"}</definedName>
    <definedName name="ttt" localSheetId="73" hidden="1">{"TAB1",#N/A,TRUE,"GENERAL";"TAB2",#N/A,TRUE,"GENERAL";"TAB3",#N/A,TRUE,"GENERAL";"TAB4",#N/A,TRUE,"GENERAL";"TAB5",#N/A,TRUE,"GENERAL"}</definedName>
    <definedName name="ttt" hidden="1">{"TAB1",#N/A,TRUE,"GENERAL";"TAB2",#N/A,TRUE,"GENERAL";"TAB3",#N/A,TRUE,"GENERAL";"TAB4",#N/A,TRUE,"GENERAL";"TAB5",#N/A,TRUE,"GENERAL"}</definedName>
    <definedName name="tttt7" localSheetId="50" hidden="1">{"via1",#N/A,TRUE,"general";"via2",#N/A,TRUE,"general";"via3",#N/A,TRUE,"general"}</definedName>
    <definedName name="tttt7" localSheetId="1" hidden="1">{"via1",#N/A,TRUE,"general";"via2",#N/A,TRUE,"general";"via3",#N/A,TRUE,"general"}</definedName>
    <definedName name="tttt7" localSheetId="73" hidden="1">{"via1",#N/A,TRUE,"general";"via2",#N/A,TRUE,"general";"via3",#N/A,TRUE,"general"}</definedName>
    <definedName name="tttt7" hidden="1">{"via1",#N/A,TRUE,"general";"via2",#N/A,TRUE,"general";"via3",#N/A,TRUE,"general"}</definedName>
    <definedName name="tttthy" localSheetId="50"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73" hidden="1">{"TAB1",#N/A,TRUE,"GENERAL";"TAB2",#N/A,TRUE,"GENERAL";"TAB3",#N/A,TRUE,"GENERAL";"TAB4",#N/A,TRUE,"GENERAL";"TAB5",#N/A,TRUE,"GENERAL"}</definedName>
    <definedName name="tttthy" hidden="1">{"TAB1",#N/A,TRUE,"GENERAL";"TAB2",#N/A,TRUE,"GENERAL";"TAB3",#N/A,TRUE,"GENERAL";"TAB4",#N/A,TRUE,"GENERAL";"TAB5",#N/A,TRUE,"GENERAL"}</definedName>
    <definedName name="ttttr" localSheetId="50" hidden="1">{"via1",#N/A,TRUE,"general";"via2",#N/A,TRUE,"general";"via3",#N/A,TRUE,"general"}</definedName>
    <definedName name="ttttr" localSheetId="1" hidden="1">{"via1",#N/A,TRUE,"general";"via2",#N/A,TRUE,"general";"via3",#N/A,TRUE,"general"}</definedName>
    <definedName name="ttttr" localSheetId="73" hidden="1">{"via1",#N/A,TRUE,"general";"via2",#N/A,TRUE,"general";"via3",#N/A,TRUE,"general"}</definedName>
    <definedName name="ttttr" hidden="1">{"via1",#N/A,TRUE,"general";"via2",#N/A,TRUE,"general";"via3",#N/A,TRUE,"general"}</definedName>
    <definedName name="ttttt" localSheetId="50" hidden="1">{"TAB1",#N/A,TRUE,"GENERAL";"TAB2",#N/A,TRUE,"GENERAL";"TAB3",#N/A,TRUE,"GENERAL";"TAB4",#N/A,TRUE,"GENERAL";"TAB5",#N/A,TRUE,"GENERAL"}</definedName>
    <definedName name="ttttt" localSheetId="1" hidden="1">{"TAB1",#N/A,TRUE,"GENERAL";"TAB2",#N/A,TRUE,"GENERAL";"TAB3",#N/A,TRUE,"GENERAL";"TAB4",#N/A,TRUE,"GENERAL";"TAB5",#N/A,TRUE,"GENERAL"}</definedName>
    <definedName name="ttttt" localSheetId="73" hidden="1">{"TAB1",#N/A,TRUE,"GENERAL";"TAB2",#N/A,TRUE,"GENERAL";"TAB3",#N/A,TRUE,"GENERAL";"TAB4",#N/A,TRUE,"GENERAL";"TAB5",#N/A,TRUE,"GENERAL"}</definedName>
    <definedName name="ttttt" hidden="1">{"TAB1",#N/A,TRUE,"GENERAL";"TAB2",#N/A,TRUE,"GENERAL";"TAB3",#N/A,TRUE,"GENERAL";"TAB4",#N/A,TRUE,"GENERAL";"TAB5",#N/A,TRUE,"GENERAL"}</definedName>
    <definedName name="Tu" localSheetId="1">#REF!</definedName>
    <definedName name="tu" localSheetId="71" hidden="1">{"via1",#N/A,TRUE,"general";"via2",#N/A,TRUE,"general";"via3",#N/A,TRUE,"general"}</definedName>
    <definedName name="tu" localSheetId="73" hidden="1">{"via1",#N/A,TRUE,"general";"via2",#N/A,TRUE,"general";"via3",#N/A,TRUE,"general"}</definedName>
    <definedName name="Tu">#REF!</definedName>
    <definedName name="TUB._ACC_3__Bx_B_SCH_40" localSheetId="1">#REF!</definedName>
    <definedName name="TUB._ACC_3__Bx_B_SCH_40">#REF!</definedName>
    <definedName name="TUB4PUL" localSheetId="1">#REF!</definedName>
    <definedName name="TUB4PUL">#REF!</definedName>
    <definedName name="TUB6PUL" localSheetId="1">#REF!</definedName>
    <definedName name="TUB6PUL">#REF!</definedName>
    <definedName name="TUBERIA" localSheetId="50" hidden="1">#REF!</definedName>
    <definedName name="TUBERIA" localSheetId="1" hidden="1">#REF!</definedName>
    <definedName name="TUBERIA" hidden="1">#REF!</definedName>
    <definedName name="Tuberia_durafort_10" localSheetId="1">#REF!</definedName>
    <definedName name="Tuberia_durafort_10">#REF!</definedName>
    <definedName name="TUBERIA_P.V.C_RDE_9" localSheetId="1">#REF!</definedName>
    <definedName name="TUBERIA_P.V.C_RDE_9">#REF!</definedName>
    <definedName name="TUBERIA_P.V.C_UM_RDE_41____2" localSheetId="1">#REF!</definedName>
    <definedName name="TUBERIA_P.V.C_UM_RDE_41____2">#REF!</definedName>
    <definedName name="TUBERIA_P.V.C_UM_RDE_41____3" localSheetId="1">#REF!</definedName>
    <definedName name="TUBERIA_P.V.C_UM_RDE_41____3">#REF!</definedName>
    <definedName name="Tuberia_san_2" localSheetId="1">#REF!</definedName>
    <definedName name="Tuberia_san_2">#REF!</definedName>
    <definedName name="Tuberia_sani_4" localSheetId="1">#REF!</definedName>
    <definedName name="Tuberia_sani_4">#REF!</definedName>
    <definedName name="TUBERIA1" localSheetId="1" hidden="1">#REF!</definedName>
    <definedName name="TUBERIA1" hidden="1">#REF!</definedName>
    <definedName name="tuberia3" localSheetId="1">#REF!</definedName>
    <definedName name="tuberia3">#REF!</definedName>
    <definedName name="TUBLLUV4" localSheetId="1">#REF!</definedName>
    <definedName name="TUBLLUV4">#REF!</definedName>
    <definedName name="TUBLLUVIA1.5TOT" localSheetId="1">#REF!</definedName>
    <definedName name="TUBLLUVIA1.5TOT">#REF!</definedName>
    <definedName name="TUBLLUVIA4TOTAL" localSheetId="1">#REF!</definedName>
    <definedName name="TUBLLUVIA4TOTAL">#REF!</definedName>
    <definedName name="TUBO__ø_8__Durafort" localSheetId="1">#REF!</definedName>
    <definedName name="TUBO__ø_8__Durafort">#REF!</definedName>
    <definedName name="TUBO_1_2" localSheetId="1">#REF!</definedName>
    <definedName name="TUBO_1_2">#REF!</definedName>
    <definedName name="TUBO_1_2__HG" localSheetId="1">#REF!</definedName>
    <definedName name="TUBO_1_2__HG">#REF!</definedName>
    <definedName name="TUBO_6" localSheetId="50">#REF!</definedName>
    <definedName name="TUBO_6" localSheetId="1">#REF!</definedName>
    <definedName name="TUBO_6">#REF!</definedName>
    <definedName name="Tubo_galvanizado_1_2_6mts" localSheetId="50">#REF!</definedName>
    <definedName name="Tubo_galvanizado_1_2_6mts" localSheetId="1">#REF!</definedName>
    <definedName name="Tubo_galvanizado_1_2_6mts">#REF!</definedName>
    <definedName name="Tubo_pvc_1_2" localSheetId="1">#REF!</definedName>
    <definedName name="Tubo_pvc_1_2">#REF!</definedName>
    <definedName name="Tubo_pvc_3_4" localSheetId="1">#REF!</definedName>
    <definedName name="Tubo_pvc_3_4">#REF!</definedName>
    <definedName name="TUBPRE1_2TOT" localSheetId="1">#REF!</definedName>
    <definedName name="TUBPRE1_2TOT">#REF!</definedName>
    <definedName name="TUBPRE3_4TOT" localSheetId="1">#REF!</definedName>
    <definedName name="TUBPRE3_4TOT">#REF!</definedName>
    <definedName name="TUBSANIT2" localSheetId="1">#REF!</definedName>
    <definedName name="TUBSANIT2">#REF!</definedName>
    <definedName name="TUBSANIT2TOTAL" localSheetId="1">#REF!</definedName>
    <definedName name="TUBSANIT2TOTAL">#REF!</definedName>
    <definedName name="TUBSANIT4" localSheetId="1">#REF!</definedName>
    <definedName name="TUBSANIT4">#REF!</definedName>
    <definedName name="TUBSANIT4TOTAL" localSheetId="1">#REF!</definedName>
    <definedName name="TUBSANIT4TOTAL">#REF!</definedName>
    <definedName name="TUK" localSheetId="50" hidden="1">{#N/A,#N/A,TRUE,"INGENIERIA";#N/A,#N/A,TRUE,"COMPRAS";#N/A,#N/A,TRUE,"DIRECCION";#N/A,#N/A,TRUE,"RESUMEN"}</definedName>
    <definedName name="TUK" localSheetId="1" hidden="1">{#N/A,#N/A,TRUE,"INGENIERIA";#N/A,#N/A,TRUE,"COMPRAS";#N/A,#N/A,TRUE,"DIRECCION";#N/A,#N/A,TRUE,"RESUMEN"}</definedName>
    <definedName name="TUK" hidden="1">{#N/A,#N/A,TRUE,"INGENIERIA";#N/A,#N/A,TRUE,"COMPRAS";#N/A,#N/A,TRUE,"DIRECCION";#N/A,#N/A,TRUE,"RESUMEN"}</definedName>
    <definedName name="TUPI" localSheetId="50">MATCH(0.01,End_Bal,-1)+1</definedName>
    <definedName name="TUPI" localSheetId="1">MATCH(0.01,'AU + PGIO'!End_Bal,-1)+1</definedName>
    <definedName name="TUPI">MATCH(0.01,End_Bal,-1)+1</definedName>
    <definedName name="tur" localSheetId="50" hidden="1">{"TAB1",#N/A,TRUE,"GENERAL";"TAB2",#N/A,TRUE,"GENERAL";"TAB3",#N/A,TRUE,"GENERAL";"TAB4",#N/A,TRUE,"GENERAL";"TAB5",#N/A,TRUE,"GENERAL"}</definedName>
    <definedName name="tur" localSheetId="1" hidden="1">{"TAB1",#N/A,TRUE,"GENERAL";"TAB2",#N/A,TRUE,"GENERAL";"TAB3",#N/A,TRUE,"GENERAL";"TAB4",#N/A,TRUE,"GENERAL";"TAB5",#N/A,TRUE,"GENERAL"}</definedName>
    <definedName name="tur" localSheetId="73" hidden="1">{"TAB1",#N/A,TRUE,"GENERAL";"TAB2",#N/A,TRUE,"GENERAL";"TAB3",#N/A,TRUE,"GENERAL";"TAB4",#N/A,TRUE,"GENERAL";"TAB5",#N/A,TRUE,"GENERAL"}</definedName>
    <definedName name="tur" hidden="1">{"TAB1",#N/A,TRUE,"GENERAL";"TAB2",#N/A,TRUE,"GENERAL";"TAB3",#N/A,TRUE,"GENERAL";"TAB4",#N/A,TRUE,"GENERAL";"TAB5",#N/A,TRUE,"GENERAL"}</definedName>
    <definedName name="turu" localSheetId="50" hidden="1">{"TAB1",#N/A,TRUE,"GENERAL";"TAB2",#N/A,TRUE,"GENERAL";"TAB3",#N/A,TRUE,"GENERAL";"TAB4",#N/A,TRUE,"GENERAL";"TAB5",#N/A,TRUE,"GENERAL"}</definedName>
    <definedName name="turu" localSheetId="1" hidden="1">{"TAB1",#N/A,TRUE,"GENERAL";"TAB2",#N/A,TRUE,"GENERAL";"TAB3",#N/A,TRUE,"GENERAL";"TAB4",#N/A,TRUE,"GENERAL";"TAB5",#N/A,TRUE,"GENERAL"}</definedName>
    <definedName name="turu" localSheetId="73" hidden="1">{"TAB1",#N/A,TRUE,"GENERAL";"TAB2",#N/A,TRUE,"GENERAL";"TAB3",#N/A,TRUE,"GENERAL";"TAB4",#N/A,TRUE,"GENERAL";"TAB5",#N/A,TRUE,"GENERAL"}</definedName>
    <definedName name="turu" hidden="1">{"TAB1",#N/A,TRUE,"GENERAL";"TAB2",#N/A,TRUE,"GENERAL";"TAB3",#N/A,TRUE,"GENERAL";"TAB4",#N/A,TRUE,"GENERAL";"TAB5",#N/A,TRUE,"GENERAL"}</definedName>
    <definedName name="Tw" localSheetId="1">#REF!</definedName>
    <definedName name="Tw">#REF!</definedName>
    <definedName name="twer" localSheetId="50" hidden="1">{"TAB1",#N/A,TRUE,"GENERAL";"TAB2",#N/A,TRUE,"GENERAL";"TAB3",#N/A,TRUE,"GENERAL";"TAB4",#N/A,TRUE,"GENERAL";"TAB5",#N/A,TRUE,"GENERAL"}</definedName>
    <definedName name="twer" localSheetId="1" hidden="1">{"TAB1",#N/A,TRUE,"GENERAL";"TAB2",#N/A,TRUE,"GENERAL";"TAB3",#N/A,TRUE,"GENERAL";"TAB4",#N/A,TRUE,"GENERAL";"TAB5",#N/A,TRUE,"GENERAL"}</definedName>
    <definedName name="twer" localSheetId="73" hidden="1">{"TAB1",#N/A,TRUE,"GENERAL";"TAB2",#N/A,TRUE,"GENERAL";"TAB3",#N/A,TRUE,"GENERAL";"TAB4",#N/A,TRUE,"GENERAL";"TAB5",#N/A,TRUE,"GENERAL"}</definedName>
    <definedName name="twer" hidden="1">{"TAB1",#N/A,TRUE,"GENERAL";"TAB2",#N/A,TRUE,"GENERAL";"TAB3",#N/A,TRUE,"GENERAL";"TAB4",#N/A,TRUE,"GENERAL";"TAB5",#N/A,TRUE,"GENERAL"}</definedName>
    <definedName name="twet" localSheetId="50" hidden="1">{"TAB1",#N/A,TRUE,"GENERAL";"TAB2",#N/A,TRUE,"GENERAL";"TAB3",#N/A,TRUE,"GENERAL";"TAB4",#N/A,TRUE,"GENERAL";"TAB5",#N/A,TRUE,"GENERAL"}</definedName>
    <definedName name="twet" localSheetId="1" hidden="1">{"TAB1",#N/A,TRUE,"GENERAL";"TAB2",#N/A,TRUE,"GENERAL";"TAB3",#N/A,TRUE,"GENERAL";"TAB4",#N/A,TRUE,"GENERAL";"TAB5",#N/A,TRUE,"GENERAL"}</definedName>
    <definedName name="twet" localSheetId="73" hidden="1">{"TAB1",#N/A,TRUE,"GENERAL";"TAB2",#N/A,TRUE,"GENERAL";"TAB3",#N/A,TRUE,"GENERAL";"TAB4",#N/A,TRUE,"GENERAL";"TAB5",#N/A,TRUE,"GENERAL"}</definedName>
    <definedName name="twet" hidden="1">{"TAB1",#N/A,TRUE,"GENERAL";"TAB2",#N/A,TRUE,"GENERAL";"TAB3",#N/A,TRUE,"GENERAL";"TAB4",#N/A,TRUE,"GENERAL";"TAB5",#N/A,TRUE,"GENERAL"}</definedName>
    <definedName name="Tx" localSheetId="1">#REF!</definedName>
    <definedName name="Tx">#REF!</definedName>
    <definedName name="Ty" localSheetId="1">#REF!</definedName>
    <definedName name="ty" localSheetId="71" hidden="1">{"via1",#N/A,TRUE,"general";"via2",#N/A,TRUE,"general";"via3",#N/A,TRUE,"general"}</definedName>
    <definedName name="ty" localSheetId="73" hidden="1">{"via1",#N/A,TRUE,"general";"via2",#N/A,TRUE,"general";"via3",#N/A,TRUE,"general"}</definedName>
    <definedName name="Ty">#REF!</definedName>
    <definedName name="tyery" localSheetId="50" hidden="1">{"via1",#N/A,TRUE,"general";"via2",#N/A,TRUE,"general";"via3",#N/A,TRUE,"general"}</definedName>
    <definedName name="tyery" localSheetId="1" hidden="1">{"via1",#N/A,TRUE,"general";"via2",#N/A,TRUE,"general";"via3",#N/A,TRUE,"general"}</definedName>
    <definedName name="tyery" localSheetId="73" hidden="1">{"via1",#N/A,TRUE,"general";"via2",#N/A,TRUE,"general";"via3",#N/A,TRUE,"general"}</definedName>
    <definedName name="tyery" hidden="1">{"via1",#N/A,TRUE,"general";"via2",#N/A,TRUE,"general";"via3",#N/A,TRUE,"general"}</definedName>
    <definedName name="tyj" localSheetId="50" hidden="1">{"TAB1",#N/A,TRUE,"GENERAL";"TAB2",#N/A,TRUE,"GENERAL";"TAB3",#N/A,TRUE,"GENERAL";"TAB4",#N/A,TRUE,"GENERAL";"TAB5",#N/A,TRUE,"GENERAL"}</definedName>
    <definedName name="tyj" localSheetId="1" hidden="1">{"TAB1",#N/A,TRUE,"GENERAL";"TAB2",#N/A,TRUE,"GENERAL";"TAB3",#N/A,TRUE,"GENERAL";"TAB4",#N/A,TRUE,"GENERAL";"TAB5",#N/A,TRUE,"GENERAL"}</definedName>
    <definedName name="tyj" localSheetId="73" hidden="1">{"TAB1",#N/A,TRUE,"GENERAL";"TAB2",#N/A,TRUE,"GENERAL";"TAB3",#N/A,TRUE,"GENERAL";"TAB4",#N/A,TRUE,"GENERAL";"TAB5",#N/A,TRUE,"GENERAL"}</definedName>
    <definedName name="tyj" hidden="1">{"TAB1",#N/A,TRUE,"GENERAL";"TAB2",#N/A,TRUE,"GENERAL";"TAB3",#N/A,TRUE,"GENERAL";"TAB4",#N/A,TRUE,"GENERAL";"TAB5",#N/A,TRUE,"GENERAL"}</definedName>
    <definedName name="tyjtyj" localSheetId="50"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73" hidden="1">{"TAB1",#N/A,TRUE,"GENERAL";"TAB2",#N/A,TRUE,"GENERAL";"TAB3",#N/A,TRUE,"GENERAL";"TAB4",#N/A,TRUE,"GENERAL";"TAB5",#N/A,TRUE,"GENERAL"}</definedName>
    <definedName name="tyjtyj" hidden="1">{"TAB1",#N/A,TRUE,"GENERAL";"TAB2",#N/A,TRUE,"GENERAL";"TAB3",#N/A,TRUE,"GENERAL";"TAB4",#N/A,TRUE,"GENERAL";"TAB5",#N/A,TRUE,"GENERAL"}</definedName>
    <definedName name="tyjytjuyjuy" localSheetId="5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73" hidden="1">{"TAB1",#N/A,TRUE,"GENERAL";"TAB2",#N/A,TRUE,"GENERAL";"TAB3",#N/A,TRUE,"GENERAL";"TAB4",#N/A,TRUE,"GENERAL";"TAB5",#N/A,TRUE,"GENERAL"}</definedName>
    <definedName name="tyjytjuyjuy" hidden="1">{"TAB1",#N/A,TRUE,"GENERAL";"TAB2",#N/A,TRUE,"GENERAL";"TAB3",#N/A,TRUE,"GENERAL";"TAB4",#N/A,TRUE,"GENERAL";"TAB5",#N/A,TRUE,"GENERAL"}</definedName>
    <definedName name="TYJYU" localSheetId="50" hidden="1">{#N/A,#N/A,TRUE,"INGENIERIA";#N/A,#N/A,TRUE,"COMPRAS";#N/A,#N/A,TRUE,"DIRECCION";#N/A,#N/A,TRUE,"RESUMEN"}</definedName>
    <definedName name="TYJYU" localSheetId="1" hidden="1">{#N/A,#N/A,TRUE,"INGENIERIA";#N/A,#N/A,TRUE,"COMPRAS";#N/A,#N/A,TRUE,"DIRECCION";#N/A,#N/A,TRUE,"RESUMEN"}</definedName>
    <definedName name="TYJYU" hidden="1">{#N/A,#N/A,TRUE,"INGENIERIA";#N/A,#N/A,TRUE,"COMPRAS";#N/A,#N/A,TRUE,"DIRECCION";#N/A,#N/A,TRUE,"RESUMEN"}</definedName>
    <definedName name="tyk" localSheetId="50" hidden="1">{"via1",#N/A,TRUE,"general";"via2",#N/A,TRUE,"general";"via3",#N/A,TRUE,"general"}</definedName>
    <definedName name="tyk" localSheetId="1" hidden="1">{"via1",#N/A,TRUE,"general";"via2",#N/A,TRUE,"general";"via3",#N/A,TRUE,"general"}</definedName>
    <definedName name="tyk" localSheetId="73" hidden="1">{"via1",#N/A,TRUE,"general";"via2",#N/A,TRUE,"general";"via3",#N/A,TRUE,"general"}</definedName>
    <definedName name="tyk" hidden="1">{"via1",#N/A,TRUE,"general";"via2",#N/A,TRUE,"general";"via3",#N/A,TRUE,"general"}</definedName>
    <definedName name="tym" localSheetId="50" hidden="1">{"via1",#N/A,TRUE,"general";"via2",#N/A,TRUE,"general";"via3",#N/A,TRUE,"general"}</definedName>
    <definedName name="tym" localSheetId="1" hidden="1">{"via1",#N/A,TRUE,"general";"via2",#N/A,TRUE,"general";"via3",#N/A,TRUE,"general"}</definedName>
    <definedName name="tym" localSheetId="73" hidden="1">{"via1",#N/A,TRUE,"general";"via2",#N/A,TRUE,"general";"via3",#N/A,TRUE,"general"}</definedName>
    <definedName name="tym" hidden="1">{"via1",#N/A,TRUE,"general";"via2",#N/A,TRUE,"general";"via3",#N/A,TRUE,"general"}</definedName>
    <definedName name="tyr" localSheetId="50" hidden="1">{"via1",#N/A,TRUE,"general";"via2",#N/A,TRUE,"general";"via3",#N/A,TRUE,"general"}</definedName>
    <definedName name="tyr" localSheetId="1" hidden="1">{"via1",#N/A,TRUE,"general";"via2",#N/A,TRUE,"general";"via3",#N/A,TRUE,"general"}</definedName>
    <definedName name="tyr" localSheetId="73" hidden="1">{"via1",#N/A,TRUE,"general";"via2",#N/A,TRUE,"general";"via3",#N/A,TRUE,"general"}</definedName>
    <definedName name="tyr" hidden="1">{"via1",#N/A,TRUE,"general";"via2",#N/A,TRUE,"general";"via3",#N/A,TRUE,"general"}</definedName>
    <definedName name="tytgfhgfh" localSheetId="50"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73" hidden="1">{"TAB1",#N/A,TRUE,"GENERAL";"TAB2",#N/A,TRUE,"GENERAL";"TAB3",#N/A,TRUE,"GENERAL";"TAB4",#N/A,TRUE,"GENERAL";"TAB5",#N/A,TRUE,"GENERAL"}</definedName>
    <definedName name="tytgfhgfh" hidden="1">{"TAB1",#N/A,TRUE,"GENERAL";"TAB2",#N/A,TRUE,"GENERAL";"TAB3",#N/A,TRUE,"GENERAL";"TAB4",#N/A,TRUE,"GENERAL";"TAB5",#N/A,TRUE,"GENERAL"}</definedName>
    <definedName name="tyty" localSheetId="50" hidden="1">{"TAB1",#N/A,TRUE,"GENERAL";"TAB2",#N/A,TRUE,"GENERAL";"TAB3",#N/A,TRUE,"GENERAL";"TAB4",#N/A,TRUE,"GENERAL";"TAB5",#N/A,TRUE,"GENERAL"}</definedName>
    <definedName name="tyty" localSheetId="1" hidden="1">{"TAB1",#N/A,TRUE,"GENERAL";"TAB2",#N/A,TRUE,"GENERAL";"TAB3",#N/A,TRUE,"GENERAL";"TAB4",#N/A,TRUE,"GENERAL";"TAB5",#N/A,TRUE,"GENERAL"}</definedName>
    <definedName name="tyty" localSheetId="73" hidden="1">{"TAB1",#N/A,TRUE,"GENERAL";"TAB2",#N/A,TRUE,"GENERAL";"TAB3",#N/A,TRUE,"GENERAL";"TAB4",#N/A,TRUE,"GENERAL";"TAB5",#N/A,TRUE,"GENERAL"}</definedName>
    <definedName name="tyty" hidden="1">{"TAB1",#N/A,TRUE,"GENERAL";"TAB2",#N/A,TRUE,"GENERAL";"TAB3",#N/A,TRUE,"GENERAL";"TAB4",#N/A,TRUE,"GENERAL";"TAB5",#N/A,TRUE,"GENERAL"}</definedName>
    <definedName name="tyu" localSheetId="1">#REF!</definedName>
    <definedName name="tyu">#REF!</definedName>
    <definedName name="TYUIYI" localSheetId="50"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73" hidden="1">{"TAB1",#N/A,TRUE,"GENERAL";"TAB2",#N/A,TRUE,"GENERAL";"TAB3",#N/A,TRUE,"GENERAL";"TAB4",#N/A,TRUE,"GENERAL";"TAB5",#N/A,TRUE,"GENERAL"}</definedName>
    <definedName name="TYUIYI" hidden="1">{"TAB1",#N/A,TRUE,"GENERAL";"TAB2",#N/A,TRUE,"GENERAL";"TAB3",#N/A,TRUE,"GENERAL";"TAB4",#N/A,TRUE,"GENERAL";"TAB5",#N/A,TRUE,"GENERAL"}</definedName>
    <definedName name="tyujh" localSheetId="50" hidden="1">{"TAB1",#N/A,TRUE,"GENERAL";"TAB2",#N/A,TRUE,"GENERAL";"TAB3",#N/A,TRUE,"GENERAL";"TAB4",#N/A,TRUE,"GENERAL";"TAB5",#N/A,TRUE,"GENERAL"}</definedName>
    <definedName name="tyujh" localSheetId="1" hidden="1">{"TAB1",#N/A,TRUE,"GENERAL";"TAB2",#N/A,TRUE,"GENERAL";"TAB3",#N/A,TRUE,"GENERAL";"TAB4",#N/A,TRUE,"GENERAL";"TAB5",#N/A,TRUE,"GENERAL"}</definedName>
    <definedName name="tyujh" localSheetId="73" hidden="1">{"TAB1",#N/A,TRUE,"GENERAL";"TAB2",#N/A,TRUE,"GENERAL";"TAB3",#N/A,TRUE,"GENERAL";"TAB4",#N/A,TRUE,"GENERAL";"TAB5",#N/A,TRUE,"GENERAL"}</definedName>
    <definedName name="tyujh" hidden="1">{"TAB1",#N/A,TRUE,"GENERAL";"TAB2",#N/A,TRUE,"GENERAL";"TAB3",#N/A,TRUE,"GENERAL";"TAB4",#N/A,TRUE,"GENERAL";"TAB5",#N/A,TRUE,"GENERAL"}</definedName>
    <definedName name="tyuty" localSheetId="50" hidden="1">{"TAB1",#N/A,TRUE,"GENERAL";"TAB2",#N/A,TRUE,"GENERAL";"TAB3",#N/A,TRUE,"GENERAL";"TAB4",#N/A,TRUE,"GENERAL";"TAB5",#N/A,TRUE,"GENERAL"}</definedName>
    <definedName name="tyuty" localSheetId="1" hidden="1">{"TAB1",#N/A,TRUE,"GENERAL";"TAB2",#N/A,TRUE,"GENERAL";"TAB3",#N/A,TRUE,"GENERAL";"TAB4",#N/A,TRUE,"GENERAL";"TAB5",#N/A,TRUE,"GENERAL"}</definedName>
    <definedName name="tyuty" localSheetId="73" hidden="1">{"TAB1",#N/A,TRUE,"GENERAL";"TAB2",#N/A,TRUE,"GENERAL";"TAB3",#N/A,TRUE,"GENERAL";"TAB4",#N/A,TRUE,"GENERAL";"TAB5",#N/A,TRUE,"GENERAL"}</definedName>
    <definedName name="tyuty" hidden="1">{"TAB1",#N/A,TRUE,"GENERAL";"TAB2",#N/A,TRUE,"GENERAL";"TAB3",#N/A,TRUE,"GENERAL";"TAB4",#N/A,TRUE,"GENERAL";"TAB5",#N/A,TRUE,"GENERAL"}</definedName>
    <definedName name="tyutyu" localSheetId="50" hidden="1">{"via1",#N/A,TRUE,"general";"via2",#N/A,TRUE,"general";"via3",#N/A,TRUE,"general"}</definedName>
    <definedName name="tyutyu" localSheetId="1" hidden="1">{"via1",#N/A,TRUE,"general";"via2",#N/A,TRUE,"general";"via3",#N/A,TRUE,"general"}</definedName>
    <definedName name="tyutyu" localSheetId="73" hidden="1">{"via1",#N/A,TRUE,"general";"via2",#N/A,TRUE,"general";"via3",#N/A,TRUE,"general"}</definedName>
    <definedName name="tyutyu" hidden="1">{"via1",#N/A,TRUE,"general";"via2",#N/A,TRUE,"general";"via3",#N/A,TRUE,"general"}</definedName>
    <definedName name="tyxg" localSheetId="50" hidden="1">{"via1",#N/A,TRUE,"general";"via2",#N/A,TRUE,"general";"via3",#N/A,TRUE,"general"}</definedName>
    <definedName name="tyxg" localSheetId="1" hidden="1">{"via1",#N/A,TRUE,"general";"via2",#N/A,TRUE,"general";"via3",#N/A,TRUE,"general"}</definedName>
    <definedName name="tyxg" localSheetId="73" hidden="1">{"via1",#N/A,TRUE,"general";"via2",#N/A,TRUE,"general";"via3",#N/A,TRUE,"general"}</definedName>
    <definedName name="tyxg" hidden="1">{"via1",#N/A,TRUE,"general";"via2",#N/A,TRUE,"general";"via3",#N/A,TRUE,"general"}</definedName>
    <definedName name="Tz" localSheetId="1">#REF!</definedName>
    <definedName name="Tz">#REF!</definedName>
    <definedName name="U" localSheetId="1">#REF!</definedName>
    <definedName name="U">#REF!</definedName>
    <definedName name="u3u" localSheetId="50" hidden="1">{"TAB1",#N/A,TRUE,"GENERAL";"TAB2",#N/A,TRUE,"GENERAL";"TAB3",#N/A,TRUE,"GENERAL";"TAB4",#N/A,TRUE,"GENERAL";"TAB5",#N/A,TRUE,"GENERAL"}</definedName>
    <definedName name="u3u" localSheetId="1" hidden="1">{"TAB1",#N/A,TRUE,"GENERAL";"TAB2",#N/A,TRUE,"GENERAL";"TAB3",#N/A,TRUE,"GENERAL";"TAB4",#N/A,TRUE,"GENERAL";"TAB5",#N/A,TRUE,"GENERAL"}</definedName>
    <definedName name="u3u" localSheetId="73" hidden="1">{"TAB1",#N/A,TRUE,"GENERAL";"TAB2",#N/A,TRUE,"GENERAL";"TAB3",#N/A,TRUE,"GENERAL";"TAB4",#N/A,TRUE,"GENERAL";"TAB5",#N/A,TRUE,"GENERAL"}</definedName>
    <definedName name="u3u" hidden="1">{"TAB1",#N/A,TRUE,"GENERAL";"TAB2",#N/A,TRUE,"GENERAL";"TAB3",#N/A,TRUE,"GENERAL";"TAB4",#N/A,TRUE,"GENERAL";"TAB5",#N/A,TRUE,"GENERAL"}</definedName>
    <definedName name="u7u7" localSheetId="50" hidden="1">{"TAB1",#N/A,TRUE,"GENERAL";"TAB2",#N/A,TRUE,"GENERAL";"TAB3",#N/A,TRUE,"GENERAL";"TAB4",#N/A,TRUE,"GENERAL";"TAB5",#N/A,TRUE,"GENERAL"}</definedName>
    <definedName name="u7u7" localSheetId="1" hidden="1">{"TAB1",#N/A,TRUE,"GENERAL";"TAB2",#N/A,TRUE,"GENERAL";"TAB3",#N/A,TRUE,"GENERAL";"TAB4",#N/A,TRUE,"GENERAL";"TAB5",#N/A,TRUE,"GENERAL"}</definedName>
    <definedName name="u7u7" localSheetId="73" hidden="1">{"TAB1",#N/A,TRUE,"GENERAL";"TAB2",#N/A,TRUE,"GENERAL";"TAB3",#N/A,TRUE,"GENERAL";"TAB4",#N/A,TRUE,"GENERAL";"TAB5",#N/A,TRUE,"GENERAL"}</definedName>
    <definedName name="u7u7" hidden="1">{"TAB1",#N/A,TRUE,"GENERAL";"TAB2",#N/A,TRUE,"GENERAL";"TAB3",#N/A,TRUE,"GENERAL";"TAB4",#N/A,TRUE,"GENERAL";"TAB5",#N/A,TRUE,"GENERAL"}</definedName>
    <definedName name="Ua" localSheetId="1">#REF!</definedName>
    <definedName name="Ua">#REF!</definedName>
    <definedName name="Ub" localSheetId="1">#REF!</definedName>
    <definedName name="Ub">#REF!</definedName>
    <definedName name="Uc" localSheetId="1">#REF!</definedName>
    <definedName name="Uc">#REF!</definedName>
    <definedName name="Ud" localSheetId="1">#REF!</definedName>
    <definedName name="Ud">#REF!</definedName>
    <definedName name="Ue" localSheetId="1">#REF!</definedName>
    <definedName name="Ue">#REF!</definedName>
    <definedName name="Uf" localSheetId="1">#REF!</definedName>
    <definedName name="Uf">#REF!</definedName>
    <definedName name="Ug" localSheetId="1">#REF!</definedName>
    <definedName name="Ug">#REF!</definedName>
    <definedName name="Uh" localSheetId="1">#REF!</definedName>
    <definedName name="Uh">#REF!</definedName>
    <definedName name="UI" localSheetId="50" hidden="1">{"via1",#N/A,TRUE,"general";"via2",#N/A,TRUE,"general";"via3",#N/A,TRUE,"general"}</definedName>
    <definedName name="UI" localSheetId="1" hidden="1">{"via1",#N/A,TRUE,"general";"via2",#N/A,TRUE,"general";"via3",#N/A,TRUE,"general"}</definedName>
    <definedName name="UI" localSheetId="73" hidden="1">{"via1",#N/A,TRUE,"general";"via2",#N/A,TRUE,"general";"via3",#N/A,TRUE,"general"}</definedName>
    <definedName name="UI" hidden="1">{"via1",#N/A,TRUE,"general";"via2",#N/A,TRUE,"general";"via3",#N/A,TRUE,"general"}</definedName>
    <definedName name="uijhj" localSheetId="50" hidden="1">{"via1",#N/A,TRUE,"general";"via2",#N/A,TRUE,"general";"via3",#N/A,TRUE,"general"}</definedName>
    <definedName name="uijhj" localSheetId="1" hidden="1">{"via1",#N/A,TRUE,"general";"via2",#N/A,TRUE,"general";"via3",#N/A,TRUE,"general"}</definedName>
    <definedName name="uijhj" localSheetId="73" hidden="1">{"via1",#N/A,TRUE,"general";"via2",#N/A,TRUE,"general";"via3",#N/A,TRUE,"general"}</definedName>
    <definedName name="uijhj" hidden="1">{"via1",#N/A,TRUE,"general";"via2",#N/A,TRUE,"general";"via3",#N/A,TRUE,"general"}</definedName>
    <definedName name="uio" localSheetId="50" hidden="1">{"TAB1",#N/A,TRUE,"GENERAL";"TAB2",#N/A,TRUE,"GENERAL";"TAB3",#N/A,TRUE,"GENERAL";"TAB4",#N/A,TRUE,"GENERAL";"TAB5",#N/A,TRUE,"GENERAL"}</definedName>
    <definedName name="uio" localSheetId="1" hidden="1">{"TAB1",#N/A,TRUE,"GENERAL";"TAB2",#N/A,TRUE,"GENERAL";"TAB3",#N/A,TRUE,"GENERAL";"TAB4",#N/A,TRUE,"GENERAL";"TAB5",#N/A,TRUE,"GENERAL"}</definedName>
    <definedName name="uio" localSheetId="73" hidden="1">{"TAB1",#N/A,TRUE,"GENERAL";"TAB2",#N/A,TRUE,"GENERAL";"TAB3",#N/A,TRUE,"GENERAL";"TAB4",#N/A,TRUE,"GENERAL";"TAB5",#N/A,TRUE,"GENERAL"}</definedName>
    <definedName name="uio" hidden="1">{"TAB1",#N/A,TRUE,"GENERAL";"TAB2",#N/A,TRUE,"GENERAL";"TAB3",#N/A,TRUE,"GENERAL";"TAB4",#N/A,TRUE,"GENERAL";"TAB5",#N/A,TRUE,"GENERAL"}</definedName>
    <definedName name="uiou" localSheetId="50" hidden="1">{"TAB1",#N/A,TRUE,"GENERAL";"TAB2",#N/A,TRUE,"GENERAL";"TAB3",#N/A,TRUE,"GENERAL";"TAB4",#N/A,TRUE,"GENERAL";"TAB5",#N/A,TRUE,"GENERAL"}</definedName>
    <definedName name="uiou" localSheetId="1" hidden="1">{"TAB1",#N/A,TRUE,"GENERAL";"TAB2",#N/A,TRUE,"GENERAL";"TAB3",#N/A,TRUE,"GENERAL";"TAB4",#N/A,TRUE,"GENERAL";"TAB5",#N/A,TRUE,"GENERAL"}</definedName>
    <definedName name="uiou" localSheetId="73" hidden="1">{"TAB1",#N/A,TRUE,"GENERAL";"TAB2",#N/A,TRUE,"GENERAL";"TAB3",#N/A,TRUE,"GENERAL";"TAB4",#N/A,TRUE,"GENERAL";"TAB5",#N/A,TRUE,"GENERAL"}</definedName>
    <definedName name="uiou" hidden="1">{"TAB1",#N/A,TRUE,"GENERAL";"TAB2",#N/A,TRUE,"GENERAL";"TAB3",#N/A,TRUE,"GENERAL";"TAB4",#N/A,TRUE,"GENERAL";"TAB5",#N/A,TRUE,"GENERAL"}</definedName>
    <definedName name="uir" localSheetId="50" hidden="1">{"via1",#N/A,TRUE,"general";"via2",#N/A,TRUE,"general";"via3",#N/A,TRUE,"general"}</definedName>
    <definedName name="uir" localSheetId="1" hidden="1">{"via1",#N/A,TRUE,"general";"via2",#N/A,TRUE,"general";"via3",#N/A,TRUE,"general"}</definedName>
    <definedName name="uir" localSheetId="73" hidden="1">{"via1",#N/A,TRUE,"general";"via2",#N/A,TRUE,"general";"via3",#N/A,TRUE,"general"}</definedName>
    <definedName name="uir" hidden="1">{"via1",#N/A,TRUE,"general";"via2",#N/A,TRUE,"general";"via3",#N/A,TRUE,"general"}</definedName>
    <definedName name="uituii" localSheetId="50"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73" hidden="1">{"TAB1",#N/A,TRUE,"GENERAL";"TAB2",#N/A,TRUE,"GENERAL";"TAB3",#N/A,TRUE,"GENERAL";"TAB4",#N/A,TRUE,"GENERAL";"TAB5",#N/A,TRUE,"GENERAL"}</definedName>
    <definedName name="uituii" hidden="1">{"TAB1",#N/A,TRUE,"GENERAL";"TAB2",#N/A,TRUE,"GENERAL";"TAB3",#N/A,TRUE,"GENERAL";"TAB4",#N/A,TRUE,"GENERAL";"TAB5",#N/A,TRUE,"GENERAL"}</definedName>
    <definedName name="uityjj" localSheetId="50" hidden="1">{"via1",#N/A,TRUE,"general";"via2",#N/A,TRUE,"general";"via3",#N/A,TRUE,"general"}</definedName>
    <definedName name="uityjj" localSheetId="1" hidden="1">{"via1",#N/A,TRUE,"general";"via2",#N/A,TRUE,"general";"via3",#N/A,TRUE,"general"}</definedName>
    <definedName name="uityjj" localSheetId="73" hidden="1">{"via1",#N/A,TRUE,"general";"via2",#N/A,TRUE,"general";"via3",#N/A,TRUE,"general"}</definedName>
    <definedName name="uityjj" hidden="1">{"via1",#N/A,TRUE,"general";"via2",#N/A,TRUE,"general";"via3",#N/A,TRUE,"general"}</definedName>
    <definedName name="uiufgj" localSheetId="50"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73" hidden="1">{"TAB1",#N/A,TRUE,"GENERAL";"TAB2",#N/A,TRUE,"GENERAL";"TAB3",#N/A,TRUE,"GENERAL";"TAB4",#N/A,TRUE,"GENERAL";"TAB5",#N/A,TRUE,"GENERAL"}</definedName>
    <definedName name="uiufgj" hidden="1">{"TAB1",#N/A,TRUE,"GENERAL";"TAB2",#N/A,TRUE,"GENERAL";"TAB3",#N/A,TRUE,"GENERAL";"TAB4",#N/A,TRUE,"GENERAL";"TAB5",#N/A,TRUE,"GENERAL"}</definedName>
    <definedName name="UIUYI" localSheetId="50" hidden="1">{"TAB1",#N/A,TRUE,"GENERAL";"TAB2",#N/A,TRUE,"GENERAL";"TAB3",#N/A,TRUE,"GENERAL";"TAB4",#N/A,TRUE,"GENERAL";"TAB5",#N/A,TRUE,"GENERAL"}</definedName>
    <definedName name="UIUYI" localSheetId="1" hidden="1">{"TAB1",#N/A,TRUE,"GENERAL";"TAB2",#N/A,TRUE,"GENERAL";"TAB3",#N/A,TRUE,"GENERAL";"TAB4",#N/A,TRUE,"GENERAL";"TAB5",#N/A,TRUE,"GENERAL"}</definedName>
    <definedName name="UIUYI" localSheetId="73" hidden="1">{"TAB1",#N/A,TRUE,"GENERAL";"TAB2",#N/A,TRUE,"GENERAL";"TAB3",#N/A,TRUE,"GENERAL";"TAB4",#N/A,TRUE,"GENERAL";"TAB5",#N/A,TRUE,"GENERAL"}</definedName>
    <definedName name="UIUYI" hidden="1">{"TAB1",#N/A,TRUE,"GENERAL";"TAB2",#N/A,TRUE,"GENERAL";"TAB3",#N/A,TRUE,"GENERAL";"TAB4",#N/A,TRUE,"GENERAL";"TAB5",#N/A,TRUE,"GENERAL"}</definedName>
    <definedName name="Uj" localSheetId="1">#REF!</definedName>
    <definedName name="Uj">#REF!</definedName>
    <definedName name="Uk" localSheetId="1">#REF!</definedName>
    <definedName name="Uk">#REF!</definedName>
    <definedName name="Ull" localSheetId="1">#REF!</definedName>
    <definedName name="Ull">#REF!</definedName>
    <definedName name="Um" localSheetId="1">#REF!</definedName>
    <definedName name="Um">#REF!</definedName>
    <definedName name="Un" localSheetId="1">#REF!</definedName>
    <definedName name="Un">#REF!</definedName>
    <definedName name="Unidades_c" localSheetId="50">#REF!</definedName>
    <definedName name="Unidades_c" localSheetId="1">#REF!</definedName>
    <definedName name="Unidades_c">#REF!</definedName>
    <definedName name="UNION" localSheetId="50">#REF!</definedName>
    <definedName name="UNION" localSheetId="1">#REF!</definedName>
    <definedName name="UNION">#REF!</definedName>
    <definedName name="UNION_DE_MECANICA_2" localSheetId="50">#REF!</definedName>
    <definedName name="UNION_DE_MECANICA_2" localSheetId="1">#REF!</definedName>
    <definedName name="UNION_DE_MECANICA_2">#REF!</definedName>
    <definedName name="UNION_DE_MECANICA_3" localSheetId="1">#REF!</definedName>
    <definedName name="UNION_DE_MECANICA_3">#REF!</definedName>
    <definedName name="UNION_DE_MECANICA_4" localSheetId="1">#REF!</definedName>
    <definedName name="UNION_DE_MECANICA_4">#REF!</definedName>
    <definedName name="UNION_DE_REPARACION_2__P.V.C" localSheetId="1">#REF!</definedName>
    <definedName name="UNION_DE_REPARACION_2__P.V.C">#REF!</definedName>
    <definedName name="UNION_DE_REPARACION_3" localSheetId="1">#REF!</definedName>
    <definedName name="UNION_DE_REPARACION_3">#REF!</definedName>
    <definedName name="UNION_DE_REPARACION_3__P.V.C" localSheetId="1">#REF!</definedName>
    <definedName name="UNION_DE_REPARACION_3__P.V.C">#REF!</definedName>
    <definedName name="UNION_DE_REPARACION_4" localSheetId="1">#REF!</definedName>
    <definedName name="UNION_DE_REPARACION_4">#REF!</definedName>
    <definedName name="UNION_P.V.C_1_2" localSheetId="1">#REF!</definedName>
    <definedName name="UNION_P.V.C_1_2">#REF!</definedName>
    <definedName name="Unit" localSheetId="1" hidden="1">#REF!</definedName>
    <definedName name="Unit" hidden="1">#REF!</definedName>
    <definedName name="unitarios" localSheetId="1">#REF!</definedName>
    <definedName name="unitarios">#REF!</definedName>
    <definedName name="Uñ" localSheetId="1">#REF!</definedName>
    <definedName name="Uñ">#REF!</definedName>
    <definedName name="Uo" localSheetId="1">#REF!</definedName>
    <definedName name="Uo">#REF!</definedName>
    <definedName name="UOUIV" localSheetId="50" hidden="1">{"TAB1",#N/A,TRUE,"GENERAL";"TAB2",#N/A,TRUE,"GENERAL";"TAB3",#N/A,TRUE,"GENERAL";"TAB4",#N/A,TRUE,"GENERAL";"TAB5",#N/A,TRUE,"GENERAL"}</definedName>
    <definedName name="UOUIV" localSheetId="1" hidden="1">{"TAB1",#N/A,TRUE,"GENERAL";"TAB2",#N/A,TRUE,"GENERAL";"TAB3",#N/A,TRUE,"GENERAL";"TAB4",#N/A,TRUE,"GENERAL";"TAB5",#N/A,TRUE,"GENERAL"}</definedName>
    <definedName name="UOUIV" localSheetId="73" hidden="1">{"TAB1",#N/A,TRUE,"GENERAL";"TAB2",#N/A,TRUE,"GENERAL";"TAB3",#N/A,TRUE,"GENERAL";"TAB4",#N/A,TRUE,"GENERAL";"TAB5",#N/A,TRUE,"GENERAL"}</definedName>
    <definedName name="UOUIV" hidden="1">{"TAB1",#N/A,TRUE,"GENERAL";"TAB2",#N/A,TRUE,"GENERAL";"TAB3",#N/A,TRUE,"GENERAL";"TAB4",#N/A,TRUE,"GENERAL";"TAB5",#N/A,TRUE,"GENERAL"}</definedName>
    <definedName name="Up" localSheetId="1">#REF!</definedName>
    <definedName name="Up">#REF!</definedName>
    <definedName name="Uq" localSheetId="1">#REF!</definedName>
    <definedName name="Uq">#REF!</definedName>
    <definedName name="Ur" localSheetId="1">#REF!</definedName>
    <definedName name="Ur">#REF!</definedName>
    <definedName name="uryur" localSheetId="50" hidden="1">{"TAB1",#N/A,TRUE,"GENERAL";"TAB2",#N/A,TRUE,"GENERAL";"TAB3",#N/A,TRUE,"GENERAL";"TAB4",#N/A,TRUE,"GENERAL";"TAB5",#N/A,TRUE,"GENERAL"}</definedName>
    <definedName name="uryur" localSheetId="1" hidden="1">{"TAB1",#N/A,TRUE,"GENERAL";"TAB2",#N/A,TRUE,"GENERAL";"TAB3",#N/A,TRUE,"GENERAL";"TAB4",#N/A,TRUE,"GENERAL";"TAB5",#N/A,TRUE,"GENERAL"}</definedName>
    <definedName name="uryur" localSheetId="73" hidden="1">{"TAB1",#N/A,TRUE,"GENERAL";"TAB2",#N/A,TRUE,"GENERAL";"TAB3",#N/A,TRUE,"GENERAL";"TAB4",#N/A,TRUE,"GENERAL";"TAB5",#N/A,TRUE,"GENERAL"}</definedName>
    <definedName name="uryur" hidden="1">{"TAB1",#N/A,TRUE,"GENERAL";"TAB2",#N/A,TRUE,"GENERAL";"TAB3",#N/A,TRUE,"GENERAL";"TAB4",#N/A,TRUE,"GENERAL";"TAB5",#N/A,TRUE,"GENERAL"}</definedName>
    <definedName name="Us" localSheetId="1">#REF!</definedName>
    <definedName name="Us">#REF!</definedName>
    <definedName name="ut" localSheetId="1">#REF!</definedName>
    <definedName name="ut">#REF!</definedName>
    <definedName name="UTYUYUU" localSheetId="50" hidden="1">{#N/A,#N/A,TRUE,"INGENIERIA";#N/A,#N/A,TRUE,"COMPRAS";#N/A,#N/A,TRUE,"DIRECCION";#N/A,#N/A,TRUE,"RESUMEN"}</definedName>
    <definedName name="UTYUYUU" localSheetId="1" hidden="1">{#N/A,#N/A,TRUE,"INGENIERIA";#N/A,#N/A,TRUE,"COMPRAS";#N/A,#N/A,TRUE,"DIRECCION";#N/A,#N/A,TRUE,"RESUMEN"}</definedName>
    <definedName name="UTYUYUU" hidden="1">{#N/A,#N/A,TRUE,"INGENIERIA";#N/A,#N/A,TRUE,"COMPRAS";#N/A,#N/A,TRUE,"DIRECCION";#N/A,#N/A,TRUE,"RESUMEN"}</definedName>
    <definedName name="uu" localSheetId="50" hidden="1">{"TAB1",#N/A,TRUE,"GENERAL";"TAB2",#N/A,TRUE,"GENERAL";"TAB3",#N/A,TRUE,"GENERAL";"TAB4",#N/A,TRUE,"GENERAL";"TAB5",#N/A,TRUE,"GENERAL"}</definedName>
    <definedName name="uu" localSheetId="1" hidden="1">{"TAB1",#N/A,TRUE,"GENERAL";"TAB2",#N/A,TRUE,"GENERAL";"TAB3",#N/A,TRUE,"GENERAL";"TAB4",#N/A,TRUE,"GENERAL";"TAB5",#N/A,TRUE,"GENERAL"}</definedName>
    <definedName name="uu" localSheetId="73" hidden="1">{"TAB1",#N/A,TRUE,"GENERAL";"TAB2",#N/A,TRUE,"GENERAL";"TAB3",#N/A,TRUE,"GENERAL";"TAB4",#N/A,TRUE,"GENERAL";"TAB5",#N/A,TRUE,"GENERAL"}</definedName>
    <definedName name="uu" hidden="1">{"TAB1",#N/A,TRUE,"GENERAL";"TAB2",#N/A,TRUE,"GENERAL";"TAB3",#N/A,TRUE,"GENERAL";"TAB4",#N/A,TRUE,"GENERAL";"TAB5",#N/A,TRUE,"GENERAL"}</definedName>
    <definedName name="uuu" localSheetId="50" hidden="1">{"TAB1",#N/A,TRUE,"GENERAL";"TAB2",#N/A,TRUE,"GENERAL";"TAB3",#N/A,TRUE,"GENERAL";"TAB4",#N/A,TRUE,"GENERAL";"TAB5",#N/A,TRUE,"GENERAL"}</definedName>
    <definedName name="uuu" localSheetId="1" hidden="1">{"TAB1",#N/A,TRUE,"GENERAL";"TAB2",#N/A,TRUE,"GENERAL";"TAB3",#N/A,TRUE,"GENERAL";"TAB4",#N/A,TRUE,"GENERAL";"TAB5",#N/A,TRUE,"GENERAL"}</definedName>
    <definedName name="uuu" localSheetId="73" hidden="1">{"TAB1",#N/A,TRUE,"GENERAL";"TAB2",#N/A,TRUE,"GENERAL";"TAB3",#N/A,TRUE,"GENERAL";"TAB4",#N/A,TRUE,"GENERAL";"TAB5",#N/A,TRUE,"GENERAL"}</definedName>
    <definedName name="uuu" hidden="1">{"TAB1",#N/A,TRUE,"GENERAL";"TAB2",#N/A,TRUE,"GENERAL";"TAB3",#N/A,TRUE,"GENERAL";"TAB4",#N/A,TRUE,"GENERAL";"TAB5",#N/A,TRUE,"GENERAL"}</definedName>
    <definedName name="UUUU" localSheetId="1">#REF!</definedName>
    <definedName name="UUUU">#REF!</definedName>
    <definedName name="uuuuo" localSheetId="50" hidden="1">{"TAB1",#N/A,TRUE,"GENERAL";"TAB2",#N/A,TRUE,"GENERAL";"TAB3",#N/A,TRUE,"GENERAL";"TAB4",#N/A,TRUE,"GENERAL";"TAB5",#N/A,TRUE,"GENERAL"}</definedName>
    <definedName name="uuuuo" localSheetId="1" hidden="1">{"TAB1",#N/A,TRUE,"GENERAL";"TAB2",#N/A,TRUE,"GENERAL";"TAB3",#N/A,TRUE,"GENERAL";"TAB4",#N/A,TRUE,"GENERAL";"TAB5",#N/A,TRUE,"GENERAL"}</definedName>
    <definedName name="uuuuo" localSheetId="73" hidden="1">{"TAB1",#N/A,TRUE,"GENERAL";"TAB2",#N/A,TRUE,"GENERAL";"TAB3",#N/A,TRUE,"GENERAL";"TAB4",#N/A,TRUE,"GENERAL";"TAB5",#N/A,TRUE,"GENERAL"}</definedName>
    <definedName name="uuuuo" hidden="1">{"TAB1",#N/A,TRUE,"GENERAL";"TAB2",#N/A,TRUE,"GENERAL";"TAB3",#N/A,TRUE,"GENERAL";"TAB4",#N/A,TRUE,"GENERAL";"TAB5",#N/A,TRUE,"GENERAL"}</definedName>
    <definedName name="uuuuuj" localSheetId="50" hidden="1">{"via1",#N/A,TRUE,"general";"via2",#N/A,TRUE,"general";"via3",#N/A,TRUE,"general"}</definedName>
    <definedName name="uuuuuj" localSheetId="1" hidden="1">{"via1",#N/A,TRUE,"general";"via2",#N/A,TRUE,"general";"via3",#N/A,TRUE,"general"}</definedName>
    <definedName name="uuuuuj" localSheetId="73" hidden="1">{"via1",#N/A,TRUE,"general";"via2",#N/A,TRUE,"general";"via3",#N/A,TRUE,"general"}</definedName>
    <definedName name="uuuuuj" hidden="1">{"via1",#N/A,TRUE,"general";"via2",#N/A,TRUE,"general";"via3",#N/A,TRUE,"general"}</definedName>
    <definedName name="uuuuurrrrrr" localSheetId="1">#REF!</definedName>
    <definedName name="uuuuurrrrrr">#REF!</definedName>
    <definedName name="Uv" localSheetId="1">#REF!</definedName>
    <definedName name="Uv">#REF!</definedName>
    <definedName name="Uw" localSheetId="1">#REF!</definedName>
    <definedName name="Uw">#REF!</definedName>
    <definedName name="uwkap" localSheetId="50" hidden="1">{"TAB1",#N/A,TRUE,"GENERAL";"TAB2",#N/A,TRUE,"GENERAL";"TAB3",#N/A,TRUE,"GENERAL";"TAB4",#N/A,TRUE,"GENERAL";"TAB5",#N/A,TRUE,"GENERAL"}</definedName>
    <definedName name="uwkap" localSheetId="1" hidden="1">{"TAB1",#N/A,TRUE,"GENERAL";"TAB2",#N/A,TRUE,"GENERAL";"TAB3",#N/A,TRUE,"GENERAL";"TAB4",#N/A,TRUE,"GENERAL";"TAB5",#N/A,TRUE,"GENERAL"}</definedName>
    <definedName name="uwkap" localSheetId="73" hidden="1">{"TAB1",#N/A,TRUE,"GENERAL";"TAB2",#N/A,TRUE,"GENERAL";"TAB3",#N/A,TRUE,"GENERAL";"TAB4",#N/A,TRUE,"GENERAL";"TAB5",#N/A,TRUE,"GENERAL"}</definedName>
    <definedName name="uwkap" hidden="1">{"TAB1",#N/A,TRUE,"GENERAL";"TAB2",#N/A,TRUE,"GENERAL";"TAB3",#N/A,TRUE,"GENERAL";"TAB4",#N/A,TRUE,"GENERAL";"TAB5",#N/A,TRUE,"GENERAL"}</definedName>
    <definedName name="uxd" localSheetId="1">#REF!</definedName>
    <definedName name="uxd">#REF!</definedName>
    <definedName name="uy" localSheetId="1">#REF!</definedName>
    <definedName name="uy">#REF!</definedName>
    <definedName name="uyiyiy" localSheetId="50"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73" hidden="1">{"TAB1",#N/A,TRUE,"GENERAL";"TAB2",#N/A,TRUE,"GENERAL";"TAB3",#N/A,TRUE,"GENERAL";"TAB4",#N/A,TRUE,"GENERAL";"TAB5",#N/A,TRUE,"GENERAL"}</definedName>
    <definedName name="uyiyiy" hidden="1">{"TAB1",#N/A,TRUE,"GENERAL";"TAB2",#N/A,TRUE,"GENERAL";"TAB3",#N/A,TRUE,"GENERAL";"TAB4",#N/A,TRUE,"GENERAL";"TAB5",#N/A,TRUE,"GENERAL"}</definedName>
    <definedName name="uytu" localSheetId="50" hidden="1">{"TAB1",#N/A,TRUE,"GENERAL";"TAB2",#N/A,TRUE,"GENERAL";"TAB3",#N/A,TRUE,"GENERAL";"TAB4",#N/A,TRUE,"GENERAL";"TAB5",#N/A,TRUE,"GENERAL"}</definedName>
    <definedName name="uytu" localSheetId="1" hidden="1">{"TAB1",#N/A,TRUE,"GENERAL";"TAB2",#N/A,TRUE,"GENERAL";"TAB3",#N/A,TRUE,"GENERAL";"TAB4",#N/A,TRUE,"GENERAL";"TAB5",#N/A,TRUE,"GENERAL"}</definedName>
    <definedName name="uytu" localSheetId="73" hidden="1">{"TAB1",#N/A,TRUE,"GENERAL";"TAB2",#N/A,TRUE,"GENERAL";"TAB3",#N/A,TRUE,"GENERAL";"TAB4",#N/A,TRUE,"GENERAL";"TAB5",#N/A,TRUE,"GENERAL"}</definedName>
    <definedName name="uytu" hidden="1">{"TAB1",#N/A,TRUE,"GENERAL";"TAB2",#N/A,TRUE,"GENERAL";"TAB3",#N/A,TRUE,"GENERAL";"TAB4",#N/A,TRUE,"GENERAL";"TAB5",#N/A,TRUE,"GENERAL"}</definedName>
    <definedName name="uyur" localSheetId="50" hidden="1">{"via1",#N/A,TRUE,"general";"via2",#N/A,TRUE,"general";"via3",#N/A,TRUE,"general"}</definedName>
    <definedName name="uyur" localSheetId="1" hidden="1">{"via1",#N/A,TRUE,"general";"via2",#N/A,TRUE,"general";"via3",#N/A,TRUE,"general"}</definedName>
    <definedName name="uyur" localSheetId="73" hidden="1">{"via1",#N/A,TRUE,"general";"via2",#N/A,TRUE,"general";"via3",#N/A,TRUE,"general"}</definedName>
    <definedName name="uyur" hidden="1">{"via1",#N/A,TRUE,"general";"via2",#N/A,TRUE,"general";"via3",#N/A,TRUE,"general"}</definedName>
    <definedName name="Uz" localSheetId="1">#REF!</definedName>
    <definedName name="Uz">#REF!</definedName>
    <definedName name="v" localSheetId="71" hidden="1">{"TAB1",#N/A,TRUE,"GENERAL";"TAB2",#N/A,TRUE,"GENERAL";"TAB3",#N/A,TRUE,"GENERAL";"TAB4",#N/A,TRUE,"GENERAL";"TAB5",#N/A,TRUE,"GENERAL"}</definedName>
    <definedName name="v" localSheetId="73" hidden="1">{"TAB1",#N/A,TRUE,"GENERAL";"TAB2",#N/A,TRUE,"GENERAL";"TAB3",#N/A,TRUE,"GENERAL";"TAB4",#N/A,TRUE,"GENERAL";"TAB5",#N/A,TRUE,"GENERAL"}</definedName>
    <definedName name="Va" localSheetId="50">#REF!</definedName>
    <definedName name="Va" localSheetId="1">#REF!</definedName>
    <definedName name="Va">#REF!</definedName>
    <definedName name="VAL_100PE_S1" localSheetId="50">#REF!</definedName>
    <definedName name="VAL_100PE_S1" localSheetId="1">#REF!</definedName>
    <definedName name="VAL_100PE_S1">#REF!</definedName>
    <definedName name="VAL_100PE_S2" localSheetId="50">#REF!</definedName>
    <definedName name="VAL_100PE_S2" localSheetId="1">#REF!</definedName>
    <definedName name="VAL_100PE_S2">#REF!</definedName>
    <definedName name="VAL_100PE_S3" localSheetId="1">#REF!</definedName>
    <definedName name="VAL_100PE_S3">#REF!</definedName>
    <definedName name="VAL_100PE_S4" localSheetId="1">#REF!</definedName>
    <definedName name="VAL_100PE_S4">#REF!</definedName>
    <definedName name="VAL_100PE_S5" localSheetId="1">#REF!</definedName>
    <definedName name="VAL_100PE_S5">#REF!</definedName>
    <definedName name="VAL_100PE_S6" localSheetId="1">#REF!</definedName>
    <definedName name="VAL_100PE_S6">#REF!</definedName>
    <definedName name="VAL150PE_S1" localSheetId="1">#REF!</definedName>
    <definedName name="VAL150PE_S1">#REF!</definedName>
    <definedName name="VAL150PE_S2" localSheetId="1">#REF!</definedName>
    <definedName name="VAL150PE_S2">#REF!</definedName>
    <definedName name="VAL150PE_S3" localSheetId="1">#REF!</definedName>
    <definedName name="VAL150PE_S3">#REF!</definedName>
    <definedName name="VAL150PE_S4" localSheetId="1">#REF!</definedName>
    <definedName name="VAL150PE_S4">#REF!</definedName>
    <definedName name="VAL150PE_S5" localSheetId="1">#REF!</definedName>
    <definedName name="VAL150PE_S5">#REF!</definedName>
    <definedName name="VAL150PE_S6" localSheetId="1">#REF!</definedName>
    <definedName name="VAL150PE_S6">#REF!</definedName>
    <definedName name="VAL200PE_S1" localSheetId="1">#REF!</definedName>
    <definedName name="VAL200PE_S1">#REF!</definedName>
    <definedName name="VAL200PE_S2" localSheetId="1">#REF!</definedName>
    <definedName name="VAL200PE_S2">#REF!</definedName>
    <definedName name="VAL200PE_S3" localSheetId="1">#REF!</definedName>
    <definedName name="VAL200PE_S3">#REF!</definedName>
    <definedName name="VAL200PE_S4" localSheetId="1">#REF!</definedName>
    <definedName name="VAL200PE_S4">#REF!</definedName>
    <definedName name="VAL200PE_S5" localSheetId="1">#REF!</definedName>
    <definedName name="VAL200PE_S5">#REF!</definedName>
    <definedName name="VAL200PE_S6" localSheetId="1">#REF!</definedName>
    <definedName name="VAL200PE_S6">#REF!</definedName>
    <definedName name="VAL250PE_S1" localSheetId="1">#REF!</definedName>
    <definedName name="VAL250PE_S1">#REF!</definedName>
    <definedName name="VAL250PE_S2" localSheetId="1">#REF!</definedName>
    <definedName name="VAL250PE_S2">#REF!</definedName>
    <definedName name="VAL250PE_S3" localSheetId="1">#REF!</definedName>
    <definedName name="VAL250PE_S3">#REF!</definedName>
    <definedName name="VAL250PE_S4" localSheetId="1">#REF!</definedName>
    <definedName name="VAL250PE_S4">#REF!</definedName>
    <definedName name="VAL250PE_S5" localSheetId="1">#REF!</definedName>
    <definedName name="VAL250PE_S5">#REF!</definedName>
    <definedName name="VAL250PE_S6" localSheetId="1">#REF!</definedName>
    <definedName name="VAL250PE_S6">#REF!</definedName>
    <definedName name="VAL300HD_S1" localSheetId="1">#REF!</definedName>
    <definedName name="VAL300HD_S1">#REF!</definedName>
    <definedName name="VAL300HD_S2" localSheetId="1">#REF!</definedName>
    <definedName name="VAL300HD_S2">#REF!</definedName>
    <definedName name="VAL300HD_S3" localSheetId="1">#REF!</definedName>
    <definedName name="VAL300HD_S3">#REF!</definedName>
    <definedName name="VAL300HD_S4" localSheetId="1">#REF!</definedName>
    <definedName name="VAL300HD_S4">#REF!</definedName>
    <definedName name="VAL300HD_S5" localSheetId="1">#REF!</definedName>
    <definedName name="VAL300HD_S5">#REF!</definedName>
    <definedName name="VAL300HD_S6" localSheetId="1">#REF!</definedName>
    <definedName name="VAL300HD_S6">#REF!</definedName>
    <definedName name="VAL300PVC_S1" localSheetId="1">#REF!</definedName>
    <definedName name="VAL300PVC_S1">#REF!</definedName>
    <definedName name="VAL300PVC_S2" localSheetId="1">#REF!</definedName>
    <definedName name="VAL300PVC_S2">#REF!</definedName>
    <definedName name="VAL300PVC_S3" localSheetId="1">#REF!</definedName>
    <definedName name="VAL300PVC_S3">#REF!</definedName>
    <definedName name="VAL300PVC_S4" localSheetId="1">#REF!</definedName>
    <definedName name="VAL300PVC_S4">#REF!</definedName>
    <definedName name="VAL300PVC_S5" localSheetId="1">#REF!</definedName>
    <definedName name="VAL300PVC_S5">#REF!</definedName>
    <definedName name="VAL300PVC_S6" localSheetId="1">#REF!</definedName>
    <definedName name="VAL300PVC_S6">#REF!</definedName>
    <definedName name="VAL80PE_S1" localSheetId="1">#REF!</definedName>
    <definedName name="VAL80PE_S1">#REF!</definedName>
    <definedName name="VAL80PE_S2" localSheetId="1">#REF!</definedName>
    <definedName name="VAL80PE_S2">#REF!</definedName>
    <definedName name="VAL80PE_S3" localSheetId="1">#REF!</definedName>
    <definedName name="VAL80PE_S3">#REF!</definedName>
    <definedName name="VAL80PE_S4" localSheetId="1">#REF!</definedName>
    <definedName name="VAL80PE_S4">#REF!</definedName>
    <definedName name="VAL80PE_S5" localSheetId="1">#REF!</definedName>
    <definedName name="VAL80PE_S5">#REF!</definedName>
    <definedName name="VAL80PE_S6" localSheetId="1">#REF!</definedName>
    <definedName name="VAL80PE_S6">#REF!</definedName>
    <definedName name="VALDES" localSheetId="1">#REF!</definedName>
    <definedName name="VALDES">#REF!</definedName>
    <definedName name="VALLA_2_3_MTS_CON_3_CERCHAS" localSheetId="1">#REF!</definedName>
    <definedName name="VALLA_2_3_MTS_CON_3_CERCHAS">#REF!</definedName>
    <definedName name="Valor_Total" localSheetId="1">#REF!</definedName>
    <definedName name="Valor_Total">#REF!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ues_Entered" localSheetId="50">IF(Loan_Amount*Interest_Rate*Loan_Years*Loan_Start&gt;0,1,0)</definedName>
    <definedName name="Values_Entered" localSheetId="1">IF('AU + PGIO'!Loan_Amount*'AU + PGIO'!Interest_Rate*'AU + PGIO'!Loan_Years*'AU + PGIO'!Loan_Start&gt;0,1,0)</definedName>
    <definedName name="Values_Entered">IF(Loan_Amount*Interest_Rate*Loan_Years*Loan_Start&gt;0,1,0)</definedName>
    <definedName name="VALVULA_DE_COMPUERTA_2__SELLO_ELASTICO_Y_VNA_CON_CUADRANTE" localSheetId="50">#REF!</definedName>
    <definedName name="VALVULA_DE_COMPUERTA_2__SELLO_ELASTICO_Y_VNA_CON_CUADRANTE" localSheetId="1">#REF!</definedName>
    <definedName name="VALVULA_DE_COMPUERTA_2__SELLO_ELASTICO_Y_VNA_CON_CUADRANTE">#REF!</definedName>
    <definedName name="VALVULA_DE_COMPUERTA_3__BxB_CON_RUEDA_MECANICA" localSheetId="50">#REF!</definedName>
    <definedName name="VALVULA_DE_COMPUERTA_3__BxB_CON_RUEDA_MECANICA" localSheetId="1">#REF!</definedName>
    <definedName name="VALVULA_DE_COMPUERTA_3__BxB_CON_RUEDA_MECANICA">#REF!</definedName>
    <definedName name="VALVULA_DE_COMPUERTA_3__SELLO_ELASTICO_Y_VNA_CON_CUADRANTE" localSheetId="50">#REF!</definedName>
    <definedName name="VALVULA_DE_COMPUERTA_3__SELLO_ELASTICO_Y_VNA_CON_CUADRANTE" localSheetId="1">#REF!</definedName>
    <definedName name="VALVULA_DE_COMPUERTA_3__SELLO_ELASTICO_Y_VNA_CON_CUADRANTE">#REF!</definedName>
    <definedName name="VALVULA_DE_COMPUERTA_4__SELLO_ELASTICO_Y_VNA_CON_CUADRANTE" localSheetId="1">#REF!</definedName>
    <definedName name="VALVULA_DE_COMPUERTA_4__SELLO_ELASTICO_Y_VNA_CON_CUADRANTE">#REF!</definedName>
    <definedName name="VALVULA_DE_NO_RETORNO_CHEQUE__3__PARA_TRABAJAR_HORIZONTALMENTE_B_x_B" localSheetId="1">#REF!</definedName>
    <definedName name="VALVULA_DE_NO_RETORNO_CHEQUE__3__PARA_TRABAJAR_HORIZONTALMENTE_B_x_B">#REF!</definedName>
    <definedName name="VALVULA_DE_NO_RETORNO_CHEQUE__4__PARA_TRABAJAR_HORIZONTALMENTE_B_x_B" localSheetId="1">#REF!</definedName>
    <definedName name="VALVULA_DE_NO_RETORNO_CHEQUE__4__PARA_TRABAJAR_HORIZONTALMENTE_B_x_B">#REF!</definedName>
    <definedName name="Varilla_cuadrada_1_2" localSheetId="1">#REF!</definedName>
    <definedName name="Varilla_cuadrada_1_2">#REF!</definedName>
    <definedName name="Varios" localSheetId="1">#REF!</definedName>
    <definedName name="Varios">#REF!</definedName>
    <definedName name="Varios2" localSheetId="1">#REF!</definedName>
    <definedName name="Varios2">#REF!</definedName>
    <definedName name="Vb" localSheetId="1">#REF!</definedName>
    <definedName name="Vb">#REF!</definedName>
    <definedName name="vbvbvbvb" localSheetId="50"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73"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#REF!</definedName>
    <definedName name="vck" localSheetId="1">#REF!</definedName>
    <definedName name="vck">#REF!</definedName>
    <definedName name="VCOMP" localSheetId="1">#REF!</definedName>
    <definedName name="VCOMP">#REF!</definedName>
    <definedName name="VCOMPDI" localSheetId="1">#REF!</definedName>
    <definedName name="VCOMPDI">#REF!</definedName>
    <definedName name="VCONC" localSheetId="1">#REF!</definedName>
    <definedName name="VCONC">#REF!</definedName>
    <definedName name="vcvvc" localSheetId="5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1">#REF!</definedName>
    <definedName name="Vd">#REF!</definedName>
    <definedName name="vdfvuio" localSheetId="50" hidden="1">{"via1",#N/A,TRUE,"general";"via2",#N/A,TRUE,"general";"via3",#N/A,TRUE,"general"}</definedName>
    <definedName name="vdfvuio" localSheetId="1" hidden="1">{"via1",#N/A,TRUE,"general";"via2",#N/A,TRUE,"general";"via3",#N/A,TRUE,"general"}</definedName>
    <definedName name="vdfvuio" localSheetId="73" hidden="1">{"via1",#N/A,TRUE,"general";"via2",#N/A,TRUE,"general";"via3",#N/A,TRUE,"general"}</definedName>
    <definedName name="vdfvuio" hidden="1">{"via1",#N/A,TRUE,"general";"via2",#N/A,TRUE,"general";"via3",#N/A,TRUE,"general"}</definedName>
    <definedName name="vdsvnj" localSheetId="50" hidden="1">{"via1",#N/A,TRUE,"general";"via2",#N/A,TRUE,"general";"via3",#N/A,TRUE,"general"}</definedName>
    <definedName name="vdsvnj" localSheetId="1" hidden="1">{"via1",#N/A,TRUE,"general";"via2",#N/A,TRUE,"general";"via3",#N/A,TRUE,"general"}</definedName>
    <definedName name="vdsvnj" localSheetId="73" hidden="1">{"via1",#N/A,TRUE,"general";"via2",#N/A,TRUE,"general";"via3",#N/A,TRUE,"general"}</definedName>
    <definedName name="vdsvnj" hidden="1">{"via1",#N/A,TRUE,"general";"via2",#N/A,TRUE,"general";"via3",#N/A,TRUE,"general"}</definedName>
    <definedName name="Ve" localSheetId="1">#REF!</definedName>
    <definedName name="Ve">#REF!</definedName>
    <definedName name="VENT100_S1" localSheetId="1">#REF!</definedName>
    <definedName name="VENT100_S1">#REF!</definedName>
    <definedName name="VENT100_S2" localSheetId="1">#REF!</definedName>
    <definedName name="VENT100_S2">#REF!</definedName>
    <definedName name="VENT100_S3" localSheetId="1">#REF!</definedName>
    <definedName name="VENT100_S3">#REF!</definedName>
    <definedName name="VENT100_S4" localSheetId="1">#REF!</definedName>
    <definedName name="VENT100_S4">#REF!</definedName>
    <definedName name="VENT100_S5" localSheetId="1">#REF!</definedName>
    <definedName name="VENT100_S5">#REF!</definedName>
    <definedName name="VENT100_S6" localSheetId="1">#REF!</definedName>
    <definedName name="VENT100_S6">#REF!</definedName>
    <definedName name="VENTANATOT" localSheetId="1">#REF!</definedName>
    <definedName name="VENTANATOT">#REF!</definedName>
    <definedName name="VENTOSAS_PARA_INSTALACION_EN_TUBERIA_DE_3" localSheetId="1">#REF!</definedName>
    <definedName name="VENTOSAS_PARA_INSTALACION_EN_TUBERIA_DE_3">#REF!</definedName>
    <definedName name="Vf" localSheetId="1">#REF!</definedName>
    <definedName name="Vf">#REF!</definedName>
    <definedName name="vfbgnhyt" localSheetId="50" hidden="1">{"via1",#N/A,TRUE,"general";"via2",#N/A,TRUE,"general";"via3",#N/A,TRUE,"general"}</definedName>
    <definedName name="vfbgnhyt" localSheetId="1" hidden="1">{"via1",#N/A,TRUE,"general";"via2",#N/A,TRUE,"general";"via3",#N/A,TRUE,"general"}</definedName>
    <definedName name="vfbgnhyt" localSheetId="73" hidden="1">{"via1",#N/A,TRUE,"general";"via2",#N/A,TRUE,"general";"via3",#N/A,TRUE,"general"}</definedName>
    <definedName name="vfbgnhyt" hidden="1">{"via1",#N/A,TRUE,"general";"via2",#N/A,TRUE,"general";"via3",#N/A,TRUE,"general"}</definedName>
    <definedName name="vfn" localSheetId="1">#REF!</definedName>
    <definedName name="vfn">#REF!</definedName>
    <definedName name="vfvdv" localSheetId="50" hidden="1">{"TAB1",#N/A,TRUE,"GENERAL";"TAB2",#N/A,TRUE,"GENERAL";"TAB3",#N/A,TRUE,"GENERAL";"TAB4",#N/A,TRUE,"GENERAL";"TAB5",#N/A,TRUE,"GENERAL"}</definedName>
    <definedName name="vfvdv" localSheetId="1" hidden="1">{"TAB1",#N/A,TRUE,"GENERAL";"TAB2",#N/A,TRUE,"GENERAL";"TAB3",#N/A,TRUE,"GENERAL";"TAB4",#N/A,TRUE,"GENERAL";"TAB5",#N/A,TRUE,"GENERAL"}</definedName>
    <definedName name="vfvdv" localSheetId="73" hidden="1">{"TAB1",#N/A,TRUE,"GENERAL";"TAB2",#N/A,TRUE,"GENERAL";"TAB3",#N/A,TRUE,"GENERAL";"TAB4",#N/A,TRUE,"GENERAL";"TAB5",#N/A,TRUE,"GENERAL"}</definedName>
    <definedName name="vfvdv" hidden="1">{"TAB1",#N/A,TRUE,"GENERAL";"TAB2",#N/A,TRUE,"GENERAL";"TAB3",#N/A,TRUE,"GENERAL";"TAB4",#N/A,TRUE,"GENERAL";"TAB5",#N/A,TRUE,"GENERAL"}</definedName>
    <definedName name="vfvf" localSheetId="50" hidden="1">{"TAB1",#N/A,TRUE,"GENERAL";"TAB2",#N/A,TRUE,"GENERAL";"TAB3",#N/A,TRUE,"GENERAL";"TAB4",#N/A,TRUE,"GENERAL";"TAB5",#N/A,TRUE,"GENERAL"}</definedName>
    <definedName name="vfvf" localSheetId="1" hidden="1">{"TAB1",#N/A,TRUE,"GENERAL";"TAB2",#N/A,TRUE,"GENERAL";"TAB3",#N/A,TRUE,"GENERAL";"TAB4",#N/A,TRUE,"GENERAL";"TAB5",#N/A,TRUE,"GENERAL"}</definedName>
    <definedName name="vfvf" localSheetId="73" hidden="1">{"TAB1",#N/A,TRUE,"GENERAL";"TAB2",#N/A,TRUE,"GENERAL";"TAB3",#N/A,TRUE,"GENERAL";"TAB4",#N/A,TRUE,"GENERAL";"TAB5",#N/A,TRUE,"GENERAL"}</definedName>
    <definedName name="vfvf" hidden="1">{"TAB1",#N/A,TRUE,"GENERAL";"TAB2",#N/A,TRUE,"GENERAL";"TAB3",#N/A,TRUE,"GENERAL";"TAB4",#N/A,TRUE,"GENERAL";"TAB5",#N/A,TRUE,"GENERAL"}</definedName>
    <definedName name="Vg" localSheetId="1">#REF!</definedName>
    <definedName name="Vg">#REF!</definedName>
    <definedName name="Vh" localSheetId="1">#REF!</definedName>
    <definedName name="Vh">#REF!</definedName>
    <definedName name="via" localSheetId="50" hidden="1">{"via1",#N/A,TRUE,"general";"via2",#N/A,TRUE,"general";"via3",#N/A,TRUE,"general"}</definedName>
    <definedName name="via" localSheetId="1" hidden="1">{"via1",#N/A,TRUE,"general";"via2",#N/A,TRUE,"general";"via3",#N/A,TRUE,"general"}</definedName>
    <definedName name="via" localSheetId="73" hidden="1">{"via1",#N/A,TRUE,"general";"via2",#N/A,TRUE,"general";"via3",#N/A,TRUE,"general"}</definedName>
    <definedName name="via" hidden="1">{"via1",#N/A,TRUE,"general";"via2",#N/A,TRUE,"general";"via3",#N/A,TRUE,"general"}</definedName>
    <definedName name="VIBRA" localSheetId="50">#REF!</definedName>
    <definedName name="VIBRA" localSheetId="1">#REF!</definedName>
    <definedName name="VIBRA">#REF!</definedName>
    <definedName name="VIBRADOR" localSheetId="50">#REF!</definedName>
    <definedName name="VIBRADOR" localSheetId="1">#REF!</definedName>
    <definedName name="VIBRADOR">#REF!</definedName>
    <definedName name="VIBRADOR_DE_C" localSheetId="50">#REF!</definedName>
    <definedName name="VIBRADOR_DE_C" localSheetId="1">#REF!</definedName>
    <definedName name="VIBRADOR_DE_C">#REF!</definedName>
    <definedName name="Vibrocompactor" localSheetId="1">#REF!</definedName>
    <definedName name="Vibrocompactor">#REF!</definedName>
    <definedName name="VIDRIO4" localSheetId="1">#REF!</definedName>
    <definedName name="VIDRIO4">#REF!</definedName>
    <definedName name="VIGACI" localSheetId="1">#REF!</definedName>
    <definedName name="VIGACI">#REF!</definedName>
    <definedName name="VIGASUPERIOR" localSheetId="1">#REF!</definedName>
    <definedName name="VIGASUPERIOR">#REF!</definedName>
    <definedName name="VIGAT30X30" localSheetId="1">#REF!</definedName>
    <definedName name="VIGAT30X30">#REF!</definedName>
    <definedName name="VIGAT45X30" localSheetId="1">#REF!</definedName>
    <definedName name="VIGAT45X30">#REF!</definedName>
    <definedName name="VINILO" localSheetId="1">#REF!</definedName>
    <definedName name="VINILO">#REF!</definedName>
    <definedName name="VINILOTOT" localSheetId="1">#REF!</definedName>
    <definedName name="VINILOTOT">#REF!</definedName>
    <definedName name="vk" localSheetId="50" hidden="1">{"via1",#N/A,TRUE,"general";"via2",#N/A,TRUE,"general";"via3",#N/A,TRUE,"general"}</definedName>
    <definedName name="vk" localSheetId="1" hidden="1">{"via1",#N/A,TRUE,"general";"via2",#N/A,TRUE,"general";"via3",#N/A,TRUE,"general"}</definedName>
    <definedName name="vk" localSheetId="73" hidden="1">{"via1",#N/A,TRUE,"general";"via2",#N/A,TRUE,"general";"via3",#N/A,TRUE,"general"}</definedName>
    <definedName name="vk" hidden="1">{"via1",#N/A,TRUE,"general";"via2",#N/A,TRUE,"general";"via3",#N/A,TRUE,"general"}</definedName>
    <definedName name="vm" localSheetId="1">#REF!</definedName>
    <definedName name="vm">#REF!</definedName>
    <definedName name="vnbvxb" localSheetId="50" hidden="1">{"via1",#N/A,TRUE,"general";"via2",#N/A,TRUE,"general";"via3",#N/A,TRUE,"general"}</definedName>
    <definedName name="vnbvxb" localSheetId="1" hidden="1">{"via1",#N/A,TRUE,"general";"via2",#N/A,TRUE,"general";"via3",#N/A,TRUE,"general"}</definedName>
    <definedName name="vnbvxb" localSheetId="73" hidden="1">{"via1",#N/A,TRUE,"general";"via2",#N/A,TRUE,"general";"via3",#N/A,TRUE,"general"}</definedName>
    <definedName name="vnbvxb" hidden="1">{"via1",#N/A,TRUE,"general";"via2",#N/A,TRUE,"general";"via3",#N/A,TRUE,"general"}</definedName>
    <definedName name="VNVBN" localSheetId="50" hidden="1">{"TAB1",#N/A,TRUE,"GENERAL";"TAB2",#N/A,TRUE,"GENERAL";"TAB3",#N/A,TRUE,"GENERAL";"TAB4",#N/A,TRUE,"GENERAL";"TAB5",#N/A,TRUE,"GENERAL"}</definedName>
    <definedName name="VNVBN" localSheetId="1" hidden="1">{"TAB1",#N/A,TRUE,"GENERAL";"TAB2",#N/A,TRUE,"GENERAL";"TAB3",#N/A,TRUE,"GENERAL";"TAB4",#N/A,TRUE,"GENERAL";"TAB5",#N/A,TRUE,"GENERAL"}</definedName>
    <definedName name="VNVBN" localSheetId="73" hidden="1">{"TAB1",#N/A,TRUE,"GENERAL";"TAB2",#N/A,TRUE,"GENERAL";"TAB3",#N/A,TRUE,"GENERAL";"TAB4",#N/A,TRUE,"GENERAL";"TAB5",#N/A,TRUE,"GENERAL"}</definedName>
    <definedName name="VNVBN" hidden="1">{"TAB1",#N/A,TRUE,"GENERAL";"TAB2",#N/A,TRUE,"GENERAL";"TAB3",#N/A,TRUE,"GENERAL";"TAB4",#N/A,TRUE,"GENERAL";"TAB5",#N/A,TRUE,"GENERAL"}</definedName>
    <definedName name="VOLQ" localSheetId="1">#REF!</definedName>
    <definedName name="VOLQ">#REF!</definedName>
    <definedName name="VOLQ6" localSheetId="1">#REF!</definedName>
    <definedName name="VOLQ6">#REF!</definedName>
    <definedName name="volqueta" localSheetId="1">#REF!</definedName>
    <definedName name="volqueta">#REF!</definedName>
    <definedName name="VolTanqu" localSheetId="1">#REF!</definedName>
    <definedName name="VolTanqu">#REF!</definedName>
    <definedName name="VRT" localSheetId="1">#REF!</definedName>
    <definedName name="VRT">#REF!</definedName>
    <definedName name="VRTT" localSheetId="1">#REF!</definedName>
    <definedName name="VRTT">#REF!</definedName>
    <definedName name="VRTTL" localSheetId="1">#REF!</definedName>
    <definedName name="VRTTL">#REF!</definedName>
    <definedName name="VRTTLPPTO" localSheetId="1">#REF!</definedName>
    <definedName name="VRTTLPPTO">#REF!</definedName>
    <definedName name="vsdfj" localSheetId="50" hidden="1">{"via1",#N/A,TRUE,"general";"via2",#N/A,TRUE,"general";"via3",#N/A,TRUE,"general"}</definedName>
    <definedName name="vsdfj" localSheetId="1" hidden="1">{"via1",#N/A,TRUE,"general";"via2",#N/A,TRUE,"general";"via3",#N/A,TRUE,"general"}</definedName>
    <definedName name="vsdfj" localSheetId="73" hidden="1">{"via1",#N/A,TRUE,"general";"via2",#N/A,TRUE,"general";"via3",#N/A,TRUE,"general"}</definedName>
    <definedName name="vsdfj" hidden="1">{"via1",#N/A,TRUE,"general";"via2",#N/A,TRUE,"general";"via3",#N/A,TRUE,"general"}</definedName>
    <definedName name="vt" localSheetId="50" hidden="1">{"via1",#N/A,TRUE,"general";"via2",#N/A,TRUE,"general";"via3",#N/A,TRUE,"general"}</definedName>
    <definedName name="vt" localSheetId="1" hidden="1">{"via1",#N/A,TRUE,"general";"via2",#N/A,TRUE,"general";"via3",#N/A,TRUE,"general"}</definedName>
    <definedName name="vt" localSheetId="73" hidden="1">{"via1",#N/A,TRUE,"general";"via2",#N/A,TRUE,"general";"via3",#N/A,TRUE,"general"}</definedName>
    <definedName name="vt" hidden="1">{"via1",#N/A,TRUE,"general";"via2",#N/A,TRUE,"general";"via3",#N/A,TRUE,"general"}</definedName>
    <definedName name="vv" localSheetId="1">#REF!</definedName>
    <definedName name="vv">#REF!</definedName>
    <definedName name="vvcxv" localSheetId="50" hidden="1">{"TAB1",#N/A,TRUE,"GENERAL";"TAB2",#N/A,TRUE,"GENERAL";"TAB3",#N/A,TRUE,"GENERAL";"TAB4",#N/A,TRUE,"GENERAL";"TAB5",#N/A,TRUE,"GENERAL"}</definedName>
    <definedName name="vvcxv" localSheetId="1" hidden="1">{"TAB1",#N/A,TRUE,"GENERAL";"TAB2",#N/A,TRUE,"GENERAL";"TAB3",#N/A,TRUE,"GENERAL";"TAB4",#N/A,TRUE,"GENERAL";"TAB5",#N/A,TRUE,"GENERAL"}</definedName>
    <definedName name="vvcxv" localSheetId="73" hidden="1">{"TAB1",#N/A,TRUE,"GENERAL";"TAB2",#N/A,TRUE,"GENERAL";"TAB3",#N/A,TRUE,"GENERAL";"TAB4",#N/A,TRUE,"GENERAL";"TAB5",#N/A,TRUE,"GENERAL"}</definedName>
    <definedName name="vvcxv" hidden="1">{"TAB1",#N/A,TRUE,"GENERAL";"TAB2",#N/A,TRUE,"GENERAL";"TAB3",#N/A,TRUE,"GENERAL";"TAB4",#N/A,TRUE,"GENERAL";"TAB5",#N/A,TRUE,"GENERAL"}</definedName>
    <definedName name="VVV" localSheetId="1">#REF!</definedName>
    <definedName name="VVV">#REF!</definedName>
    <definedName name="vvvvt" localSheetId="50" hidden="1">{"via1",#N/A,TRUE,"general";"via2",#N/A,TRUE,"general";"via3",#N/A,TRUE,"general"}</definedName>
    <definedName name="vvvvt" localSheetId="1" hidden="1">{"via1",#N/A,TRUE,"general";"via2",#N/A,TRUE,"general";"via3",#N/A,TRUE,"general"}</definedName>
    <definedName name="vvvvt" localSheetId="73" hidden="1">{"via1",#N/A,TRUE,"general";"via2",#N/A,TRUE,"general";"via3",#N/A,TRUE,"general"}</definedName>
    <definedName name="vvvvt" hidden="1">{"via1",#N/A,TRUE,"general";"via2",#N/A,TRUE,"general";"via3",#N/A,TRUE,"general"}</definedName>
    <definedName name="vvvvvvf" localSheetId="50" hidden="1">{"via1",#N/A,TRUE,"general";"via2",#N/A,TRUE,"general";"via3",#N/A,TRUE,"general"}</definedName>
    <definedName name="vvvvvvf" localSheetId="1" hidden="1">{"via1",#N/A,TRUE,"general";"via2",#N/A,TRUE,"general";"via3",#N/A,TRUE,"general"}</definedName>
    <definedName name="vvvvvvf" localSheetId="73" hidden="1">{"via1",#N/A,TRUE,"general";"via2",#N/A,TRUE,"general";"via3",#N/A,TRUE,"general"}</definedName>
    <definedName name="vvvvvvf" hidden="1">{"via1",#N/A,TRUE,"general";"via2",#N/A,TRUE,"general";"via3",#N/A,TRUE,"general"}</definedName>
    <definedName name="vy" localSheetId="50" hidden="1">{"TAB1",#N/A,TRUE,"GENERAL";"TAB2",#N/A,TRUE,"GENERAL";"TAB3",#N/A,TRUE,"GENERAL";"TAB4",#N/A,TRUE,"GENERAL";"TAB5",#N/A,TRUE,"GENERAL"}</definedName>
    <definedName name="vy" localSheetId="1" hidden="1">{"TAB1",#N/A,TRUE,"GENERAL";"TAB2",#N/A,TRUE,"GENERAL";"TAB3",#N/A,TRUE,"GENERAL";"TAB4",#N/A,TRUE,"GENERAL";"TAB5",#N/A,TRUE,"GENERAL"}</definedName>
    <definedName name="vy" localSheetId="73" hidden="1">{"TAB1",#N/A,TRUE,"GENERAL";"TAB2",#N/A,TRUE,"GENERAL";"TAB3",#N/A,TRUE,"GENERAL";"TAB4",#N/A,TRUE,"GENERAL";"TAB5",#N/A,TRUE,"GENERAL"}</definedName>
    <definedName name="vy" hidden="1">{"TAB1",#N/A,TRUE,"GENERAL";"TAB2",#N/A,TRUE,"GENERAL";"TAB3",#N/A,TRUE,"GENERAL";"TAB4",#N/A,TRUE,"GENERAL";"TAB5",#N/A,TRUE,"GENERAL"}</definedName>
    <definedName name="w" localSheetId="2">Scheduled_Payment+Extra_Payment</definedName>
    <definedName name="w" localSheetId="3">Scheduled_Payment+Extra_Payment</definedName>
    <definedName name="w" localSheetId="4">Scheduled_Payment+Extra_Payment</definedName>
    <definedName name="w" localSheetId="5">Scheduled_Payment+Extra_Payment</definedName>
    <definedName name="w" localSheetId="6">Scheduled_Payment+Extra_Payment</definedName>
    <definedName name="w" localSheetId="7">Scheduled_Payment+Extra_Payment</definedName>
    <definedName name="w" localSheetId="8">Scheduled_Payment+Extra_Payment</definedName>
    <definedName name="w" localSheetId="9">Scheduled_Payment+Extra_Payment</definedName>
    <definedName name="w" localSheetId="10">Scheduled_Payment+Extra_Payment</definedName>
    <definedName name="w" localSheetId="11">Scheduled_Payment+Extra_Payment</definedName>
    <definedName name="w" localSheetId="12">Scheduled_Payment+Extra_Payment</definedName>
    <definedName name="w" localSheetId="13">Scheduled_Payment+Extra_Payment</definedName>
    <definedName name="w" localSheetId="14">Scheduled_Payment+Extra_Payment</definedName>
    <definedName name="w" localSheetId="15">Scheduled_Payment+Extra_Payment</definedName>
    <definedName name="w" localSheetId="16">Scheduled_Payment+Extra_Payment</definedName>
    <definedName name="w" localSheetId="17">Scheduled_Payment+Extra_Payment</definedName>
    <definedName name="w" localSheetId="18">Scheduled_Payment+Extra_Payment</definedName>
    <definedName name="w" localSheetId="19">Scheduled_Payment+Extra_Payment</definedName>
    <definedName name="w" localSheetId="20">Scheduled_Payment+Extra_Payment</definedName>
    <definedName name="w" localSheetId="21">Scheduled_Payment+Extra_Payment</definedName>
    <definedName name="w" localSheetId="22">Scheduled_Payment+Extra_Payment</definedName>
    <definedName name="w" localSheetId="23">Scheduled_Payment+Extra_Payment</definedName>
    <definedName name="w" localSheetId="24">Scheduled_Payment+Extra_Payment</definedName>
    <definedName name="w" localSheetId="25">Scheduled_Payment+Extra_Payment</definedName>
    <definedName name="w" localSheetId="26">Scheduled_Payment+Extra_Payment</definedName>
    <definedName name="w" localSheetId="27">Scheduled_Payment+Extra_Payment</definedName>
    <definedName name="w" localSheetId="28">Scheduled_Payment+Extra_Payment</definedName>
    <definedName name="w" localSheetId="29">Scheduled_Payment+Extra_Payment</definedName>
    <definedName name="w" localSheetId="30">Scheduled_Payment+Extra_Payment</definedName>
    <definedName name="w" localSheetId="31">Scheduled_Payment+Extra_Payment</definedName>
    <definedName name="w" localSheetId="32">Scheduled_Payment+Extra_Payment</definedName>
    <definedName name="w" localSheetId="33">Scheduled_Payment+Extra_Payment</definedName>
    <definedName name="w" localSheetId="34">Scheduled_Payment+Extra_Payment</definedName>
    <definedName name="w" localSheetId="35">Scheduled_Payment+Extra_Payment</definedName>
    <definedName name="w" localSheetId="36">Scheduled_Payment+Extra_Payment</definedName>
    <definedName name="w" localSheetId="37">Scheduled_Payment+Extra_Payment</definedName>
    <definedName name="w" localSheetId="39">Scheduled_Payment+Extra_Payment</definedName>
    <definedName name="w" localSheetId="40">Scheduled_Payment+Extra_Payment</definedName>
    <definedName name="w" localSheetId="41">Scheduled_Payment+Extra_Payment</definedName>
    <definedName name="w" localSheetId="42">Scheduled_Payment+Extra_Payment</definedName>
    <definedName name="w" localSheetId="43">Scheduled_Payment+Extra_Payment</definedName>
    <definedName name="w" localSheetId="44">Scheduled_Payment+Extra_Payment</definedName>
    <definedName name="w" localSheetId="45">Scheduled_Payment+Extra_Payment</definedName>
    <definedName name="w" localSheetId="46">Scheduled_Payment+Extra_Payment</definedName>
    <definedName name="w" localSheetId="47">Scheduled_Payment+Extra_Payment</definedName>
    <definedName name="w" localSheetId="48">Scheduled_Payment+Extra_Payment</definedName>
    <definedName name="w" localSheetId="49">Scheduled_Payment+Extra_Payment</definedName>
    <definedName name="w" localSheetId="50">Scheduled_Payment+Extra_Payment</definedName>
    <definedName name="w" localSheetId="51">Scheduled_Payment+Extra_Payment</definedName>
    <definedName name="w" localSheetId="52">Scheduled_Payment+Extra_Payment</definedName>
    <definedName name="w" localSheetId="53">Scheduled_Payment+Extra_Payment</definedName>
    <definedName name="w" localSheetId="54">Scheduled_Payment+Extra_Payment</definedName>
    <definedName name="w" localSheetId="55">Scheduled_Payment+Extra_Payment</definedName>
    <definedName name="w" localSheetId="56">Scheduled_Payment+Extra_Payment</definedName>
    <definedName name="w" localSheetId="57">Scheduled_Payment+Extra_Payment</definedName>
    <definedName name="w" localSheetId="58">Scheduled_Payment+Extra_Payment</definedName>
    <definedName name="w" localSheetId="59">Scheduled_Payment+Extra_Payment</definedName>
    <definedName name="w" localSheetId="60">Scheduled_Payment+Extra_Payment</definedName>
    <definedName name="w" localSheetId="61">Scheduled_Payment+Extra_Payment</definedName>
    <definedName name="w" localSheetId="62">Scheduled_Payment+Extra_Payment</definedName>
    <definedName name="w" localSheetId="63">Scheduled_Payment+Extra_Payment</definedName>
    <definedName name="w" localSheetId="64">Scheduled_Payment+Extra_Payment</definedName>
    <definedName name="w" localSheetId="65">Scheduled_Payment+Extra_Payment</definedName>
    <definedName name="w" localSheetId="66">Scheduled_Payment+Extra_Payment</definedName>
    <definedName name="w" localSheetId="67">Scheduled_Payment+Extra_Payment</definedName>
    <definedName name="w" localSheetId="68">Scheduled_Payment+Extra_Payment</definedName>
    <definedName name="w" localSheetId="69">Scheduled_Payment+Extra_Payment</definedName>
    <definedName name="w" localSheetId="70">Scheduled_Payment+Extra_Payment</definedName>
    <definedName name="w" localSheetId="1">Scheduled_Payment+Extra_Payment</definedName>
    <definedName name="w">Scheduled_Payment+Extra_Payment</definedName>
    <definedName name="w2w2w" localSheetId="50" hidden="1">{"via1",#N/A,TRUE,"general";"via2",#N/A,TRUE,"general";"via3",#N/A,TRUE,"general"}</definedName>
    <definedName name="w2w2w" localSheetId="1" hidden="1">{"via1",#N/A,TRUE,"general";"via2",#N/A,TRUE,"general";"via3",#N/A,TRUE,"general"}</definedName>
    <definedName name="w2w2w" localSheetId="73" hidden="1">{"via1",#N/A,TRUE,"general";"via2",#N/A,TRUE,"general";"via3",#N/A,TRUE,"general"}</definedName>
    <definedName name="w2w2w" hidden="1">{"via1",#N/A,TRUE,"general";"via2",#N/A,TRUE,"general";"via3",#N/A,TRUE,"general"}</definedName>
    <definedName name="WDD" localSheetId="5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localSheetId="73"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 localSheetId="1">#REF!</definedName>
    <definedName name="we">#REF!</definedName>
    <definedName name="werew" localSheetId="50" hidden="1">{"TAB1",#N/A,TRUE,"GENERAL";"TAB2",#N/A,TRUE,"GENERAL";"TAB3",#N/A,TRUE,"GENERAL";"TAB4",#N/A,TRUE,"GENERAL";"TAB5",#N/A,TRUE,"GENERAL"}</definedName>
    <definedName name="werew" localSheetId="1" hidden="1">{"TAB1",#N/A,TRUE,"GENERAL";"TAB2",#N/A,TRUE,"GENERAL";"TAB3",#N/A,TRUE,"GENERAL";"TAB4",#N/A,TRUE,"GENERAL";"TAB5",#N/A,TRUE,"GENERAL"}</definedName>
    <definedName name="werew" localSheetId="73" hidden="1">{"TAB1",#N/A,TRUE,"GENERAL";"TAB2",#N/A,TRUE,"GENERAL";"TAB3",#N/A,TRUE,"GENERAL";"TAB4",#N/A,TRUE,"GENERAL";"TAB5",#N/A,TRUE,"GENERAL"}</definedName>
    <definedName name="werew" hidden="1">{"TAB1",#N/A,TRUE,"GENERAL";"TAB2",#N/A,TRUE,"GENERAL";"TAB3",#N/A,TRUE,"GENERAL";"TAB4",#N/A,TRUE,"GENERAL";"TAB5",#N/A,TRUE,"GENERAL"}</definedName>
    <definedName name="WEREWR" localSheetId="50" hidden="1">{"via1",#N/A,TRUE,"general";"via2",#N/A,TRUE,"general";"via3",#N/A,TRUE,"general"}</definedName>
    <definedName name="WEREWR" localSheetId="1" hidden="1">{"via1",#N/A,TRUE,"general";"via2",#N/A,TRUE,"general";"via3",#N/A,TRUE,"general"}</definedName>
    <definedName name="WEREWR" localSheetId="73" hidden="1">{"via1",#N/A,TRUE,"general";"via2",#N/A,TRUE,"general";"via3",#N/A,TRUE,"general"}</definedName>
    <definedName name="WEREWR" hidden="1">{"via1",#N/A,TRUE,"general";"via2",#N/A,TRUE,"general";"via3",#N/A,TRUE,"general"}</definedName>
    <definedName name="werfdsf" localSheetId="50"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73" hidden="1">{"TAB1",#N/A,TRUE,"GENERAL";"TAB2",#N/A,TRUE,"GENERAL";"TAB3",#N/A,TRUE,"GENERAL";"TAB4",#N/A,TRUE,"GENERAL";"TAB5",#N/A,TRUE,"GENERAL"}</definedName>
    <definedName name="werfdsf" hidden="1">{"TAB1",#N/A,TRUE,"GENERAL";"TAB2",#N/A,TRUE,"GENERAL";"TAB3",#N/A,TRUE,"GENERAL";"TAB4",#N/A,TRUE,"GENERAL";"TAB5",#N/A,TRUE,"GENERAL"}</definedName>
    <definedName name="werh" localSheetId="50" hidden="1">{"via1",#N/A,TRUE,"general";"via2",#N/A,TRUE,"general";"via3",#N/A,TRUE,"general"}</definedName>
    <definedName name="werh" localSheetId="1" hidden="1">{"via1",#N/A,TRUE,"general";"via2",#N/A,TRUE,"general";"via3",#N/A,TRUE,"general"}</definedName>
    <definedName name="werh" localSheetId="73" hidden="1">{"via1",#N/A,TRUE,"general";"via2",#N/A,TRUE,"general";"via3",#N/A,TRUE,"general"}</definedName>
    <definedName name="werh" hidden="1">{"via1",#N/A,TRUE,"general";"via2",#N/A,TRUE,"general";"via3",#N/A,TRUE,"general"}</definedName>
    <definedName name="wersfdfrguyo" localSheetId="50" hidden="1">{"via1",#N/A,TRUE,"general";"via2",#N/A,TRUE,"general";"via3",#N/A,TRUE,"general"}</definedName>
    <definedName name="wersfdfrguyo" localSheetId="1" hidden="1">{"via1",#N/A,TRUE,"general";"via2",#N/A,TRUE,"general";"via3",#N/A,TRUE,"general"}</definedName>
    <definedName name="wersfdfrguyo" localSheetId="73" hidden="1">{"via1",#N/A,TRUE,"general";"via2",#N/A,TRUE,"general";"via3",#N/A,TRUE,"general"}</definedName>
    <definedName name="wersfdfrguyo" hidden="1">{"via1",#N/A,TRUE,"general";"via2",#N/A,TRUE,"general";"via3",#N/A,TRUE,"general"}</definedName>
    <definedName name="werwr" localSheetId="50" hidden="1">{"via1",#N/A,TRUE,"general";"via2",#N/A,TRUE,"general";"via3",#N/A,TRUE,"general"}</definedName>
    <definedName name="werwr" localSheetId="1" hidden="1">{"via1",#N/A,TRUE,"general";"via2",#N/A,TRUE,"general";"via3",#N/A,TRUE,"general"}</definedName>
    <definedName name="werwr" localSheetId="73" hidden="1">{"via1",#N/A,TRUE,"general";"via2",#N/A,TRUE,"general";"via3",#N/A,TRUE,"general"}</definedName>
    <definedName name="werwr" hidden="1">{"via1",#N/A,TRUE,"general";"via2",#N/A,TRUE,"general";"via3",#N/A,TRUE,"general"}</definedName>
    <definedName name="WERWVN" localSheetId="50"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73" hidden="1">{"TAB1",#N/A,TRUE,"GENERAL";"TAB2",#N/A,TRUE,"GENERAL";"TAB3",#N/A,TRUE,"GENERAL";"TAB4",#N/A,TRUE,"GENERAL";"TAB5",#N/A,TRUE,"GENERAL"}</definedName>
    <definedName name="WERWVN" hidden="1">{"TAB1",#N/A,TRUE,"GENERAL";"TAB2",#N/A,TRUE,"GENERAL";"TAB3",#N/A,TRUE,"GENERAL";"TAB4",#N/A,TRUE,"GENERAL";"TAB5",#N/A,TRUE,"GENERAL"}</definedName>
    <definedName name="wetrew" localSheetId="50" hidden="1">{"via1",#N/A,TRUE,"general";"via2",#N/A,TRUE,"general";"via3",#N/A,TRUE,"general"}</definedName>
    <definedName name="wetrew" localSheetId="1" hidden="1">{"via1",#N/A,TRUE,"general";"via2",#N/A,TRUE,"general";"via3",#N/A,TRUE,"general"}</definedName>
    <definedName name="wetrew" localSheetId="73" hidden="1">{"via1",#N/A,TRUE,"general";"via2",#N/A,TRUE,"general";"via3",#N/A,TRUE,"general"}</definedName>
    <definedName name="wetrew" hidden="1">{"via1",#N/A,TRUE,"general";"via2",#N/A,TRUE,"general";"via3",#N/A,TRUE,"general"}</definedName>
    <definedName name="wettt" localSheetId="50" hidden="1">{"via1",#N/A,TRUE,"general";"via2",#N/A,TRUE,"general";"via3",#N/A,TRUE,"general"}</definedName>
    <definedName name="wettt" localSheetId="1" hidden="1">{"via1",#N/A,TRUE,"general";"via2",#N/A,TRUE,"general";"via3",#N/A,TRUE,"general"}</definedName>
    <definedName name="wettt" localSheetId="73" hidden="1">{"via1",#N/A,TRUE,"general";"via2",#N/A,TRUE,"general";"via3",#N/A,TRUE,"general"}</definedName>
    <definedName name="wettt" hidden="1">{"via1",#N/A,TRUE,"general";"via2",#N/A,TRUE,"general";"via3",#N/A,TRUE,"general"}</definedName>
    <definedName name="wetwretd" localSheetId="50" hidden="1">{"via1",#N/A,TRUE,"general";"via2",#N/A,TRUE,"general";"via3",#N/A,TRUE,"general"}</definedName>
    <definedName name="wetwretd" localSheetId="1" hidden="1">{"via1",#N/A,TRUE,"general";"via2",#N/A,TRUE,"general";"via3",#N/A,TRUE,"general"}</definedName>
    <definedName name="wetwretd" localSheetId="73" hidden="1">{"via1",#N/A,TRUE,"general";"via2",#N/A,TRUE,"general";"via3",#N/A,TRUE,"general"}</definedName>
    <definedName name="wetwretd" hidden="1">{"via1",#N/A,TRUE,"general";"via2",#N/A,TRUE,"general";"via3",#N/A,TRUE,"general"}</definedName>
    <definedName name="wew" localSheetId="50" hidden="1">{"via1",#N/A,TRUE,"general";"via2",#N/A,TRUE,"general";"via3",#N/A,TRUE,"general"}</definedName>
    <definedName name="wew" localSheetId="1" hidden="1">{"via1",#N/A,TRUE,"general";"via2",#N/A,TRUE,"general";"via3",#N/A,TRUE,"general"}</definedName>
    <definedName name="wew" localSheetId="73" hidden="1">{"via1",#N/A,TRUE,"general";"via2",#N/A,TRUE,"general";"via3",#N/A,TRUE,"general"}</definedName>
    <definedName name="wew" hidden="1">{"via1",#N/A,TRUE,"general";"via2",#N/A,TRUE,"general";"via3",#N/A,TRUE,"general"}</definedName>
    <definedName name="wffag" localSheetId="50" hidden="1">{"via1",#N/A,TRUE,"general";"via2",#N/A,TRUE,"general";"via3",#N/A,TRUE,"general"}</definedName>
    <definedName name="wffag" localSheetId="1" hidden="1">{"via1",#N/A,TRUE,"general";"via2",#N/A,TRUE,"general";"via3",#N/A,TRUE,"general"}</definedName>
    <definedName name="wffag" localSheetId="73" hidden="1">{"via1",#N/A,TRUE,"general";"via2",#N/A,TRUE,"general";"via3",#N/A,TRUE,"general"}</definedName>
    <definedName name="wffag" hidden="1">{"via1",#N/A,TRUE,"general";"via2",#N/A,TRUE,"general";"via3",#N/A,TRUE,"general"}</definedName>
    <definedName name="wj" localSheetId="1">#REF!</definedName>
    <definedName name="wj">#REF!</definedName>
    <definedName name="wl" localSheetId="1">#REF!</definedName>
    <definedName name="wl">#REF!</definedName>
    <definedName name="WQEEWQ" localSheetId="50"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73" hidden="1">{"TAB1",#N/A,TRUE,"GENERAL";"TAB2",#N/A,TRUE,"GENERAL";"TAB3",#N/A,TRUE,"GENERAL";"TAB4",#N/A,TRUE,"GENERAL";"TAB5",#N/A,TRUE,"GENERAL"}</definedName>
    <definedName name="WQEEWQ" hidden="1">{"TAB1",#N/A,TRUE,"GENERAL";"TAB2",#N/A,TRUE,"GENERAL";"TAB3",#N/A,TRUE,"GENERAL";"TAB4",#N/A,TRUE,"GENERAL";"TAB5",#N/A,TRUE,"GENERAL"}</definedName>
    <definedName name="wrn.civil._.works." localSheetId="50" hidden="1">{#N/A,#N/A,TRUE,"1842CWN0"}</definedName>
    <definedName name="wrn.civil._.works." localSheetId="1" hidden="1">{#N/A,#N/A,TRUE,"1842CWN0"}</definedName>
    <definedName name="wrn.civil._.works." localSheetId="73" hidden="1">{#N/A,#N/A,TRUE,"1842CWN0"}</definedName>
    <definedName name="wrn.civil._.works." hidden="1">{#N/A,#N/A,TRUE,"1842CWN0"}</definedName>
    <definedName name="wrn.FINAN97." localSheetId="5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3"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50"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1"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73"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5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localSheetId="50"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73"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5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73" hidden="1">{"TAB1",#N/A,TRUE,"GENERAL";"TAB2",#N/A,TRUE,"GENERAL";"TAB3",#N/A,TRUE,"GENERAL";"TAB4",#N/A,TRUE,"GENERAL";"TAB5",#N/A,TRUE,"GENERAL"}</definedName>
    <definedName name="wrn.GENERAL." hidden="1">{"TAB1",#N/A,TRUE,"GENERAL";"TAB2",#N/A,TRUE,"GENERAL";"TAB3",#N/A,TRUE,"GENERAL";"TAB4",#N/A,TRUE,"GENERAL";"TAB5",#N/A,TRUE,"GENERAL"}</definedName>
    <definedName name="wrn.GERENCIA." localSheetId="50" hidden="1">{#N/A,#N/A,TRUE,"INGENIERIA";#N/A,#N/A,TRUE,"COMPRAS";#N/A,#N/A,TRUE,"DIRECCION";#N/A,#N/A,TRUE,"RESUMEN"}</definedName>
    <definedName name="wrn.GERENCIA." localSheetId="1" hidden="1">{#N/A,#N/A,TRUE,"INGENIERIA";#N/A,#N/A,TRUE,"COMPRAS";#N/A,#N/A,TRUE,"DIRECCION";#N/A,#N/A,TRUE,"RESUMEN"}</definedName>
    <definedName name="wrn.GERENCIA." localSheetId="73" hidden="1">{#N/A,#N/A,TRUE,"INGENIERIA";#N/A,#N/A,TRUE,"COMPRAS";#N/A,#N/A,TRUE,"DIRECCION";#N/A,#N/A,TRUE,"RESUMEN"}</definedName>
    <definedName name="wrn.GERENCIA." hidden="1">{#N/A,#N/A,TRUE,"INGENIERIA";#N/A,#N/A,TRUE,"COMPRAS";#N/A,#N/A,TRUE,"DIRECCION";#N/A,#N/A,TRUE,"RESUMEN"}</definedName>
    <definedName name="wrn.OPERADORES." localSheetId="50" hidden="1">{#N/A,#N/A,TRUE,"T1"}</definedName>
    <definedName name="wrn.OPERADORES." localSheetId="1" hidden="1">{#N/A,#N/A,TRUE,"T1"}</definedName>
    <definedName name="wrn.OPERADORES." localSheetId="73" hidden="1">{#N/A,#N/A,TRUE,"T1"}</definedName>
    <definedName name="wrn.OPERADORES." hidden="1">{#N/A,#N/A,TRUE,"T1"}</definedName>
    <definedName name="wrn.res7" localSheetId="50" hidden="1">{#N/A,#N/A,FALSE,"Hoja1";#N/A,#N/A,FALSE,"Hoja2"}</definedName>
    <definedName name="wrn.res7" localSheetId="1" hidden="1">{#N/A,#N/A,FALSE,"Hoja1";#N/A,#N/A,FALSE,"Hoja2"}</definedName>
    <definedName name="wrn.res7" localSheetId="73" hidden="1">{#N/A,#N/A,FALSE,"Hoja1";#N/A,#N/A,FALSE,"Hoja2"}</definedName>
    <definedName name="wrn.res7" hidden="1">{#N/A,#N/A,FALSE,"Hoja1";#N/A,#N/A,FALSE,"Hoja2"}</definedName>
    <definedName name="wrn.Restructuring._.Summaries." localSheetId="50" hidden="1">{#N/A,#N/A,TRUE,"Transaction Summary";#N/A,#N/A,TRUE,"Restructuring Sensitivities";#N/A,#N/A,TRUE,"DCF";#N/A,#N/A,TRUE,"IRR";#N/A,#N/A,TRUE,"Debt Capacity"}</definedName>
    <definedName name="wrn.Restructuring._.Summaries." localSheetId="1" hidden="1">{#N/A,#N/A,TRUE,"Transaction Summary";#N/A,#N/A,TRUE,"Restructuring Sensitivities";#N/A,#N/A,TRUE,"DCF";#N/A,#N/A,TRUE,"IRR";#N/A,#N/A,TRUE,"Debt Capacity"}</definedName>
    <definedName name="wrn.Restructuring._.Summaries." localSheetId="73"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50" hidden="1">{#N/A,#N/A,FALSE,"Hoja1";#N/A,#N/A,FALSE,"Hoja2"}</definedName>
    <definedName name="wrn.Resumen." localSheetId="1" hidden="1">{#N/A,#N/A,FALSE,"Hoja1";#N/A,#N/A,FALSE,"Hoja2"}</definedName>
    <definedName name="wrn.Resumen." localSheetId="73" hidden="1">{#N/A,#N/A,FALSE,"Hoja1";#N/A,#N/A,FALSE,"Hoja2"}</definedName>
    <definedName name="wrn.Resumen." hidden="1">{#N/A,#N/A,FALSE,"Hoja1";#N/A,#N/A,FALSE,"Hoja2"}</definedName>
    <definedName name="wrn.TRABFENO." localSheetId="5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localSheetId="73"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50" hidden="1">{"via1",#N/A,TRUE,"general";"via2",#N/A,TRUE,"general";"via3",#N/A,TRUE,"general"}</definedName>
    <definedName name="wrn.via." localSheetId="1" hidden="1">{"via1",#N/A,TRUE,"general";"via2",#N/A,TRUE,"general";"via3",#N/A,TRUE,"general"}</definedName>
    <definedName name="wrn.via." localSheetId="73" hidden="1">{"via1",#N/A,TRUE,"general";"via2",#N/A,TRUE,"general";"via3",#N/A,TRUE,"general"}</definedName>
    <definedName name="wrn.via." hidden="1">{"via1",#N/A,TRUE,"general";"via2",#N/A,TRUE,"general";"via3",#N/A,TRUE,"general"}</definedName>
    <definedName name="ws" localSheetId="1">#REF!</definedName>
    <definedName name="ws">#REF!</definedName>
    <definedName name="wsnhed" localSheetId="50" hidden="1">{"via1",#N/A,TRUE,"general";"via2",#N/A,TRUE,"general";"via3",#N/A,TRUE,"general"}</definedName>
    <definedName name="wsnhed" localSheetId="1" hidden="1">{"via1",#N/A,TRUE,"general";"via2",#N/A,TRUE,"general";"via3",#N/A,TRUE,"general"}</definedName>
    <definedName name="wsnhed" localSheetId="73" hidden="1">{"via1",#N/A,TRUE,"general";"via2",#N/A,TRUE,"general";"via3",#N/A,TRUE,"general"}</definedName>
    <definedName name="wsnhed" hidden="1">{"via1",#N/A,TRUE,"general";"via2",#N/A,TRUE,"general";"via3",#N/A,TRUE,"general"}</definedName>
    <definedName name="wswswsqa" localSheetId="50" hidden="1">{"via1",#N/A,TRUE,"general";"via2",#N/A,TRUE,"general";"via3",#N/A,TRUE,"general"}</definedName>
    <definedName name="wswswsqa" localSheetId="1" hidden="1">{"via1",#N/A,TRUE,"general";"via2",#N/A,TRUE,"general";"via3",#N/A,TRUE,"general"}</definedName>
    <definedName name="wswswsqa" localSheetId="73" hidden="1">{"via1",#N/A,TRUE,"general";"via2",#N/A,TRUE,"general";"via3",#N/A,TRUE,"general"}</definedName>
    <definedName name="wswswsqa" hidden="1">{"via1",#N/A,TRUE,"general";"via2",#N/A,TRUE,"general";"via3",#N/A,TRUE,"general"}</definedName>
    <definedName name="wtt" localSheetId="50" hidden="1">{"TAB1",#N/A,TRUE,"GENERAL";"TAB2",#N/A,TRUE,"GENERAL";"TAB3",#N/A,TRUE,"GENERAL";"TAB4",#N/A,TRUE,"GENERAL";"TAB5",#N/A,TRUE,"GENERAL"}</definedName>
    <definedName name="wtt" localSheetId="1" hidden="1">{"TAB1",#N/A,TRUE,"GENERAL";"TAB2",#N/A,TRUE,"GENERAL";"TAB3",#N/A,TRUE,"GENERAL";"TAB4",#N/A,TRUE,"GENERAL";"TAB5",#N/A,TRUE,"GENERAL"}</definedName>
    <definedName name="wtt" localSheetId="73" hidden="1">{"TAB1",#N/A,TRUE,"GENERAL";"TAB2",#N/A,TRUE,"GENERAL";"TAB3",#N/A,TRUE,"GENERAL";"TAB4",#N/A,TRUE,"GENERAL";"TAB5",#N/A,TRUE,"GENERAL"}</definedName>
    <definedName name="wtt" hidden="1">{"TAB1",#N/A,TRUE,"GENERAL";"TAB2",#N/A,TRUE,"GENERAL";"TAB3",#N/A,TRUE,"GENERAL";"TAB4",#N/A,TRUE,"GENERAL";"TAB5",#N/A,TRUE,"GENERAL"}</definedName>
    <definedName name="ww" localSheetId="1">#REF!</definedName>
    <definedName name="ww">#REF!</definedName>
    <definedName name="wwded3" localSheetId="50" hidden="1">{"via1",#N/A,TRUE,"general";"via2",#N/A,TRUE,"general";"via3",#N/A,TRUE,"general"}</definedName>
    <definedName name="wwded3" localSheetId="1" hidden="1">{"via1",#N/A,TRUE,"general";"via2",#N/A,TRUE,"general";"via3",#N/A,TRUE,"general"}</definedName>
    <definedName name="wwded3" localSheetId="73" hidden="1">{"via1",#N/A,TRUE,"general";"via2",#N/A,TRUE,"general";"via3",#N/A,TRUE,"general"}</definedName>
    <definedName name="wwded3" hidden="1">{"via1",#N/A,TRUE,"general";"via2",#N/A,TRUE,"general";"via3",#N/A,TRUE,"general"}</definedName>
    <definedName name="WWW" localSheetId="1">#REF!</definedName>
    <definedName name="WWW">#REF!</definedName>
    <definedName name="wwwwe" localSheetId="50" hidden="1">{"TAB1",#N/A,TRUE,"GENERAL";"TAB2",#N/A,TRUE,"GENERAL";"TAB3",#N/A,TRUE,"GENERAL";"TAB4",#N/A,TRUE,"GENERAL";"TAB5",#N/A,TRUE,"GENERAL"}</definedName>
    <definedName name="wwwwe" localSheetId="1" hidden="1">{"TAB1",#N/A,TRUE,"GENERAL";"TAB2",#N/A,TRUE,"GENERAL";"TAB3",#N/A,TRUE,"GENERAL";"TAB4",#N/A,TRUE,"GENERAL";"TAB5",#N/A,TRUE,"GENERAL"}</definedName>
    <definedName name="wwwwe" localSheetId="73" hidden="1">{"TAB1",#N/A,TRUE,"GENERAL";"TAB2",#N/A,TRUE,"GENERAL";"TAB3",#N/A,TRUE,"GENERAL";"TAB4",#N/A,TRUE,"GENERAL";"TAB5",#N/A,TRUE,"GENERAL"}</definedName>
    <definedName name="wwwwe" hidden="1">{"TAB1",#N/A,TRUE,"GENERAL";"TAB2",#N/A,TRUE,"GENERAL";"TAB3",#N/A,TRUE,"GENERAL";"TAB4",#N/A,TRUE,"GENERAL";"TAB5",#N/A,TRUE,"GENERAL"}</definedName>
    <definedName name="wyty" localSheetId="50" hidden="1">{"via1",#N/A,TRUE,"general";"via2",#N/A,TRUE,"general";"via3",#N/A,TRUE,"general"}</definedName>
    <definedName name="wyty" localSheetId="1" hidden="1">{"via1",#N/A,TRUE,"general";"via2",#N/A,TRUE,"general";"via3",#N/A,TRUE,"general"}</definedName>
    <definedName name="wyty" localSheetId="73" hidden="1">{"via1",#N/A,TRUE,"general";"via2",#N/A,TRUE,"general";"via3",#N/A,TRUE,"general"}</definedName>
    <definedName name="wyty" hidden="1">{"via1",#N/A,TRUE,"general";"via2",#N/A,TRUE,"general";"via3",#N/A,TRUE,"general"}</definedName>
    <definedName name="x" localSheetId="1">#REF!</definedName>
    <definedName name="x">#REF!</definedName>
    <definedName name="xb" localSheetId="1">#REF!</definedName>
    <definedName name="xb">#REF!</definedName>
    <definedName name="xcbvbs" localSheetId="50"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73" hidden="1">{"TAB1",#N/A,TRUE,"GENERAL";"TAB2",#N/A,TRUE,"GENERAL";"TAB3",#N/A,TRUE,"GENERAL";"TAB4",#N/A,TRUE,"GENERAL";"TAB5",#N/A,TRUE,"GENERAL"}</definedName>
    <definedName name="xcbvbs" hidden="1">{"TAB1",#N/A,TRUE,"GENERAL";"TAB2",#N/A,TRUE,"GENERAL";"TAB3",#N/A,TRUE,"GENERAL";"TAB4",#N/A,TRUE,"GENERAL";"TAB5",#N/A,TRUE,"GENERAL"}</definedName>
    <definedName name="xfgf" localSheetId="1">#REF!</definedName>
    <definedName name="xfgf">#REF!</definedName>
    <definedName name="XJF" localSheetId="50" hidden="1">{#N/A,#N/A,TRUE,"INGENIERIA";#N/A,#N/A,TRUE,"COMPRAS";#N/A,#N/A,TRUE,"DIRECCION";#N/A,#N/A,TRUE,"RESUMEN"}</definedName>
    <definedName name="XJF" localSheetId="1" hidden="1">{#N/A,#N/A,TRUE,"INGENIERIA";#N/A,#N/A,TRUE,"COMPRAS";#N/A,#N/A,TRUE,"DIRECCION";#N/A,#N/A,TRUE,"RESUMEN"}</definedName>
    <definedName name="XJF" hidden="1">{#N/A,#N/A,TRUE,"INGENIERIA";#N/A,#N/A,TRUE,"COMPRAS";#N/A,#N/A,TRUE,"DIRECCION";#N/A,#N/A,TRUE,"RESUMEN"}</definedName>
    <definedName name="xo" localSheetId="1">#REF!</definedName>
    <definedName name="xo">#REF!</definedName>
    <definedName name="XSW" localSheetId="50" hidden="1">{#N/A,#N/A,TRUE,"1842CWN0"}</definedName>
    <definedName name="XSW" localSheetId="1" hidden="1">{#N/A,#N/A,TRUE,"1842CWN0"}</definedName>
    <definedName name="XSW" localSheetId="73" hidden="1">{#N/A,#N/A,TRUE,"1842CWN0"}</definedName>
    <definedName name="XSW" hidden="1">{#N/A,#N/A,TRUE,"1842CWN0"}</definedName>
    <definedName name="xsxs" localSheetId="50" hidden="1">{"TAB1",#N/A,TRUE,"GENERAL";"TAB2",#N/A,TRUE,"GENERAL";"TAB3",#N/A,TRUE,"GENERAL";"TAB4",#N/A,TRUE,"GENERAL";"TAB5",#N/A,TRUE,"GENERAL"}</definedName>
    <definedName name="xsxs" localSheetId="1" hidden="1">{"TAB1",#N/A,TRUE,"GENERAL";"TAB2",#N/A,TRUE,"GENERAL";"TAB3",#N/A,TRUE,"GENERAL";"TAB4",#N/A,TRUE,"GENERAL";"TAB5",#N/A,TRUE,"GENERAL"}</definedName>
    <definedName name="xsxs" localSheetId="73"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50" hidden="1">{"via1",#N/A,TRUE,"general";"via2",#N/A,TRUE,"general";"via3",#N/A,TRUE,"general"}</definedName>
    <definedName name="xxfg" localSheetId="1" hidden="1">{"via1",#N/A,TRUE,"general";"via2",#N/A,TRUE,"general";"via3",#N/A,TRUE,"general"}</definedName>
    <definedName name="xxfg" localSheetId="73" hidden="1">{"via1",#N/A,TRUE,"general";"via2",#N/A,TRUE,"general";"via3",#N/A,TRUE,"general"}</definedName>
    <definedName name="xxfg" hidden="1">{"via1",#N/A,TRUE,"general";"via2",#N/A,TRUE,"general";"via3",#N/A,TRUE,"general"}</definedName>
    <definedName name="XXXX" localSheetId="50" hidden="1">#REF!</definedName>
    <definedName name="XXXX" localSheetId="1" hidden="1">#REF!</definedName>
    <definedName name="XXXX" hidden="1">#REF!</definedName>
    <definedName name="xxxxxds" localSheetId="50" hidden="1">{"via1",#N/A,TRUE,"general";"via2",#N/A,TRUE,"general";"via3",#N/A,TRUE,"general"}</definedName>
    <definedName name="xxxxxds" localSheetId="1" hidden="1">{"via1",#N/A,TRUE,"general";"via2",#N/A,TRUE,"general";"via3",#N/A,TRUE,"general"}</definedName>
    <definedName name="xxxxxds" localSheetId="73" hidden="1">{"via1",#N/A,TRUE,"general";"via2",#N/A,TRUE,"general";"via3",#N/A,TRUE,"general"}</definedName>
    <definedName name="xxxxxds" hidden="1">{"via1",#N/A,TRUE,"general";"via2",#N/A,TRUE,"general";"via3",#N/A,TRUE,"general"}</definedName>
    <definedName name="XXXXXX" localSheetId="5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localSheetId="73"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50" hidden="1">{"via1",#N/A,TRUE,"general";"via2",#N/A,TRUE,"general";"via3",#N/A,TRUE,"general"}</definedName>
    <definedName name="xxxxxxxxxx29" localSheetId="1" hidden="1">{"via1",#N/A,TRUE,"general";"via2",#N/A,TRUE,"general";"via3",#N/A,TRUE,"general"}</definedName>
    <definedName name="xxxxxxxxxx29" localSheetId="73"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XXXXXXXXXXXXX" localSheetId="1">#REF!</definedName>
    <definedName name="XXXXXXXXXXXXXX">#REF!</definedName>
    <definedName name="xyz" localSheetId="1" hidden="1">#REF!</definedName>
    <definedName name="xyz" hidden="1">#REF!</definedName>
    <definedName name="XZS" localSheetId="1" hidden="1">#REF!</definedName>
    <definedName name="XZS" hidden="1">#REF!</definedName>
    <definedName name="XZXZV" localSheetId="50" hidden="1">{"via1",#N/A,TRUE,"general";"via2",#N/A,TRUE,"general";"via3",#N/A,TRUE,"general"}</definedName>
    <definedName name="XZXZV" localSheetId="1" hidden="1">{"via1",#N/A,TRUE,"general";"via2",#N/A,TRUE,"general";"via3",#N/A,TRUE,"general"}</definedName>
    <definedName name="XZXZV" localSheetId="73" hidden="1">{"via1",#N/A,TRUE,"general";"via2",#N/A,TRUE,"general";"via3",#N/A,TRUE,"general"}</definedName>
    <definedName name="XZXZV" hidden="1">{"via1",#N/A,TRUE,"general";"via2",#N/A,TRUE,"general";"via3",#N/A,TRUE,"general"}</definedName>
    <definedName name="Y" localSheetId="1">#REF!</definedName>
    <definedName name="Y">#REF!</definedName>
    <definedName name="y6y6" localSheetId="50" hidden="1">{"via1",#N/A,TRUE,"general";"via2",#N/A,TRUE,"general";"via3",#N/A,TRUE,"general"}</definedName>
    <definedName name="y6y6" localSheetId="1" hidden="1">{"via1",#N/A,TRUE,"general";"via2",#N/A,TRUE,"general";"via3",#N/A,TRUE,"general"}</definedName>
    <definedName name="y6y6" localSheetId="73" hidden="1">{"via1",#N/A,TRUE,"general";"via2",#N/A,TRUE,"general";"via3",#N/A,TRUE,"general"}</definedName>
    <definedName name="y6y6" hidden="1">{"via1",#N/A,TRUE,"general";"via2",#N/A,TRUE,"general";"via3",#N/A,TRUE,"general"}</definedName>
    <definedName name="yery" localSheetId="50" hidden="1">{"via1",#N/A,TRUE,"general";"via2",#N/A,TRUE,"general";"via3",#N/A,TRUE,"general"}</definedName>
    <definedName name="yery" localSheetId="1" hidden="1">{"via1",#N/A,TRUE,"general";"via2",#N/A,TRUE,"general";"via3",#N/A,TRUE,"general"}</definedName>
    <definedName name="yery" localSheetId="73" hidden="1">{"via1",#N/A,TRUE,"general";"via2",#N/A,TRUE,"general";"via3",#N/A,TRUE,"general"}</definedName>
    <definedName name="yery" hidden="1">{"via1",#N/A,TRUE,"general";"via2",#N/A,TRUE,"general";"via3",#N/A,TRUE,"general"}</definedName>
    <definedName name="YESO" localSheetId="1">#REF!</definedName>
    <definedName name="YESO">#REF!</definedName>
    <definedName name="yhy" localSheetId="50" hidden="1">{"TAB1",#N/A,TRUE,"GENERAL";"TAB2",#N/A,TRUE,"GENERAL";"TAB3",#N/A,TRUE,"GENERAL";"TAB4",#N/A,TRUE,"GENERAL";"TAB5",#N/A,TRUE,"GENERAL"}</definedName>
    <definedName name="yhy" localSheetId="1" hidden="1">{"TAB1",#N/A,TRUE,"GENERAL";"TAB2",#N/A,TRUE,"GENERAL";"TAB3",#N/A,TRUE,"GENERAL";"TAB4",#N/A,TRUE,"GENERAL";"TAB5",#N/A,TRUE,"GENERAL"}</definedName>
    <definedName name="yhy" localSheetId="73" hidden="1">{"TAB1",#N/A,TRUE,"GENERAL";"TAB2",#N/A,TRUE,"GENERAL";"TAB3",#N/A,TRUE,"GENERAL";"TAB4",#N/A,TRUE,"GENERAL";"TAB5",#N/A,TRUE,"GENERAL"}</definedName>
    <definedName name="yhy" hidden="1">{"TAB1",#N/A,TRUE,"GENERAL";"TAB2",#N/A,TRUE,"GENERAL";"TAB3",#N/A,TRUE,"GENERAL";"TAB4",#N/A,TRUE,"GENERAL";"TAB5",#N/A,TRUE,"GENERAL"}</definedName>
    <definedName name="yjyj" localSheetId="50" hidden="1">{"TAB1",#N/A,TRUE,"GENERAL";"TAB2",#N/A,TRUE,"GENERAL";"TAB3",#N/A,TRUE,"GENERAL";"TAB4",#N/A,TRUE,"GENERAL";"TAB5",#N/A,TRUE,"GENERAL"}</definedName>
    <definedName name="yjyj" localSheetId="1" hidden="1">{"TAB1",#N/A,TRUE,"GENERAL";"TAB2",#N/A,TRUE,"GENERAL";"TAB3",#N/A,TRUE,"GENERAL";"TAB4",#N/A,TRUE,"GENERAL";"TAB5",#N/A,TRUE,"GENERAL"}</definedName>
    <definedName name="yjyj" localSheetId="73" hidden="1">{"TAB1",#N/A,TRUE,"GENERAL";"TAB2",#N/A,TRUE,"GENERAL";"TAB3",#N/A,TRUE,"GENERAL";"TAB4",#N/A,TRUE,"GENERAL";"TAB5",#N/A,TRUE,"GENERAL"}</definedName>
    <definedName name="yjyj" hidden="1">{"TAB1",#N/A,TRUE,"GENERAL";"TAB2",#N/A,TRUE,"GENERAL";"TAB3",#N/A,TRUE,"GENERAL";"TAB4",#N/A,TRUE,"GENERAL";"TAB5",#N/A,TRUE,"GENERAL"}</definedName>
    <definedName name="yn" localSheetId="1">#REF!</definedName>
    <definedName name="yn">#REF!</definedName>
    <definedName name="yrey" localSheetId="50" hidden="1">{"via1",#N/A,TRUE,"general";"via2",#N/A,TRUE,"general";"via3",#N/A,TRUE,"general"}</definedName>
    <definedName name="yrey" localSheetId="1" hidden="1">{"via1",#N/A,TRUE,"general";"via2",#N/A,TRUE,"general";"via3",#N/A,TRUE,"general"}</definedName>
    <definedName name="yrey" localSheetId="73" hidden="1">{"via1",#N/A,TRUE,"general";"via2",#N/A,TRUE,"general";"via3",#N/A,TRUE,"general"}</definedName>
    <definedName name="yrey" hidden="1">{"via1",#N/A,TRUE,"general";"via2",#N/A,TRUE,"general";"via3",#N/A,TRUE,"general"}</definedName>
    <definedName name="yry" localSheetId="50" hidden="1">{"via1",#N/A,TRUE,"general";"via2",#N/A,TRUE,"general";"via3",#N/A,TRUE,"general"}</definedName>
    <definedName name="yry" localSheetId="1" hidden="1">{"via1",#N/A,TRUE,"general";"via2",#N/A,TRUE,"general";"via3",#N/A,TRUE,"general"}</definedName>
    <definedName name="yry" localSheetId="73" hidden="1">{"via1",#N/A,TRUE,"general";"via2",#N/A,TRUE,"general";"via3",#N/A,TRUE,"general"}</definedName>
    <definedName name="yry" hidden="1">{"via1",#N/A,TRUE,"general";"via2",#N/A,TRUE,"general";"via3",#N/A,TRUE,"general"}</definedName>
    <definedName name="ytj" localSheetId="50" hidden="1">{"TAB1",#N/A,TRUE,"GENERAL";"TAB2",#N/A,TRUE,"GENERAL";"TAB3",#N/A,TRUE,"GENERAL";"TAB4",#N/A,TRUE,"GENERAL";"TAB5",#N/A,TRUE,"GENERAL"}</definedName>
    <definedName name="ytj" localSheetId="1" hidden="1">{"TAB1",#N/A,TRUE,"GENERAL";"TAB2",#N/A,TRUE,"GENERAL";"TAB3",#N/A,TRUE,"GENERAL";"TAB4",#N/A,TRUE,"GENERAL";"TAB5",#N/A,TRUE,"GENERAL"}</definedName>
    <definedName name="ytj" localSheetId="73" hidden="1">{"TAB1",#N/A,TRUE,"GENERAL";"TAB2",#N/A,TRUE,"GENERAL";"TAB3",#N/A,TRUE,"GENERAL";"TAB4",#N/A,TRUE,"GENERAL";"TAB5",#N/A,TRUE,"GENERAL"}</definedName>
    <definedName name="ytj" hidden="1">{"TAB1",#N/A,TRUE,"GENERAL";"TAB2",#N/A,TRUE,"GENERAL";"TAB3",#N/A,TRUE,"GENERAL";"TAB4",#N/A,TRUE,"GENERAL";"TAB5",#N/A,TRUE,"GENERAL"}</definedName>
    <definedName name="ytjt6" localSheetId="50" hidden="1">{"via1",#N/A,TRUE,"general";"via2",#N/A,TRUE,"general";"via3",#N/A,TRUE,"general"}</definedName>
    <definedName name="ytjt6" localSheetId="1" hidden="1">{"via1",#N/A,TRUE,"general";"via2",#N/A,TRUE,"general";"via3",#N/A,TRUE,"general"}</definedName>
    <definedName name="ytjt6" localSheetId="73" hidden="1">{"via1",#N/A,TRUE,"general";"via2",#N/A,TRUE,"general";"via3",#N/A,TRUE,"general"}</definedName>
    <definedName name="ytjt6" hidden="1">{"via1",#N/A,TRUE,"general";"via2",#N/A,TRUE,"general";"via3",#N/A,TRUE,"general"}</definedName>
    <definedName name="ytrwyr" localSheetId="50"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73" hidden="1">{"TAB1",#N/A,TRUE,"GENERAL";"TAB2",#N/A,TRUE,"GENERAL";"TAB3",#N/A,TRUE,"GENERAL";"TAB4",#N/A,TRUE,"GENERAL";"TAB5",#N/A,TRUE,"GENERAL"}</definedName>
    <definedName name="ytrwyr" hidden="1">{"TAB1",#N/A,TRUE,"GENERAL";"TAB2",#N/A,TRUE,"GENERAL";"TAB3",#N/A,TRUE,"GENERAL";"TAB4",#N/A,TRUE,"GENERAL";"TAB5",#N/A,TRUE,"GENERAL"}</definedName>
    <definedName name="ytry" localSheetId="50" hidden="1">{"via1",#N/A,TRUE,"general";"via2",#N/A,TRUE,"general";"via3",#N/A,TRUE,"general"}</definedName>
    <definedName name="ytry" localSheetId="1" hidden="1">{"via1",#N/A,TRUE,"general";"via2",#N/A,TRUE,"general";"via3",#N/A,TRUE,"general"}</definedName>
    <definedName name="ytry" localSheetId="73" hidden="1">{"via1",#N/A,TRUE,"general";"via2",#N/A,TRUE,"general";"via3",#N/A,TRUE,"general"}</definedName>
    <definedName name="ytry" hidden="1">{"via1",#N/A,TRUE,"general";"via2",#N/A,TRUE,"general";"via3",#N/A,TRUE,"general"}</definedName>
    <definedName name="ytryrty" localSheetId="50" hidden="1">{"via1",#N/A,TRUE,"general";"via2",#N/A,TRUE,"general";"via3",#N/A,TRUE,"general"}</definedName>
    <definedName name="ytryrty" localSheetId="1" hidden="1">{"via1",#N/A,TRUE,"general";"via2",#N/A,TRUE,"general";"via3",#N/A,TRUE,"general"}</definedName>
    <definedName name="ytryrty" localSheetId="73" hidden="1">{"via1",#N/A,TRUE,"general";"via2",#N/A,TRUE,"general";"via3",#N/A,TRUE,"general"}</definedName>
    <definedName name="ytryrty" hidden="1">{"via1",#N/A,TRUE,"general";"via2",#N/A,TRUE,"general";"via3",#N/A,TRUE,"general"}</definedName>
    <definedName name="YTRYUYT" localSheetId="50"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73" hidden="1">{"TAB1",#N/A,TRUE,"GENERAL";"TAB2",#N/A,TRUE,"GENERAL";"TAB3",#N/A,TRUE,"GENERAL";"TAB4",#N/A,TRUE,"GENERAL";"TAB5",#N/A,TRUE,"GENERAL"}</definedName>
    <definedName name="YTRYUYT" hidden="1">{"TAB1",#N/A,TRUE,"GENERAL";"TAB2",#N/A,TRUE,"GENERAL";"TAB3",#N/A,TRUE,"GENERAL";"TAB4",#N/A,TRUE,"GENERAL";"TAB5",#N/A,TRUE,"GENERAL"}</definedName>
    <definedName name="YTU" localSheetId="50" hidden="1">{#N/A,#N/A,TRUE,"INGENIERIA";#N/A,#N/A,TRUE,"COMPRAS";#N/A,#N/A,TRUE,"DIRECCION";#N/A,#N/A,TRUE,"RESUMEN"}</definedName>
    <definedName name="YTU" localSheetId="1" hidden="1">{#N/A,#N/A,TRUE,"INGENIERIA";#N/A,#N/A,TRUE,"COMPRAS";#N/A,#N/A,TRUE,"DIRECCION";#N/A,#N/A,TRUE,"RESUMEN"}</definedName>
    <definedName name="YTU" hidden="1">{#N/A,#N/A,TRUE,"INGENIERIA";#N/A,#N/A,TRUE,"COMPRAS";#N/A,#N/A,TRUE,"DIRECCION";#N/A,#N/A,TRUE,"RESUMEN"}</definedName>
    <definedName name="ytudfgd" localSheetId="50"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73" hidden="1">{"TAB1",#N/A,TRUE,"GENERAL";"TAB2",#N/A,TRUE,"GENERAL";"TAB3",#N/A,TRUE,"GENERAL";"TAB4",#N/A,TRUE,"GENERAL";"TAB5",#N/A,TRUE,"GENERAL"}</definedName>
    <definedName name="ytudfgd" hidden="1">{"TAB1",#N/A,TRUE,"GENERAL";"TAB2",#N/A,TRUE,"GENERAL";"TAB3",#N/A,TRUE,"GENERAL";"TAB4",#N/A,TRUE,"GENERAL";"TAB5",#N/A,TRUE,"GENERAL"}</definedName>
    <definedName name="YTUIIYU" localSheetId="50" hidden="1">{#N/A,#N/A,TRUE,"INGENIERIA";#N/A,#N/A,TRUE,"COMPRAS";#N/A,#N/A,TRUE,"DIRECCION";#N/A,#N/A,TRUE,"RESUMEN"}</definedName>
    <definedName name="YTUIIYU" localSheetId="1" hidden="1">{#N/A,#N/A,TRUE,"INGENIERIA";#N/A,#N/A,TRUE,"COMPRAS";#N/A,#N/A,TRUE,"DIRECCION";#N/A,#N/A,TRUE,"RESUMEN"}</definedName>
    <definedName name="YTUIIYU" hidden="1">{#N/A,#N/A,TRUE,"INGENIERIA";#N/A,#N/A,TRUE,"COMPRAS";#N/A,#N/A,TRUE,"DIRECCION";#N/A,#N/A,TRUE,"RESUMEN"}</definedName>
    <definedName name="yturtu7" localSheetId="50"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73" hidden="1">{"TAB1",#N/A,TRUE,"GENERAL";"TAB2",#N/A,TRUE,"GENERAL";"TAB3",#N/A,TRUE,"GENERAL";"TAB4",#N/A,TRUE,"GENERAL";"TAB5",#N/A,TRUE,"GENERAL"}</definedName>
    <definedName name="yturtu7" hidden="1">{"TAB1",#N/A,TRUE,"GENERAL";"TAB2",#N/A,TRUE,"GENERAL";"TAB3",#N/A,TRUE,"GENERAL";"TAB4",#N/A,TRUE,"GENERAL";"TAB5",#N/A,TRUE,"GENERAL"}</definedName>
    <definedName name="yturu" localSheetId="50" hidden="1">{"TAB1",#N/A,TRUE,"GENERAL";"TAB2",#N/A,TRUE,"GENERAL";"TAB3",#N/A,TRUE,"GENERAL";"TAB4",#N/A,TRUE,"GENERAL";"TAB5",#N/A,TRUE,"GENERAL"}</definedName>
    <definedName name="yturu" localSheetId="1" hidden="1">{"TAB1",#N/A,TRUE,"GENERAL";"TAB2",#N/A,TRUE,"GENERAL";"TAB3",#N/A,TRUE,"GENERAL";"TAB4",#N/A,TRUE,"GENERAL";"TAB5",#N/A,TRUE,"GENERAL"}</definedName>
    <definedName name="yturu" localSheetId="73" hidden="1">{"TAB1",#N/A,TRUE,"GENERAL";"TAB2",#N/A,TRUE,"GENERAL";"TAB3",#N/A,TRUE,"GENERAL";"TAB4",#N/A,TRUE,"GENERAL";"TAB5",#N/A,TRUE,"GENERAL"}</definedName>
    <definedName name="yturu" hidden="1">{"TAB1",#N/A,TRUE,"GENERAL";"TAB2",#N/A,TRUE,"GENERAL";"TAB3",#N/A,TRUE,"GENERAL";"TAB4",#N/A,TRUE,"GENERAL";"TAB5",#N/A,TRUE,"GENERAL"}</definedName>
    <definedName name="ytuytfgh" localSheetId="50" hidden="1">{"via1",#N/A,TRUE,"general";"via2",#N/A,TRUE,"general";"via3",#N/A,TRUE,"general"}</definedName>
    <definedName name="ytuytfgh" localSheetId="1" hidden="1">{"via1",#N/A,TRUE,"general";"via2",#N/A,TRUE,"general";"via3",#N/A,TRUE,"general"}</definedName>
    <definedName name="ytuytfgh" localSheetId="73" hidden="1">{"via1",#N/A,TRUE,"general";"via2",#N/A,TRUE,"general";"via3",#N/A,TRUE,"general"}</definedName>
    <definedName name="ytuytfgh" hidden="1">{"via1",#N/A,TRUE,"general";"via2",#N/A,TRUE,"general";"via3",#N/A,TRUE,"general"}</definedName>
    <definedName name="yty" localSheetId="50" hidden="1">{"TAB1",#N/A,TRUE,"GENERAL";"TAB2",#N/A,TRUE,"GENERAL";"TAB3",#N/A,TRUE,"GENERAL";"TAB4",#N/A,TRUE,"GENERAL";"TAB5",#N/A,TRUE,"GENERAL"}</definedName>
    <definedName name="yty" localSheetId="1" hidden="1">{"TAB1",#N/A,TRUE,"GENERAL";"TAB2",#N/A,TRUE,"GENERAL";"TAB3",#N/A,TRUE,"GENERAL";"TAB4",#N/A,TRUE,"GENERAL";"TAB5",#N/A,TRUE,"GENERAL"}</definedName>
    <definedName name="yty" localSheetId="73" hidden="1">{"TAB1",#N/A,TRUE,"GENERAL";"TAB2",#N/A,TRUE,"GENERAL";"TAB3",#N/A,TRUE,"GENERAL";"TAB4",#N/A,TRUE,"GENERAL";"TAB5",#N/A,TRUE,"GENERAL"}</definedName>
    <definedName name="yty" hidden="1">{"TAB1",#N/A,TRUE,"GENERAL";"TAB2",#N/A,TRUE,"GENERAL";"TAB3",#N/A,TRUE,"GENERAL";"TAB4",#N/A,TRUE,"GENERAL";"TAB5",#N/A,TRUE,"GENERAL"}</definedName>
    <definedName name="ytyyh" localSheetId="50" hidden="1">{"via1",#N/A,TRUE,"general";"via2",#N/A,TRUE,"general";"via3",#N/A,TRUE,"general"}</definedName>
    <definedName name="ytyyh" localSheetId="1" hidden="1">{"via1",#N/A,TRUE,"general";"via2",#N/A,TRUE,"general";"via3",#N/A,TRUE,"general"}</definedName>
    <definedName name="ytyyh" localSheetId="73" hidden="1">{"via1",#N/A,TRUE,"general";"via2",#N/A,TRUE,"general";"via3",#N/A,TRUE,"general"}</definedName>
    <definedName name="ytyyh" hidden="1">{"via1",#N/A,TRUE,"general";"via2",#N/A,TRUE,"general";"via3",#N/A,TRUE,"general"}</definedName>
    <definedName name="ytzacdfg" localSheetId="50"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73" hidden="1">{"TAB1",#N/A,TRUE,"GENERAL";"TAB2",#N/A,TRUE,"GENERAL";"TAB3",#N/A,TRUE,"GENERAL";"TAB4",#N/A,TRUE,"GENERAL";"TAB5",#N/A,TRUE,"GENERAL"}</definedName>
    <definedName name="ytzacdfg" hidden="1">{"TAB1",#N/A,TRUE,"GENERAL";"TAB2",#N/A,TRUE,"GENERAL";"TAB3",#N/A,TRUE,"GENERAL";"TAB4",#N/A,TRUE,"GENERAL";"TAB5",#N/A,TRUE,"GENERAL"}</definedName>
    <definedName name="yu" localSheetId="50" hidden="1">{"TAB1",#N/A,TRUE,"GENERAL";"TAB2",#N/A,TRUE,"GENERAL";"TAB3",#N/A,TRUE,"GENERAL";"TAB4",#N/A,TRUE,"GENERAL";"TAB5",#N/A,TRUE,"GENERAL"}</definedName>
    <definedName name="yu" localSheetId="1" hidden="1">{"TAB1",#N/A,TRUE,"GENERAL";"TAB2",#N/A,TRUE,"GENERAL";"TAB3",#N/A,TRUE,"GENERAL";"TAB4",#N/A,TRUE,"GENERAL";"TAB5",#N/A,TRUE,"GENERAL"}</definedName>
    <definedName name="yu" localSheetId="73" hidden="1">{"TAB1",#N/A,TRUE,"GENERAL";"TAB2",#N/A,TRUE,"GENERAL";"TAB3",#N/A,TRUE,"GENERAL";"TAB4",#N/A,TRUE,"GENERAL";"TAB5",#N/A,TRUE,"GENERAL"}</definedName>
    <definedName name="yu" hidden="1">{"TAB1",#N/A,TRUE,"GENERAL";"TAB2",#N/A,TRUE,"GENERAL";"TAB3",#N/A,TRUE,"GENERAL";"TAB4",#N/A,TRUE,"GENERAL";"TAB5",#N/A,TRUE,"GENERAL"}</definedName>
    <definedName name="yudre54" localSheetId="5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73" hidden="1">{"TAB1",#N/A,TRUE,"GENERAL";"TAB2",#N/A,TRUE,"GENERAL";"TAB3",#N/A,TRUE,"GENERAL";"TAB4",#N/A,TRUE,"GENERAL";"TAB5",#N/A,TRUE,"GENERAL"}</definedName>
    <definedName name="yudre54" hidden="1">{"TAB1",#N/A,TRUE,"GENERAL";"TAB2",#N/A,TRUE,"GENERAL";"TAB3",#N/A,TRUE,"GENERAL";"TAB4",#N/A,TRUE,"GENERAL";"TAB5",#N/A,TRUE,"GENERAL"}</definedName>
    <definedName name="yuhgh" localSheetId="50" hidden="1">{"TAB1",#N/A,TRUE,"GENERAL";"TAB2",#N/A,TRUE,"GENERAL";"TAB3",#N/A,TRUE,"GENERAL";"TAB4",#N/A,TRUE,"GENERAL";"TAB5",#N/A,TRUE,"GENERAL"}</definedName>
    <definedName name="yuhgh" localSheetId="1" hidden="1">{"TAB1",#N/A,TRUE,"GENERAL";"TAB2",#N/A,TRUE,"GENERAL";"TAB3",#N/A,TRUE,"GENERAL";"TAB4",#N/A,TRUE,"GENERAL";"TAB5",#N/A,TRUE,"GENERAL"}</definedName>
    <definedName name="yuhgh" localSheetId="73" hidden="1">{"TAB1",#N/A,TRUE,"GENERAL";"TAB2",#N/A,TRUE,"GENERAL";"TAB3",#N/A,TRUE,"GENERAL";"TAB4",#N/A,TRUE,"GENERAL";"TAB5",#N/A,TRUE,"GENERAL"}</definedName>
    <definedName name="yuhgh" hidden="1">{"TAB1",#N/A,TRUE,"GENERAL";"TAB2",#N/A,TRUE,"GENERAL";"TAB3",#N/A,TRUE,"GENERAL";"TAB4",#N/A,TRUE,"GENERAL";"TAB5",#N/A,TRUE,"GENERAL"}</definedName>
    <definedName name="yui" localSheetId="1">#REF!</definedName>
    <definedName name="yui">#REF!</definedName>
    <definedName name="yutu" localSheetId="50" hidden="1">{"via1",#N/A,TRUE,"general";"via2",#N/A,TRUE,"general";"via3",#N/A,TRUE,"general"}</definedName>
    <definedName name="yutu" localSheetId="1" hidden="1">{"via1",#N/A,TRUE,"general";"via2",#N/A,TRUE,"general";"via3",#N/A,TRUE,"general"}</definedName>
    <definedName name="yutu" localSheetId="73" hidden="1">{"via1",#N/A,TRUE,"general";"via2",#N/A,TRUE,"general";"via3",#N/A,TRUE,"general"}</definedName>
    <definedName name="yutu" hidden="1">{"via1",#N/A,TRUE,"general";"via2",#N/A,TRUE,"general";"via3",#N/A,TRUE,"general"}</definedName>
    <definedName name="yuuiiy" localSheetId="50" hidden="1">{"via1",#N/A,TRUE,"general";"via2",#N/A,TRUE,"general";"via3",#N/A,TRUE,"general"}</definedName>
    <definedName name="yuuiiy" localSheetId="1" hidden="1">{"via1",#N/A,TRUE,"general";"via2",#N/A,TRUE,"general";"via3",#N/A,TRUE,"general"}</definedName>
    <definedName name="yuuiiy" localSheetId="73" hidden="1">{"via1",#N/A,TRUE,"general";"via2",#N/A,TRUE,"general";"via3",#N/A,TRUE,"general"}</definedName>
    <definedName name="yuuiiy" hidden="1">{"via1",#N/A,TRUE,"general";"via2",#N/A,TRUE,"general";"via3",#N/A,TRUE,"general"}</definedName>
    <definedName name="yuuuuuu" localSheetId="50" hidden="1">{"via1",#N/A,TRUE,"general";"via2",#N/A,TRUE,"general";"via3",#N/A,TRUE,"general"}</definedName>
    <definedName name="yuuuuuu" localSheetId="1" hidden="1">{"via1",#N/A,TRUE,"general";"via2",#N/A,TRUE,"general";"via3",#N/A,TRUE,"general"}</definedName>
    <definedName name="yuuuuuu" localSheetId="73" hidden="1">{"via1",#N/A,TRUE,"general";"via2",#N/A,TRUE,"general";"via3",#N/A,TRUE,"general"}</definedName>
    <definedName name="yuuuuuu" hidden="1">{"via1",#N/A,TRUE,"general";"via2",#N/A,TRUE,"general";"via3",#N/A,TRUE,"general"}</definedName>
    <definedName name="yy" localSheetId="50" hidden="1">{"via1",#N/A,TRUE,"general";"via2",#N/A,TRUE,"general";"via3",#N/A,TRUE,"general"}</definedName>
    <definedName name="yy" localSheetId="1" hidden="1">{"via1",#N/A,TRUE,"general";"via2",#N/A,TRUE,"general";"via3",#N/A,TRUE,"general"}</definedName>
    <definedName name="yy" localSheetId="73" hidden="1">{"via1",#N/A,TRUE,"general";"via2",#N/A,TRUE,"general";"via3",#N/A,TRUE,"general"}</definedName>
    <definedName name="yy" hidden="1">{"via1",#N/A,TRUE,"general";"via2",#N/A,TRUE,"general";"via3",#N/A,TRUE,"general"}</definedName>
    <definedName name="yyy" localSheetId="50" hidden="1">{"TAB1",#N/A,TRUE,"GENERAL";"TAB2",#N/A,TRUE,"GENERAL";"TAB3",#N/A,TRUE,"GENERAL";"TAB4",#N/A,TRUE,"GENERAL";"TAB5",#N/A,TRUE,"GENERAL"}</definedName>
    <definedName name="yyy" localSheetId="1" hidden="1">{"TAB1",#N/A,TRUE,"GENERAL";"TAB2",#N/A,TRUE,"GENERAL";"TAB3",#N/A,TRUE,"GENERAL";"TAB4",#N/A,TRUE,"GENERAL";"TAB5",#N/A,TRUE,"GENERAL"}</definedName>
    <definedName name="yyy" localSheetId="73" hidden="1">{"TAB1",#N/A,TRUE,"GENERAL";"TAB2",#N/A,TRUE,"GENERAL";"TAB3",#N/A,TRUE,"GENERAL";"TAB4",#N/A,TRUE,"GENERAL";"TAB5",#N/A,TRUE,"GENERAL"}</definedName>
    <definedName name="yyy" hidden="1">{"TAB1",#N/A,TRUE,"GENERAL";"TAB2",#N/A,TRUE,"GENERAL";"TAB3",#N/A,TRUE,"GENERAL";"TAB4",#N/A,TRUE,"GENERAL";"TAB5",#N/A,TRUE,"GENERAL"}</definedName>
    <definedName name="yyyuh" localSheetId="50" hidden="1">{"TAB1",#N/A,TRUE,"GENERAL";"TAB2",#N/A,TRUE,"GENERAL";"TAB3",#N/A,TRUE,"GENERAL";"TAB4",#N/A,TRUE,"GENERAL";"TAB5",#N/A,TRUE,"GENERAL"}</definedName>
    <definedName name="yyyuh" localSheetId="1" hidden="1">{"TAB1",#N/A,TRUE,"GENERAL";"TAB2",#N/A,TRUE,"GENERAL";"TAB3",#N/A,TRUE,"GENERAL";"TAB4",#N/A,TRUE,"GENERAL";"TAB5",#N/A,TRUE,"GENERAL"}</definedName>
    <definedName name="yyyuh" localSheetId="73" hidden="1">{"TAB1",#N/A,TRUE,"GENERAL";"TAB2",#N/A,TRUE,"GENERAL";"TAB3",#N/A,TRUE,"GENERAL";"TAB4",#N/A,TRUE,"GENERAL";"TAB5",#N/A,TRUE,"GENERAL"}</definedName>
    <definedName name="yyyuh" hidden="1">{"TAB1",#N/A,TRUE,"GENERAL";"TAB2",#N/A,TRUE,"GENERAL";"TAB3",#N/A,TRUE,"GENERAL";"TAB4",#N/A,TRUE,"GENERAL";"TAB5",#N/A,TRUE,"GENERAL"}</definedName>
    <definedName name="yyyyhhh" localSheetId="50"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73" hidden="1">{"TAB1",#N/A,TRUE,"GENERAL";"TAB2",#N/A,TRUE,"GENERAL";"TAB3",#N/A,TRUE,"GENERAL";"TAB4",#N/A,TRUE,"GENERAL";"TAB5",#N/A,TRUE,"GENERAL"}</definedName>
    <definedName name="yyyyhhh" hidden="1">{"TAB1",#N/A,TRUE,"GENERAL";"TAB2",#N/A,TRUE,"GENERAL";"TAB3",#N/A,TRUE,"GENERAL";"TAB4",#N/A,TRUE,"GENERAL";"TAB5",#N/A,TRUE,"GENERAL"}</definedName>
    <definedName name="yyyyyf" localSheetId="50" hidden="1">{"via1",#N/A,TRUE,"general";"via2",#N/A,TRUE,"general";"via3",#N/A,TRUE,"general"}</definedName>
    <definedName name="yyyyyf" localSheetId="1" hidden="1">{"via1",#N/A,TRUE,"general";"via2",#N/A,TRUE,"general";"via3",#N/A,TRUE,"general"}</definedName>
    <definedName name="yyyyyf" localSheetId="73" hidden="1">{"via1",#N/A,TRUE,"general";"via2",#N/A,TRUE,"general";"via3",#N/A,TRUE,"general"}</definedName>
    <definedName name="yyyyyf" hidden="1">{"via1",#N/A,TRUE,"general";"via2",#N/A,TRUE,"general";"via3",#N/A,TRUE,"general"}</definedName>
    <definedName name="z" localSheetId="50">#REF!</definedName>
    <definedName name="z" localSheetId="1">#REF!</definedName>
    <definedName name="z">#REF!</definedName>
    <definedName name="ZAPATA" localSheetId="50">#REF!</definedName>
    <definedName name="ZAPATA" localSheetId="1">#REF!</definedName>
    <definedName name="ZAPATA">#REF!</definedName>
    <definedName name="ZAQ" localSheetId="50" hidden="1">{#N/A,#N/A,TRUE,"INGENIERIA";#N/A,#N/A,TRUE,"COMPRAS";#N/A,#N/A,TRUE,"DIRECCION";#N/A,#N/A,TRUE,"RESUMEN"}</definedName>
    <definedName name="ZAQ" localSheetId="1" hidden="1">{#N/A,#N/A,TRUE,"INGENIERIA";#N/A,#N/A,TRUE,"COMPRAS";#N/A,#N/A,TRUE,"DIRECCION";#N/A,#N/A,TRUE,"RESUMEN"}</definedName>
    <definedName name="ZAQ" localSheetId="73" hidden="1">{#N/A,#N/A,TRUE,"INGENIERIA";#N/A,#N/A,TRUE,"COMPRAS";#N/A,#N/A,TRUE,"DIRECCION";#N/A,#N/A,TRUE,"RESUMEN"}</definedName>
    <definedName name="ZAQ" hidden="1">{#N/A,#N/A,TRUE,"INGENIERIA";#N/A,#N/A,TRUE,"COMPRAS";#N/A,#N/A,TRUE,"DIRECCION";#N/A,#N/A,TRUE,"RESUMEN"}</definedName>
    <definedName name="zc" localSheetId="1">#REF!</definedName>
    <definedName name="zc">#REF!</definedName>
    <definedName name="zd" localSheetId="1">#REF!</definedName>
    <definedName name="zd">#REF!</definedName>
    <definedName name="zdervr" localSheetId="50" hidden="1">{"via1",#N/A,TRUE,"general";"via2",#N/A,TRUE,"general";"via3",#N/A,TRUE,"general"}</definedName>
    <definedName name="zdervr" localSheetId="1" hidden="1">{"via1",#N/A,TRUE,"general";"via2",#N/A,TRUE,"general";"via3",#N/A,TRUE,"general"}</definedName>
    <definedName name="zdervr" localSheetId="73" hidden="1">{"via1",#N/A,TRUE,"general";"via2",#N/A,TRUE,"general";"via3",#N/A,TRUE,"general"}</definedName>
    <definedName name="zdervr" hidden="1">{"via1",#N/A,TRUE,"general";"via2",#N/A,TRUE,"general";"via3",#N/A,TRUE,"general"}</definedName>
    <definedName name="zdr" localSheetId="1">#REF!</definedName>
    <definedName name="zdr">#REF!</definedName>
    <definedName name="zx" localSheetId="1">#REF!</definedName>
    <definedName name="zx">#REF!</definedName>
    <definedName name="zxczds" localSheetId="50"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73" hidden="1">{"TAB1",#N/A,TRUE,"GENERAL";"TAB2",#N/A,TRUE,"GENERAL";"TAB3",#N/A,TRUE,"GENERAL";"TAB4",#N/A,TRUE,"GENERAL";"TAB5",#N/A,TRUE,"GENERAL"}</definedName>
    <definedName name="zxczds" hidden="1">{"TAB1",#N/A,TRUE,"GENERAL";"TAB2",#N/A,TRUE,"GENERAL";"TAB3",#N/A,TRUE,"GENERAL";"TAB4",#N/A,TRUE,"GENERAL";"TAB5",#N/A,TRUE,"GENERAL"}</definedName>
    <definedName name="zxsdftyu" localSheetId="50" hidden="1">{"via1",#N/A,TRUE,"general";"via2",#N/A,TRUE,"general";"via3",#N/A,TRUE,"general"}</definedName>
    <definedName name="zxsdftyu" localSheetId="1" hidden="1">{"via1",#N/A,TRUE,"general";"via2",#N/A,TRUE,"general";"via3",#N/A,TRUE,"general"}</definedName>
    <definedName name="zxsdftyu" localSheetId="73" hidden="1">{"via1",#N/A,TRUE,"general";"via2",#N/A,TRUE,"general";"via3",#N/A,TRUE,"general"}</definedName>
    <definedName name="zxsdftyu" hidden="1">{"via1",#N/A,TRUE,"general";"via2",#N/A,TRUE,"general";"via3",#N/A,TRUE,"general"}</definedName>
    <definedName name="zxvxczv" localSheetId="50" hidden="1">{"via1",#N/A,TRUE,"general";"via2",#N/A,TRUE,"general";"via3",#N/A,TRUE,"general"}</definedName>
    <definedName name="zxvxczv" localSheetId="1" hidden="1">{"via1",#N/A,TRUE,"general";"via2",#N/A,TRUE,"general";"via3",#N/A,TRUE,"general"}</definedName>
    <definedName name="zxvxczv" localSheetId="73" hidden="1">{"via1",#N/A,TRUE,"general";"via2",#N/A,TRUE,"general";"via3",#N/A,TRUE,"general"}</definedName>
    <definedName name="zxvxczv" hidden="1">{"via1",#N/A,TRUE,"general";"via2",#N/A,TRUE,"general";"via3",#N/A,TRUE,"general"}</definedName>
    <definedName name="zz" localSheetId="1">#REF!</definedName>
    <definedName name="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70" i="200" l="1"/>
  <c r="E16" i="200"/>
  <c r="E49" i="200"/>
  <c r="A3" i="200"/>
  <c r="D7" i="200"/>
  <c r="F172" i="200"/>
  <c r="F171" i="200"/>
  <c r="H170" i="200"/>
  <c r="H169" i="200"/>
  <c r="F167" i="200"/>
  <c r="F168" i="200" s="1"/>
  <c r="F166" i="200"/>
  <c r="F158" i="200"/>
  <c r="F157" i="200"/>
  <c r="H157" i="200" s="1"/>
  <c r="F156" i="200"/>
  <c r="H155" i="200"/>
  <c r="F155" i="200"/>
  <c r="F150" i="200"/>
  <c r="H149" i="200"/>
  <c r="F149" i="200"/>
  <c r="H147" i="200"/>
  <c r="H146" i="200"/>
  <c r="H145" i="200"/>
  <c r="H144" i="200"/>
  <c r="F141" i="200"/>
  <c r="H141" i="200" s="1"/>
  <c r="H140" i="200"/>
  <c r="H139" i="200"/>
  <c r="F131" i="200"/>
  <c r="H131" i="200" s="1"/>
  <c r="F129" i="200"/>
  <c r="H129" i="200" s="1"/>
  <c r="G128" i="200"/>
  <c r="H128" i="200" s="1"/>
  <c r="F105" i="200"/>
  <c r="F102" i="200"/>
  <c r="D99" i="200"/>
  <c r="F99" i="200" s="1"/>
  <c r="G92" i="200"/>
  <c r="F86" i="200"/>
  <c r="F87" i="200" s="1"/>
  <c r="H85" i="200"/>
  <c r="F73" i="200"/>
  <c r="F62" i="200"/>
  <c r="F61" i="200"/>
  <c r="H54" i="200"/>
  <c r="E53" i="200"/>
  <c r="E52" i="200"/>
  <c r="E50" i="200"/>
  <c r="E51" i="200" s="1"/>
  <c r="F148" i="200"/>
  <c r="E44" i="200"/>
  <c r="D43" i="200"/>
  <c r="E42" i="200"/>
  <c r="E36" i="200"/>
  <c r="F26" i="200"/>
  <c r="E22" i="200"/>
  <c r="E20" i="200"/>
  <c r="E18" i="200"/>
  <c r="G14" i="200"/>
  <c r="G16" i="200" s="1"/>
  <c r="E14" i="200"/>
  <c r="H118" i="200"/>
  <c r="G22" i="200" l="1"/>
  <c r="G20" i="200"/>
  <c r="G18" i="200"/>
  <c r="H18" i="200" s="1"/>
  <c r="H20" i="200"/>
  <c r="F88" i="200"/>
  <c r="H87" i="200"/>
  <c r="H22" i="200"/>
  <c r="H162" i="200"/>
  <c r="H163" i="200" s="1"/>
  <c r="E26" i="200"/>
  <c r="H99" i="200"/>
  <c r="H115" i="200"/>
  <c r="G130" i="200"/>
  <c r="H130" i="200" s="1"/>
  <c r="E55" i="200"/>
  <c r="D100" i="200"/>
  <c r="F173" i="200"/>
  <c r="H14" i="200"/>
  <c r="H86" i="200"/>
  <c r="G132" i="200"/>
  <c r="H16" i="200"/>
  <c r="H134" i="200" l="1"/>
  <c r="H135" i="200" s="1"/>
  <c r="D101" i="200"/>
  <c r="H100" i="200"/>
  <c r="F100" i="200"/>
  <c r="G26" i="200"/>
  <c r="G36" i="200"/>
  <c r="H132" i="200"/>
  <c r="G138" i="200"/>
  <c r="H88" i="200"/>
  <c r="F89" i="200"/>
  <c r="E38" i="200"/>
  <c r="H26" i="200"/>
  <c r="F90" i="200" l="1"/>
  <c r="H89" i="200"/>
  <c r="G38" i="200"/>
  <c r="G42" i="200" s="1"/>
  <c r="H36" i="200"/>
  <c r="G142" i="200"/>
  <c r="H138" i="200"/>
  <c r="H101" i="200"/>
  <c r="F101" i="200"/>
  <c r="D104" i="200"/>
  <c r="H142" i="200" l="1"/>
  <c r="G143" i="200"/>
  <c r="G43" i="200"/>
  <c r="H42" i="200"/>
  <c r="H104" i="200"/>
  <c r="D106" i="200" s="1"/>
  <c r="F104" i="200"/>
  <c r="F91" i="200"/>
  <c r="H90" i="200"/>
  <c r="D103" i="200"/>
  <c r="H38" i="200"/>
  <c r="H106" i="200" l="1"/>
  <c r="F106" i="200"/>
  <c r="G44" i="200"/>
  <c r="H43" i="200"/>
  <c r="H103" i="200"/>
  <c r="H107" i="200" s="1"/>
  <c r="F103" i="200"/>
  <c r="G148" i="200"/>
  <c r="H143" i="200"/>
  <c r="F92" i="200"/>
  <c r="H91" i="200"/>
  <c r="G150" i="200" l="1"/>
  <c r="H148" i="200"/>
  <c r="H44" i="200"/>
  <c r="G45" i="200"/>
  <c r="F93" i="200"/>
  <c r="H92" i="200"/>
  <c r="F94" i="200" l="1"/>
  <c r="H94" i="200" s="1"/>
  <c r="H93" i="200"/>
  <c r="G47" i="200"/>
  <c r="G46" i="200"/>
  <c r="H46" i="200" s="1"/>
  <c r="H45" i="200"/>
  <c r="G166" i="200"/>
  <c r="H150" i="200"/>
  <c r="H151" i="200" s="1"/>
  <c r="H152" i="200" s="1"/>
  <c r="G167" i="200" l="1"/>
  <c r="H166" i="200"/>
  <c r="G49" i="200"/>
  <c r="H47" i="200"/>
  <c r="H96" i="200"/>
  <c r="H109" i="200" s="1"/>
  <c r="H110" i="200" l="1"/>
  <c r="G50" i="200"/>
  <c r="H49" i="200"/>
  <c r="G168" i="200"/>
  <c r="H167" i="200"/>
  <c r="G171" i="200" l="1"/>
  <c r="H168" i="200"/>
  <c r="G51" i="200"/>
  <c r="H50" i="200"/>
  <c r="G172" i="200" l="1"/>
  <c r="H171" i="200"/>
  <c r="G52" i="200"/>
  <c r="H51" i="200"/>
  <c r="G53" i="200" l="1"/>
  <c r="H52" i="200"/>
  <c r="G173" i="200"/>
  <c r="H173" i="200" s="1"/>
  <c r="H175" i="200" s="1"/>
  <c r="H176" i="200" s="1"/>
  <c r="H172" i="200"/>
  <c r="H179" i="200" l="1"/>
  <c r="G61" i="200"/>
  <c r="G55" i="200"/>
  <c r="H55" i="200" s="1"/>
  <c r="H56" i="200" s="1"/>
  <c r="H53" i="200"/>
  <c r="G62" i="200" l="1"/>
  <c r="H61" i="200"/>
  <c r="G65" i="200" l="1"/>
  <c r="H62" i="200"/>
  <c r="G66" i="200" l="1"/>
  <c r="H65" i="200"/>
  <c r="G67" i="200" l="1"/>
  <c r="H66" i="200"/>
  <c r="G68" i="200" l="1"/>
  <c r="H67" i="200"/>
  <c r="G69" i="200" l="1"/>
  <c r="H68" i="200"/>
  <c r="G70" i="200" l="1"/>
  <c r="H69" i="200"/>
  <c r="G71" i="200" l="1"/>
  <c r="G72" i="200" l="1"/>
  <c r="H71" i="200"/>
  <c r="H72" i="200" l="1"/>
  <c r="G73" i="200"/>
  <c r="H73" i="200" s="1"/>
  <c r="H77" i="200" s="1"/>
  <c r="H79" i="200" s="1"/>
  <c r="H80" i="200" l="1"/>
  <c r="I110" i="200" s="1"/>
  <c r="H112" i="200"/>
  <c r="H113" i="200" l="1"/>
  <c r="H122" i="200" s="1"/>
  <c r="H121" i="200"/>
  <c r="H180" i="200" s="1"/>
  <c r="J31" i="198" l="1"/>
  <c r="I38" i="198"/>
  <c r="J31" i="195"/>
  <c r="J31" i="196"/>
  <c r="J31" i="197"/>
  <c r="I38" i="197"/>
  <c r="I38" i="196"/>
  <c r="I38" i="195"/>
  <c r="J31" i="194"/>
  <c r="J31" i="193"/>
  <c r="J31" i="192"/>
  <c r="J221" i="98" l="1"/>
  <c r="J265" i="98"/>
  <c r="F22" i="97" l="1"/>
  <c r="E84" i="2"/>
  <c r="E83" i="2"/>
  <c r="E82" i="2"/>
  <c r="E81" i="2"/>
  <c r="E80" i="2"/>
  <c r="E79" i="2"/>
  <c r="E78" i="2"/>
  <c r="E77" i="2"/>
  <c r="E76" i="2"/>
  <c r="E75" i="2"/>
  <c r="E74" i="2"/>
  <c r="E73" i="2"/>
  <c r="E71" i="2"/>
  <c r="E70" i="2" l="1"/>
  <c r="E69" i="2"/>
  <c r="I299" i="98"/>
  <c r="H299" i="98"/>
  <c r="I255" i="98"/>
  <c r="H255" i="98"/>
  <c r="I211" i="98"/>
  <c r="H211" i="98"/>
  <c r="I167" i="98"/>
  <c r="H167" i="98"/>
  <c r="I123" i="98"/>
  <c r="H123" i="98"/>
  <c r="I77" i="98"/>
  <c r="H77" i="98"/>
  <c r="I31" i="98"/>
  <c r="H31" i="98"/>
  <c r="H28" i="129"/>
  <c r="I31" i="198"/>
  <c r="H31" i="198"/>
  <c r="G31" i="198"/>
  <c r="H30" i="198"/>
  <c r="G30" i="198"/>
  <c r="I31" i="197"/>
  <c r="H31" i="197"/>
  <c r="G31" i="197"/>
  <c r="H30" i="197"/>
  <c r="G30" i="197"/>
  <c r="I31" i="196"/>
  <c r="H31" i="196"/>
  <c r="G31" i="196"/>
  <c r="H30" i="196"/>
  <c r="G30" i="196"/>
  <c r="I31" i="195"/>
  <c r="H31" i="195"/>
  <c r="G31" i="195"/>
  <c r="H30" i="195"/>
  <c r="G30" i="195"/>
  <c r="I31" i="194"/>
  <c r="H31" i="194"/>
  <c r="G31" i="194"/>
  <c r="H30" i="194"/>
  <c r="G30" i="194"/>
  <c r="I31" i="193"/>
  <c r="H31" i="193"/>
  <c r="G31" i="193"/>
  <c r="H30" i="193"/>
  <c r="G30" i="193"/>
  <c r="I31" i="192"/>
  <c r="H31" i="192"/>
  <c r="G31" i="192"/>
  <c r="H30" i="192"/>
  <c r="G30" i="192"/>
  <c r="H30" i="165"/>
  <c r="J31" i="165"/>
  <c r="G31" i="165"/>
  <c r="I31" i="165"/>
  <c r="H31" i="165"/>
  <c r="I28" i="129"/>
  <c r="I29" i="163"/>
  <c r="H29" i="163"/>
  <c r="I29" i="124"/>
  <c r="H29" i="124"/>
  <c r="I29" i="161"/>
  <c r="H29" i="161"/>
  <c r="G29" i="161"/>
  <c r="H30" i="107" l="1"/>
  <c r="H31" i="106"/>
  <c r="G31" i="106"/>
  <c r="I29" i="96"/>
  <c r="H29" i="96"/>
  <c r="H29" i="95"/>
  <c r="I29" i="95"/>
  <c r="B2" i="199"/>
  <c r="B1" i="199"/>
  <c r="G29" i="96"/>
  <c r="I236" i="98"/>
  <c r="I10" i="98"/>
  <c r="F22" i="176"/>
  <c r="I49" i="176"/>
  <c r="K61" i="176" l="1"/>
  <c r="K60" i="176"/>
  <c r="K65" i="176"/>
  <c r="I37" i="190"/>
  <c r="F71" i="176"/>
  <c r="F27" i="176"/>
  <c r="I9" i="132"/>
  <c r="E6" i="126"/>
  <c r="I10" i="165" l="1"/>
  <c r="G10" i="165"/>
  <c r="J38" i="189"/>
  <c r="J37" i="189"/>
  <c r="F27" i="158"/>
  <c r="F26" i="158"/>
  <c r="I26" i="158" s="1"/>
  <c r="J26" i="158" s="1"/>
  <c r="F25" i="158"/>
  <c r="I27" i="158"/>
  <c r="J27" i="158" s="1"/>
  <c r="G27" i="158"/>
  <c r="F20" i="158"/>
  <c r="I10" i="107"/>
  <c r="I10" i="106"/>
  <c r="H133" i="98"/>
  <c r="M137" i="98"/>
  <c r="H87" i="98"/>
  <c r="M91" i="98"/>
  <c r="H41" i="98"/>
  <c r="M45" i="98"/>
  <c r="G26" i="158" l="1"/>
  <c r="G72" i="2" l="1"/>
  <c r="U45" i="176"/>
  <c r="U44" i="176"/>
  <c r="U43" i="176"/>
  <c r="U42" i="176"/>
  <c r="T41" i="176"/>
  <c r="U41" i="176" s="1"/>
  <c r="U46" i="176" s="1"/>
  <c r="U33" i="176"/>
  <c r="U37" i="176" s="1"/>
  <c r="U27" i="176"/>
  <c r="U26" i="176"/>
  <c r="U29" i="176" s="1"/>
  <c r="U25" i="176"/>
  <c r="U24" i="176"/>
  <c r="U23" i="176"/>
  <c r="U22" i="176"/>
  <c r="U21" i="176"/>
  <c r="U15" i="176"/>
  <c r="U14" i="176"/>
  <c r="U13" i="176"/>
  <c r="U12" i="176"/>
  <c r="U11" i="176"/>
  <c r="U10" i="176"/>
  <c r="U6" i="176"/>
  <c r="P6" i="176"/>
  <c r="N6" i="176"/>
  <c r="O3" i="176"/>
  <c r="O2" i="176"/>
  <c r="O1" i="176"/>
  <c r="U48" i="176" l="1"/>
  <c r="U9" i="176"/>
  <c r="U17" i="176" s="1"/>
  <c r="H72" i="2" l="1"/>
  <c r="F34" i="176"/>
  <c r="I34" i="176"/>
  <c r="F35" i="176"/>
  <c r="I35" i="176"/>
  <c r="F117" i="176"/>
  <c r="F113" i="176"/>
  <c r="F114" i="176" s="1"/>
  <c r="F109" i="176"/>
  <c r="F110" i="176" s="1"/>
  <c r="F102" i="176"/>
  <c r="F103" i="176" s="1"/>
  <c r="F98" i="176"/>
  <c r="F99" i="176" s="1"/>
  <c r="F26" i="176"/>
  <c r="F92" i="176"/>
  <c r="F93" i="176" s="1"/>
  <c r="F88" i="176"/>
  <c r="F89" i="176" s="1"/>
  <c r="F31" i="176"/>
  <c r="F30" i="176"/>
  <c r="G34" i="176" l="1"/>
  <c r="G35" i="176"/>
  <c r="F116" i="176"/>
  <c r="F105" i="176"/>
  <c r="F83" i="176"/>
  <c r="F84" i="176" s="1"/>
  <c r="F79" i="176"/>
  <c r="F80" i="176" s="1"/>
  <c r="F75" i="176"/>
  <c r="F76" i="176" s="1"/>
  <c r="F72" i="176"/>
  <c r="F119" i="176" s="1"/>
  <c r="F32" i="176" s="1"/>
  <c r="K68" i="176"/>
  <c r="F29" i="176" s="1"/>
  <c r="G27" i="176"/>
  <c r="I26" i="176"/>
  <c r="J26" i="176" s="1"/>
  <c r="F25" i="176"/>
  <c r="F66" i="176"/>
  <c r="F67" i="176" s="1"/>
  <c r="F62" i="176"/>
  <c r="F63" i="176" s="1"/>
  <c r="F24" i="176"/>
  <c r="F23" i="176"/>
  <c r="G22" i="176"/>
  <c r="F21" i="176"/>
  <c r="G41" i="176" s="1"/>
  <c r="G21" i="176"/>
  <c r="B21" i="176"/>
  <c r="G51" i="158"/>
  <c r="E53" i="158" s="1"/>
  <c r="E54" i="158" s="1"/>
  <c r="F22" i="158" s="1"/>
  <c r="F33" i="176" l="1"/>
  <c r="I32" i="176"/>
  <c r="G32" i="176"/>
  <c r="I27" i="176"/>
  <c r="J27" i="176" s="1"/>
  <c r="K62" i="176"/>
  <c r="F28" i="176" s="1"/>
  <c r="G26" i="176"/>
  <c r="I22" i="176"/>
  <c r="J22" i="176" s="1"/>
  <c r="I33" i="176" l="1"/>
  <c r="G33" i="176"/>
  <c r="F59" i="198"/>
  <c r="F60" i="198" s="1"/>
  <c r="F64" i="198"/>
  <c r="F63" i="198"/>
  <c r="F54" i="198"/>
  <c r="F55" i="198" s="1"/>
  <c r="F50" i="198"/>
  <c r="F51" i="198" s="1"/>
  <c r="F25" i="198"/>
  <c r="F22" i="198"/>
  <c r="F21" i="198"/>
  <c r="F64" i="197"/>
  <c r="F63" i="197"/>
  <c r="F59" i="197"/>
  <c r="F60" i="197" s="1"/>
  <c r="F54" i="197"/>
  <c r="F55" i="197" s="1"/>
  <c r="F50" i="197"/>
  <c r="F51" i="197" s="1"/>
  <c r="F25" i="197"/>
  <c r="F22" i="197"/>
  <c r="F21" i="197"/>
  <c r="F64" i="196"/>
  <c r="F63" i="196"/>
  <c r="F59" i="196"/>
  <c r="F60" i="196" s="1"/>
  <c r="F54" i="196"/>
  <c r="F55" i="196" s="1"/>
  <c r="F50" i="196"/>
  <c r="F51" i="196" s="1"/>
  <c r="F25" i="196"/>
  <c r="F22" i="196"/>
  <c r="F21" i="196"/>
  <c r="F63" i="195"/>
  <c r="F64" i="195" s="1"/>
  <c r="F59" i="195"/>
  <c r="F60" i="195" s="1"/>
  <c r="F54" i="195"/>
  <c r="F55" i="195" s="1"/>
  <c r="F50" i="195"/>
  <c r="F51" i="195" s="1"/>
  <c r="F25" i="195"/>
  <c r="F22" i="195"/>
  <c r="F21" i="195"/>
  <c r="F63" i="194"/>
  <c r="F64" i="194" s="1"/>
  <c r="F59" i="194"/>
  <c r="F60" i="194" s="1"/>
  <c r="F54" i="194"/>
  <c r="F55" i="194" s="1"/>
  <c r="F50" i="194"/>
  <c r="F51" i="194" s="1"/>
  <c r="F25" i="194"/>
  <c r="F22" i="194"/>
  <c r="F21" i="194"/>
  <c r="F20" i="198"/>
  <c r="F20" i="197"/>
  <c r="F20" i="196"/>
  <c r="F20" i="195"/>
  <c r="F20" i="194"/>
  <c r="F20" i="193"/>
  <c r="F20" i="192"/>
  <c r="F19" i="198"/>
  <c r="B19" i="198"/>
  <c r="F19" i="197"/>
  <c r="B19" i="197"/>
  <c r="F19" i="196"/>
  <c r="B19" i="196"/>
  <c r="F19" i="195"/>
  <c r="B19" i="195"/>
  <c r="F19" i="194"/>
  <c r="B19" i="194"/>
  <c r="F25" i="193"/>
  <c r="F23" i="193"/>
  <c r="F63" i="193"/>
  <c r="F64" i="193"/>
  <c r="F59" i="193"/>
  <c r="F60" i="193" s="1"/>
  <c r="F54" i="193"/>
  <c r="F55" i="193" s="1"/>
  <c r="F50" i="193"/>
  <c r="F51" i="193" s="1"/>
  <c r="F22" i="193"/>
  <c r="F21" i="193"/>
  <c r="F19" i="193"/>
  <c r="B19" i="193"/>
  <c r="F25" i="192"/>
  <c r="F23" i="192"/>
  <c r="F63" i="192"/>
  <c r="F64" i="192" s="1"/>
  <c r="F59" i="192"/>
  <c r="F50" i="192"/>
  <c r="F60" i="192"/>
  <c r="F54" i="192"/>
  <c r="F55" i="192" s="1"/>
  <c r="F51" i="192"/>
  <c r="F22" i="192"/>
  <c r="F21" i="192"/>
  <c r="F19" i="192"/>
  <c r="B19" i="192"/>
  <c r="F25" i="165"/>
  <c r="F23" i="165"/>
  <c r="F66" i="165"/>
  <c r="F64" i="165"/>
  <c r="F63" i="165"/>
  <c r="F60" i="165"/>
  <c r="F59" i="165"/>
  <c r="F54" i="165"/>
  <c r="F55" i="165" s="1"/>
  <c r="F50" i="165"/>
  <c r="F51" i="165"/>
  <c r="F22" i="165"/>
  <c r="F21" i="165"/>
  <c r="F19" i="165"/>
  <c r="F20" i="165"/>
  <c r="F23" i="158"/>
  <c r="H309" i="98"/>
  <c r="J310" i="98"/>
  <c r="G309" i="98"/>
  <c r="I308" i="98"/>
  <c r="I309" i="98" s="1"/>
  <c r="J309" i="98" s="1"/>
  <c r="G308" i="98"/>
  <c r="G307" i="98"/>
  <c r="J307" i="98" s="1"/>
  <c r="G299" i="98"/>
  <c r="J299" i="98" s="1"/>
  <c r="J303" i="98" s="1"/>
  <c r="J294" i="98"/>
  <c r="J293" i="98"/>
  <c r="I292" i="98"/>
  <c r="J292" i="98" s="1"/>
  <c r="G292" i="98"/>
  <c r="I291" i="98"/>
  <c r="J291" i="98" s="1"/>
  <c r="G291" i="98"/>
  <c r="I290" i="98"/>
  <c r="J290" i="98" s="1"/>
  <c r="G290" i="98"/>
  <c r="I289" i="98"/>
  <c r="J289" i="98" s="1"/>
  <c r="G289" i="98"/>
  <c r="J283" i="98"/>
  <c r="J282" i="98"/>
  <c r="J281" i="98"/>
  <c r="I280" i="98"/>
  <c r="H280" i="98"/>
  <c r="J280" i="98" s="1"/>
  <c r="G280" i="98"/>
  <c r="F22" i="170"/>
  <c r="F21" i="144"/>
  <c r="F66" i="198" l="1"/>
  <c r="F23" i="198" s="1"/>
  <c r="F24" i="198" s="1"/>
  <c r="F66" i="197"/>
  <c r="F23" i="197" s="1"/>
  <c r="F24" i="197" s="1"/>
  <c r="F66" i="196"/>
  <c r="F23" i="196" s="1"/>
  <c r="F24" i="196" s="1"/>
  <c r="F66" i="195"/>
  <c r="F23" i="195" s="1"/>
  <c r="F24" i="195" s="1"/>
  <c r="F66" i="194"/>
  <c r="F23" i="194" s="1"/>
  <c r="F24" i="194" s="1"/>
  <c r="F66" i="193"/>
  <c r="F66" i="192"/>
  <c r="J311" i="98"/>
  <c r="J295" i="98"/>
  <c r="J308" i="98"/>
  <c r="J279" i="98" l="1"/>
  <c r="J285" i="98" s="1"/>
  <c r="J313" i="98" s="1"/>
  <c r="I23" i="176" s="1"/>
  <c r="J23" i="176" s="1"/>
  <c r="J6" i="198" l="1"/>
  <c r="E6" i="198"/>
  <c r="C6" i="198"/>
  <c r="J41" i="198"/>
  <c r="G41" i="198"/>
  <c r="G40" i="198"/>
  <c r="I39" i="198"/>
  <c r="I40" i="198" s="1"/>
  <c r="J40" i="198" s="1"/>
  <c r="G39" i="198"/>
  <c r="G38" i="198"/>
  <c r="J38" i="198" s="1"/>
  <c r="I25" i="198"/>
  <c r="J25" i="198" s="1"/>
  <c r="G25" i="198"/>
  <c r="I24" i="198"/>
  <c r="J24" i="198" s="1"/>
  <c r="I23" i="198"/>
  <c r="J23" i="198" s="1"/>
  <c r="G23" i="198"/>
  <c r="I22" i="198"/>
  <c r="J22" i="198" s="1"/>
  <c r="G22" i="198"/>
  <c r="H14" i="198"/>
  <c r="G14" i="198"/>
  <c r="J13" i="198"/>
  <c r="H13" i="198"/>
  <c r="G13" i="198"/>
  <c r="J12" i="198"/>
  <c r="H12" i="198"/>
  <c r="G12" i="198"/>
  <c r="I11" i="198"/>
  <c r="I10" i="198" s="1"/>
  <c r="G11" i="198"/>
  <c r="G10" i="198"/>
  <c r="D3" i="198"/>
  <c r="D2" i="198"/>
  <c r="D1" i="198"/>
  <c r="J6" i="197"/>
  <c r="E6" i="197"/>
  <c r="C6" i="197"/>
  <c r="J41" i="197"/>
  <c r="G41" i="197"/>
  <c r="G40" i="197"/>
  <c r="I39" i="197"/>
  <c r="I40" i="197" s="1"/>
  <c r="J40" i="197" s="1"/>
  <c r="G39" i="197"/>
  <c r="G38" i="197"/>
  <c r="J38" i="197" s="1"/>
  <c r="I25" i="197"/>
  <c r="J25" i="197" s="1"/>
  <c r="G25" i="197"/>
  <c r="I24" i="197"/>
  <c r="J24" i="197" s="1"/>
  <c r="I23" i="197"/>
  <c r="J23" i="197" s="1"/>
  <c r="G23" i="197"/>
  <c r="I22" i="197"/>
  <c r="J22" i="197" s="1"/>
  <c r="G22" i="197"/>
  <c r="H14" i="197"/>
  <c r="G14" i="197"/>
  <c r="J13" i="197"/>
  <c r="H13" i="197"/>
  <c r="G13" i="197"/>
  <c r="J12" i="197"/>
  <c r="H12" i="197"/>
  <c r="G12" i="197"/>
  <c r="I11" i="197"/>
  <c r="I10" i="197" s="1"/>
  <c r="G11" i="197"/>
  <c r="G10" i="197"/>
  <c r="D3" i="197"/>
  <c r="D2" i="197"/>
  <c r="D1" i="197"/>
  <c r="J6" i="196"/>
  <c r="E6" i="196"/>
  <c r="C6" i="196"/>
  <c r="J41" i="196"/>
  <c r="G41" i="196"/>
  <c r="G40" i="196"/>
  <c r="I39" i="196"/>
  <c r="G39" i="196"/>
  <c r="G38" i="196"/>
  <c r="J38" i="196" s="1"/>
  <c r="I25" i="196"/>
  <c r="J25" i="196" s="1"/>
  <c r="G25" i="196"/>
  <c r="I24" i="196"/>
  <c r="J24" i="196" s="1"/>
  <c r="I23" i="196"/>
  <c r="J23" i="196" s="1"/>
  <c r="G23" i="196"/>
  <c r="I22" i="196"/>
  <c r="J22" i="196" s="1"/>
  <c r="G22" i="196"/>
  <c r="H14" i="196"/>
  <c r="G14" i="196"/>
  <c r="J13" i="196"/>
  <c r="H13" i="196"/>
  <c r="G13" i="196"/>
  <c r="J12" i="196"/>
  <c r="H12" i="196"/>
  <c r="G12" i="196"/>
  <c r="I11" i="196"/>
  <c r="I10" i="196" s="1"/>
  <c r="G11" i="196"/>
  <c r="G10" i="196"/>
  <c r="D3" i="196"/>
  <c r="D2" i="196"/>
  <c r="D1" i="196"/>
  <c r="J6" i="195"/>
  <c r="E6" i="195"/>
  <c r="C6" i="195"/>
  <c r="J41" i="195"/>
  <c r="G41" i="195"/>
  <c r="G40" i="195"/>
  <c r="I39" i="195"/>
  <c r="I40" i="195" s="1"/>
  <c r="J40" i="195" s="1"/>
  <c r="G39" i="195"/>
  <c r="J38" i="195"/>
  <c r="G38" i="195"/>
  <c r="I25" i="195"/>
  <c r="J25" i="195" s="1"/>
  <c r="G25" i="195"/>
  <c r="I24" i="195"/>
  <c r="J24" i="195" s="1"/>
  <c r="I23" i="195"/>
  <c r="J23" i="195" s="1"/>
  <c r="G23" i="195"/>
  <c r="I22" i="195"/>
  <c r="J22" i="195" s="1"/>
  <c r="G22" i="195"/>
  <c r="H14" i="195"/>
  <c r="G14" i="195"/>
  <c r="J13" i="195"/>
  <c r="H13" i="195"/>
  <c r="G13" i="195"/>
  <c r="J12" i="195"/>
  <c r="H12" i="195"/>
  <c r="G12" i="195"/>
  <c r="I11" i="195"/>
  <c r="I10" i="195" s="1"/>
  <c r="G11" i="195"/>
  <c r="G10" i="195"/>
  <c r="D3" i="195"/>
  <c r="D2" i="195"/>
  <c r="D1" i="195"/>
  <c r="J6" i="194"/>
  <c r="E6" i="194"/>
  <c r="C6" i="194"/>
  <c r="J41" i="194"/>
  <c r="G41" i="194"/>
  <c r="G40" i="194"/>
  <c r="I39" i="194"/>
  <c r="I40" i="194" s="1"/>
  <c r="J40" i="194" s="1"/>
  <c r="G39" i="194"/>
  <c r="G38" i="194"/>
  <c r="J38" i="194" s="1"/>
  <c r="I25" i="194"/>
  <c r="J25" i="194" s="1"/>
  <c r="G25" i="194"/>
  <c r="I24" i="194"/>
  <c r="J24" i="194" s="1"/>
  <c r="I23" i="194"/>
  <c r="J23" i="194" s="1"/>
  <c r="G23" i="194"/>
  <c r="I22" i="194"/>
  <c r="J22" i="194" s="1"/>
  <c r="G22" i="194"/>
  <c r="H14" i="194"/>
  <c r="G14" i="194"/>
  <c r="J13" i="194"/>
  <c r="H13" i="194"/>
  <c r="G13" i="194"/>
  <c r="J12" i="194"/>
  <c r="H12" i="194"/>
  <c r="G12" i="194"/>
  <c r="I11" i="194"/>
  <c r="I10" i="194" s="1"/>
  <c r="G11" i="194"/>
  <c r="G10" i="194"/>
  <c r="D3" i="194"/>
  <c r="D2" i="194"/>
  <c r="D1" i="194"/>
  <c r="J6" i="193"/>
  <c r="E6" i="193"/>
  <c r="C6" i="193"/>
  <c r="J41" i="193"/>
  <c r="G41" i="193"/>
  <c r="G40" i="193"/>
  <c r="I39" i="193"/>
  <c r="G39" i="193"/>
  <c r="G38" i="193"/>
  <c r="J38" i="193" s="1"/>
  <c r="I25" i="193"/>
  <c r="J25" i="193" s="1"/>
  <c r="G25" i="193"/>
  <c r="F24" i="193"/>
  <c r="I24" i="193" s="1"/>
  <c r="J24" i="193" s="1"/>
  <c r="I23" i="193"/>
  <c r="J23" i="193" s="1"/>
  <c r="G23" i="193"/>
  <c r="I22" i="193"/>
  <c r="J22" i="193" s="1"/>
  <c r="G22" i="193"/>
  <c r="H14" i="193"/>
  <c r="G14" i="193"/>
  <c r="J13" i="193"/>
  <c r="H13" i="193"/>
  <c r="G13" i="193"/>
  <c r="J12" i="193"/>
  <c r="H12" i="193"/>
  <c r="G12" i="193"/>
  <c r="I11" i="193"/>
  <c r="I10" i="193" s="1"/>
  <c r="G11" i="193"/>
  <c r="G10" i="193"/>
  <c r="D3" i="193"/>
  <c r="D2" i="193"/>
  <c r="D1" i="193"/>
  <c r="G30" i="165"/>
  <c r="B19" i="165"/>
  <c r="I38" i="190"/>
  <c r="I20" i="190"/>
  <c r="G20" i="190"/>
  <c r="F20" i="190"/>
  <c r="I38" i="189"/>
  <c r="J39" i="196" l="1"/>
  <c r="J39" i="193"/>
  <c r="G24" i="198"/>
  <c r="J39" i="198"/>
  <c r="J42" i="198" s="1"/>
  <c r="G24" i="197"/>
  <c r="J39" i="197"/>
  <c r="J42" i="197" s="1"/>
  <c r="G24" i="196"/>
  <c r="I40" i="196"/>
  <c r="J40" i="196" s="1"/>
  <c r="G24" i="195"/>
  <c r="J39" i="195"/>
  <c r="J42" i="195" s="1"/>
  <c r="G24" i="194"/>
  <c r="J39" i="194"/>
  <c r="I40" i="193"/>
  <c r="J40" i="193" s="1"/>
  <c r="G24" i="193"/>
  <c r="Q21" i="158"/>
  <c r="Q20" i="158"/>
  <c r="H265" i="98"/>
  <c r="J144" i="98"/>
  <c r="J42" i="196" l="1"/>
  <c r="J9" i="196" s="1"/>
  <c r="J42" i="194"/>
  <c r="J9" i="194" s="1"/>
  <c r="J42" i="193"/>
  <c r="J9" i="193" s="1"/>
  <c r="J9" i="198"/>
  <c r="J9" i="197"/>
  <c r="J9" i="195"/>
  <c r="F22" i="98"/>
  <c r="I11" i="192" l="1"/>
  <c r="I10" i="192" s="1"/>
  <c r="I10" i="33"/>
  <c r="J6" i="192"/>
  <c r="E6" i="192"/>
  <c r="C6" i="192"/>
  <c r="J41" i="192"/>
  <c r="G41" i="192"/>
  <c r="G40" i="192"/>
  <c r="I39" i="192"/>
  <c r="G39" i="192"/>
  <c r="G38" i="192"/>
  <c r="J38" i="192" s="1"/>
  <c r="I25" i="192"/>
  <c r="J25" i="192" s="1"/>
  <c r="G25" i="192"/>
  <c r="F24" i="192"/>
  <c r="G24" i="192" s="1"/>
  <c r="I23" i="192"/>
  <c r="J23" i="192" s="1"/>
  <c r="G23" i="192"/>
  <c r="I22" i="192"/>
  <c r="J22" i="192" s="1"/>
  <c r="G22" i="192"/>
  <c r="H14" i="192"/>
  <c r="G14" i="192"/>
  <c r="J13" i="192"/>
  <c r="H13" i="192"/>
  <c r="G13" i="192"/>
  <c r="J12" i="192"/>
  <c r="H12" i="192"/>
  <c r="G12" i="192"/>
  <c r="G11" i="192"/>
  <c r="G10" i="192"/>
  <c r="D3" i="192"/>
  <c r="D2" i="192"/>
  <c r="D1" i="192"/>
  <c r="I39" i="165"/>
  <c r="I40" i="165" s="1"/>
  <c r="J40" i="165" s="1"/>
  <c r="F24" i="165"/>
  <c r="B19" i="126"/>
  <c r="J39" i="192" l="1"/>
  <c r="I40" i="192"/>
  <c r="J40" i="192" s="1"/>
  <c r="I24" i="192"/>
  <c r="J24" i="192" s="1"/>
  <c r="C6" i="171"/>
  <c r="J20" i="190"/>
  <c r="D44" i="2"/>
  <c r="G19" i="189"/>
  <c r="B19" i="189"/>
  <c r="J42" i="192" l="1"/>
  <c r="J9" i="192" l="1"/>
  <c r="J20" i="189"/>
  <c r="J6" i="190"/>
  <c r="E6" i="190"/>
  <c r="C6" i="190"/>
  <c r="J6" i="189"/>
  <c r="E6" i="189"/>
  <c r="C6" i="189"/>
  <c r="J40" i="190"/>
  <c r="G40" i="190"/>
  <c r="J39" i="190"/>
  <c r="G39" i="190"/>
  <c r="G38" i="190"/>
  <c r="J38" i="190" s="1"/>
  <c r="G37" i="190"/>
  <c r="J37" i="190" s="1"/>
  <c r="J29" i="190"/>
  <c r="J33" i="190" s="1"/>
  <c r="I24" i="190"/>
  <c r="J24" i="190" s="1"/>
  <c r="G24" i="190"/>
  <c r="I23" i="190"/>
  <c r="J23" i="190" s="1"/>
  <c r="G23" i="190"/>
  <c r="I22" i="190"/>
  <c r="J22" i="190" s="1"/>
  <c r="G22" i="190"/>
  <c r="I21" i="190"/>
  <c r="J21" i="190" s="1"/>
  <c r="G21" i="190"/>
  <c r="I19" i="190"/>
  <c r="J19" i="190" s="1"/>
  <c r="G19" i="190"/>
  <c r="H14" i="190"/>
  <c r="G14" i="190"/>
  <c r="J13" i="190"/>
  <c r="H13" i="190"/>
  <c r="G13" i="190"/>
  <c r="J12" i="190"/>
  <c r="H12" i="190"/>
  <c r="G12" i="190"/>
  <c r="J11" i="190"/>
  <c r="H11" i="190"/>
  <c r="G11" i="190"/>
  <c r="J10" i="190"/>
  <c r="H10" i="190"/>
  <c r="G10" i="190"/>
  <c r="D3" i="190"/>
  <c r="D2" i="190"/>
  <c r="D1" i="190"/>
  <c r="J40" i="189"/>
  <c r="G40" i="189"/>
  <c r="J39" i="189"/>
  <c r="G39" i="189"/>
  <c r="G38" i="189"/>
  <c r="G37" i="189"/>
  <c r="J29" i="189"/>
  <c r="J33" i="189" s="1"/>
  <c r="I24" i="189"/>
  <c r="J24" i="189" s="1"/>
  <c r="G24" i="189"/>
  <c r="I23" i="189"/>
  <c r="J23" i="189" s="1"/>
  <c r="G23" i="189"/>
  <c r="I22" i="189"/>
  <c r="J22" i="189" s="1"/>
  <c r="G22" i="189"/>
  <c r="I21" i="189"/>
  <c r="J21" i="189" s="1"/>
  <c r="G21" i="189"/>
  <c r="H14" i="189"/>
  <c r="G14" i="189"/>
  <c r="J13" i="189"/>
  <c r="H13" i="189"/>
  <c r="G13" i="189"/>
  <c r="J12" i="189"/>
  <c r="H12" i="189"/>
  <c r="G12" i="189"/>
  <c r="J11" i="189"/>
  <c r="H11" i="189"/>
  <c r="G11" i="189"/>
  <c r="J10" i="189"/>
  <c r="H10" i="189"/>
  <c r="G10" i="189"/>
  <c r="D3" i="189"/>
  <c r="D2" i="189"/>
  <c r="D1" i="189"/>
  <c r="J23" i="169"/>
  <c r="J24" i="169"/>
  <c r="J22" i="126"/>
  <c r="I20" i="126"/>
  <c r="J20" i="126" s="1"/>
  <c r="G20" i="126"/>
  <c r="I19" i="126"/>
  <c r="J19" i="126" s="1"/>
  <c r="F19" i="171"/>
  <c r="C188" i="98"/>
  <c r="H177" i="98"/>
  <c r="G255" i="98"/>
  <c r="G211" i="98"/>
  <c r="G167" i="98"/>
  <c r="G77" i="98"/>
  <c r="G123" i="98"/>
  <c r="B19" i="171"/>
  <c r="J20" i="171"/>
  <c r="J21" i="171"/>
  <c r="J22" i="171"/>
  <c r="G28" i="166"/>
  <c r="B19" i="129"/>
  <c r="G265" i="98"/>
  <c r="G221" i="98"/>
  <c r="G220" i="98"/>
  <c r="G219" i="98"/>
  <c r="G177" i="98"/>
  <c r="G176" i="98"/>
  <c r="G175" i="98"/>
  <c r="G19" i="167"/>
  <c r="J20" i="167"/>
  <c r="I25" i="98"/>
  <c r="G25" i="98"/>
  <c r="F23" i="98"/>
  <c r="J41" i="190" l="1"/>
  <c r="J9" i="190" s="1"/>
  <c r="J15" i="190" s="1"/>
  <c r="J41" i="189"/>
  <c r="J9" i="189" s="1"/>
  <c r="J15" i="189" s="1"/>
  <c r="J25" i="190"/>
  <c r="G19" i="126"/>
  <c r="J43" i="190" l="1"/>
  <c r="E45" i="2" s="1"/>
  <c r="F45" i="2" s="1"/>
  <c r="I246" i="98"/>
  <c r="G246" i="98"/>
  <c r="I245" i="98"/>
  <c r="G245" i="98"/>
  <c r="I247" i="98"/>
  <c r="I203" i="98"/>
  <c r="G203" i="98"/>
  <c r="I202" i="98"/>
  <c r="G202" i="98"/>
  <c r="I201" i="98"/>
  <c r="G201" i="98"/>
  <c r="I159" i="98"/>
  <c r="G159" i="98"/>
  <c r="I158" i="98"/>
  <c r="G157" i="98"/>
  <c r="I115" i="98"/>
  <c r="G115" i="98"/>
  <c r="I114" i="98"/>
  <c r="G114" i="98"/>
  <c r="I113" i="98"/>
  <c r="G113" i="98"/>
  <c r="I69" i="98"/>
  <c r="J69" i="98" s="1"/>
  <c r="G69" i="98"/>
  <c r="I68" i="98"/>
  <c r="J68" i="98" s="1"/>
  <c r="G68" i="98"/>
  <c r="I67" i="98"/>
  <c r="J67" i="98" s="1"/>
  <c r="G67" i="98"/>
  <c r="I19" i="124"/>
  <c r="J19" i="124" s="1"/>
  <c r="G19" i="124"/>
  <c r="G10" i="126"/>
  <c r="H10" i="126"/>
  <c r="J10" i="126" s="1"/>
  <c r="G10" i="107"/>
  <c r="G10" i="106"/>
  <c r="W19" i="37"/>
  <c r="I10" i="99"/>
  <c r="I157" i="98" l="1"/>
  <c r="G158" i="98"/>
  <c r="I19" i="96"/>
  <c r="J19" i="96" s="1"/>
  <c r="G19" i="96"/>
  <c r="E6" i="123" l="1"/>
  <c r="J20" i="95"/>
  <c r="Q19" i="106" l="1"/>
  <c r="T40" i="170"/>
  <c r="U40" i="170" s="1"/>
  <c r="U39" i="170" s="1"/>
  <c r="Q20" i="123"/>
  <c r="W19" i="158"/>
  <c r="W19" i="91"/>
  <c r="W19" i="88"/>
  <c r="W19" i="47"/>
  <c r="W19" i="45"/>
  <c r="W19" i="44"/>
  <c r="Q18" i="107"/>
  <c r="W19" i="139"/>
  <c r="W19" i="38"/>
  <c r="E6" i="36"/>
  <c r="P6" i="36" s="1"/>
  <c r="U44" i="188"/>
  <c r="J44" i="188"/>
  <c r="U43" i="188"/>
  <c r="J43" i="188"/>
  <c r="U42" i="188"/>
  <c r="J42" i="188"/>
  <c r="U41" i="188"/>
  <c r="J41" i="188" s="1"/>
  <c r="U33" i="188"/>
  <c r="U37" i="188" s="1"/>
  <c r="J33" i="188"/>
  <c r="J37" i="188" s="1"/>
  <c r="U27" i="188" s="1"/>
  <c r="J27" i="188" s="1"/>
  <c r="U26" i="188" s="1"/>
  <c r="J26" i="188" s="1"/>
  <c r="U25" i="188"/>
  <c r="J25" i="188" s="1"/>
  <c r="U24" i="188"/>
  <c r="J24" i="188" s="1"/>
  <c r="U23" i="188" s="1"/>
  <c r="J23" i="188" s="1"/>
  <c r="U22" i="188" s="1"/>
  <c r="J22" i="188"/>
  <c r="U21" i="188" s="1"/>
  <c r="J21" i="188" s="1"/>
  <c r="U15" i="188"/>
  <c r="J15" i="188"/>
  <c r="U14" i="188"/>
  <c r="J14" i="188"/>
  <c r="U13" i="188"/>
  <c r="J13" i="188"/>
  <c r="U12" i="188"/>
  <c r="J12" i="188"/>
  <c r="U11" i="188"/>
  <c r="J11" i="188"/>
  <c r="U10" i="188"/>
  <c r="J10" i="188"/>
  <c r="O1" i="188"/>
  <c r="U43" i="187"/>
  <c r="J43" i="187"/>
  <c r="T42" i="187"/>
  <c r="I42" i="187"/>
  <c r="U41" i="187" s="1"/>
  <c r="J41" i="187" s="1"/>
  <c r="U33" i="187"/>
  <c r="U37" i="187" s="1"/>
  <c r="J33" i="187"/>
  <c r="J37" i="187" s="1"/>
  <c r="U27" i="187"/>
  <c r="J27" i="187" s="1"/>
  <c r="U26" i="187"/>
  <c r="J26" i="187" s="1"/>
  <c r="U25" i="187" s="1"/>
  <c r="J25" i="187" s="1"/>
  <c r="U24" i="187" s="1"/>
  <c r="J24" i="187"/>
  <c r="U23" i="187" s="1"/>
  <c r="J23" i="187" s="1"/>
  <c r="U22" i="187" s="1"/>
  <c r="J22" i="187" s="1"/>
  <c r="U21" i="187"/>
  <c r="J21" i="187"/>
  <c r="U15" i="187"/>
  <c r="J15" i="187"/>
  <c r="U14" i="187"/>
  <c r="J14" i="187"/>
  <c r="U13" i="187"/>
  <c r="J13" i="187"/>
  <c r="U12" i="187"/>
  <c r="J12" i="187"/>
  <c r="U11" i="187"/>
  <c r="J11" i="187"/>
  <c r="U10" i="187"/>
  <c r="J10" i="187"/>
  <c r="U6" i="187"/>
  <c r="P6" i="187" s="1"/>
  <c r="N6" i="187" s="1"/>
  <c r="O3" i="187" s="1"/>
  <c r="O2" i="187" s="1"/>
  <c r="O1" i="187" s="1"/>
  <c r="U43" i="186"/>
  <c r="U44" i="186" s="1"/>
  <c r="U9" i="186" s="1"/>
  <c r="J43" i="186"/>
  <c r="T42" i="186"/>
  <c r="U42" i="186" s="1"/>
  <c r="I42" i="186"/>
  <c r="J42" i="186" s="1"/>
  <c r="U41" i="186" s="1"/>
  <c r="J41" i="186" s="1"/>
  <c r="U33" i="186"/>
  <c r="U37" i="186" s="1"/>
  <c r="J33" i="186"/>
  <c r="J37" i="186" s="1"/>
  <c r="U27" i="186" s="1"/>
  <c r="J27" i="186" s="1"/>
  <c r="U26" i="186"/>
  <c r="J26" i="186" s="1"/>
  <c r="U25" i="186" s="1"/>
  <c r="J25" i="186" s="1"/>
  <c r="U24" i="186" s="1"/>
  <c r="J24" i="186" s="1"/>
  <c r="J23" i="186"/>
  <c r="U22" i="186" s="1"/>
  <c r="J22" i="186" s="1"/>
  <c r="U21" i="186" s="1"/>
  <c r="U15" i="186"/>
  <c r="J15" i="186"/>
  <c r="U14" i="186"/>
  <c r="J14" i="186"/>
  <c r="U13" i="186"/>
  <c r="J13" i="186"/>
  <c r="U12" i="186"/>
  <c r="J12" i="186"/>
  <c r="U11" i="186"/>
  <c r="J11" i="186"/>
  <c r="U10" i="186"/>
  <c r="J10" i="186"/>
  <c r="N6" i="186"/>
  <c r="U6" i="186" s="1"/>
  <c r="P6" i="186" s="1"/>
  <c r="O3" i="186" s="1"/>
  <c r="O2" i="186"/>
  <c r="O1" i="186" s="1"/>
  <c r="U43" i="185"/>
  <c r="J43" i="185"/>
  <c r="T42" i="185"/>
  <c r="I42" i="185"/>
  <c r="U41" i="185" s="1"/>
  <c r="J41" i="185" s="1"/>
  <c r="U33" i="185"/>
  <c r="U37" i="185" s="1"/>
  <c r="J33" i="185"/>
  <c r="U27" i="185" s="1"/>
  <c r="J27" i="185" s="1"/>
  <c r="U26" i="185" s="1"/>
  <c r="J26" i="185" s="1"/>
  <c r="U25" i="185" s="1"/>
  <c r="J25" i="185"/>
  <c r="U24" i="185" s="1"/>
  <c r="J24" i="185" s="1"/>
  <c r="U23" i="185" s="1"/>
  <c r="J23" i="185" s="1"/>
  <c r="U22" i="185"/>
  <c r="J22" i="185"/>
  <c r="U21" i="185" s="1"/>
  <c r="J21" i="185" s="1"/>
  <c r="U15" i="185"/>
  <c r="J15" i="185"/>
  <c r="U14" i="185"/>
  <c r="J14" i="185"/>
  <c r="U13" i="185"/>
  <c r="J13" i="185"/>
  <c r="U12" i="185"/>
  <c r="J12" i="185"/>
  <c r="U11" i="185"/>
  <c r="J11" i="185"/>
  <c r="U10" i="185"/>
  <c r="J10" i="185"/>
  <c r="U6" i="185" s="1"/>
  <c r="P6" i="185" s="1"/>
  <c r="N6" i="185" s="1"/>
  <c r="O3" i="185" s="1"/>
  <c r="O2" i="185" s="1"/>
  <c r="O1" i="185"/>
  <c r="U43" i="184"/>
  <c r="J43" i="184"/>
  <c r="T42" i="184"/>
  <c r="I42" i="184"/>
  <c r="J42" i="184" s="1"/>
  <c r="U41" i="184" s="1"/>
  <c r="J41" i="184" s="1"/>
  <c r="U33" i="184"/>
  <c r="U37" i="184" s="1"/>
  <c r="J33" i="184"/>
  <c r="J37" i="184" s="1"/>
  <c r="U27" i="184"/>
  <c r="J27" i="184" s="1"/>
  <c r="U26" i="184" s="1"/>
  <c r="J26" i="184" s="1"/>
  <c r="U25" i="184" s="1"/>
  <c r="J25" i="184" s="1"/>
  <c r="U24" i="184" s="1"/>
  <c r="J24" i="184"/>
  <c r="U23" i="184" s="1"/>
  <c r="J23" i="184" s="1"/>
  <c r="U22" i="184"/>
  <c r="J22" i="184"/>
  <c r="U21" i="184" s="1"/>
  <c r="J21" i="184"/>
  <c r="U15" i="184"/>
  <c r="J15" i="184"/>
  <c r="U14" i="184"/>
  <c r="J14" i="184"/>
  <c r="U13" i="184"/>
  <c r="J13" i="184"/>
  <c r="U12" i="184"/>
  <c r="J12" i="184"/>
  <c r="U11" i="184"/>
  <c r="J11" i="184"/>
  <c r="U10" i="184"/>
  <c r="J10" i="184"/>
  <c r="U6" i="184"/>
  <c r="P6" i="184" s="1"/>
  <c r="N6" i="184" s="1"/>
  <c r="O3" i="184" s="1"/>
  <c r="O2" i="184" s="1"/>
  <c r="O1" i="184" s="1"/>
  <c r="U44" i="183"/>
  <c r="T43" i="183"/>
  <c r="U43" i="183" s="1"/>
  <c r="J43" i="183"/>
  <c r="U42" i="183" s="1"/>
  <c r="I42" i="183"/>
  <c r="J41" i="183" s="1"/>
  <c r="U33" i="183"/>
  <c r="U37" i="183" s="1"/>
  <c r="J33" i="183"/>
  <c r="J37" i="183" s="1"/>
  <c r="U27" i="183" s="1"/>
  <c r="J27" i="183" s="1"/>
  <c r="U26" i="183"/>
  <c r="J26" i="183" s="1"/>
  <c r="U25" i="183" s="1"/>
  <c r="J25" i="183" s="1"/>
  <c r="U24" i="183" s="1"/>
  <c r="J24" i="183" s="1"/>
  <c r="U23" i="183" s="1"/>
  <c r="J23" i="183"/>
  <c r="U22" i="183" s="1"/>
  <c r="J22" i="183" s="1"/>
  <c r="U21" i="183"/>
  <c r="U15" i="183"/>
  <c r="J15" i="183"/>
  <c r="U14" i="183"/>
  <c r="J14" i="183"/>
  <c r="U13" i="183"/>
  <c r="J13" i="183"/>
  <c r="U12" i="183"/>
  <c r="J12" i="183"/>
  <c r="U11" i="183"/>
  <c r="J11" i="183"/>
  <c r="U10" i="183"/>
  <c r="J10" i="183"/>
  <c r="U6" i="183" s="1"/>
  <c r="P6" i="183" s="1"/>
  <c r="N6" i="183" s="1"/>
  <c r="O3" i="183" s="1"/>
  <c r="O2" i="183" s="1"/>
  <c r="O1" i="183" s="1"/>
  <c r="U43" i="182"/>
  <c r="J43" i="182"/>
  <c r="T42" i="182"/>
  <c r="U42" i="182" s="1"/>
  <c r="I42" i="182"/>
  <c r="U41" i="182" s="1"/>
  <c r="U33" i="182"/>
  <c r="U37" i="182" s="1"/>
  <c r="J33" i="182"/>
  <c r="J37" i="182" s="1"/>
  <c r="U27" i="182" s="1"/>
  <c r="J27" i="182"/>
  <c r="U26" i="182" s="1"/>
  <c r="J26" i="182" s="1"/>
  <c r="U25" i="182" s="1"/>
  <c r="J25" i="182" s="1"/>
  <c r="U24" i="182"/>
  <c r="J24" i="182"/>
  <c r="U23" i="182" s="1"/>
  <c r="J23" i="182" s="1"/>
  <c r="U22" i="182"/>
  <c r="J22" i="182" s="1"/>
  <c r="U21" i="182" s="1"/>
  <c r="U15" i="182"/>
  <c r="J15" i="182"/>
  <c r="U14" i="182"/>
  <c r="J14" i="182"/>
  <c r="U13" i="182"/>
  <c r="J13" i="182"/>
  <c r="U12" i="182"/>
  <c r="J12" i="182"/>
  <c r="U11" i="182"/>
  <c r="J11" i="182"/>
  <c r="U10" i="182"/>
  <c r="J10" i="182"/>
  <c r="U6" i="182"/>
  <c r="P6" i="182" s="1"/>
  <c r="N6" i="182" s="1"/>
  <c r="O3" i="182" s="1"/>
  <c r="O2" i="182"/>
  <c r="O1" i="182" s="1"/>
  <c r="U43" i="181"/>
  <c r="J43" i="181"/>
  <c r="T42" i="181"/>
  <c r="U42" i="181" s="1"/>
  <c r="I42" i="181"/>
  <c r="J42" i="181" s="1"/>
  <c r="U41" i="181"/>
  <c r="J41" i="181" s="1"/>
  <c r="U33" i="181"/>
  <c r="U37" i="181" s="1"/>
  <c r="J33" i="181"/>
  <c r="U27" i="181" s="1"/>
  <c r="J27" i="181" s="1"/>
  <c r="U26" i="181"/>
  <c r="J26" i="181"/>
  <c r="U25" i="181" s="1"/>
  <c r="J25" i="181" s="1"/>
  <c r="U24" i="181"/>
  <c r="J24" i="181"/>
  <c r="U23" i="181" s="1"/>
  <c r="J23" i="181" s="1"/>
  <c r="U22" i="181" s="1"/>
  <c r="J22" i="181" s="1"/>
  <c r="U21" i="181" s="1"/>
  <c r="J21" i="181"/>
  <c r="U15" i="181"/>
  <c r="J15" i="181"/>
  <c r="U14" i="181"/>
  <c r="J14" i="181"/>
  <c r="U13" i="181"/>
  <c r="J13" i="181"/>
  <c r="U12" i="181"/>
  <c r="J12" i="181"/>
  <c r="U11" i="181"/>
  <c r="J11" i="181"/>
  <c r="U10" i="181"/>
  <c r="J10" i="181"/>
  <c r="U6" i="181" s="1"/>
  <c r="P6" i="181" s="1"/>
  <c r="N6" i="181" s="1"/>
  <c r="O4" i="181"/>
  <c r="O3" i="181"/>
  <c r="O2" i="181" s="1"/>
  <c r="O1" i="181" s="1"/>
  <c r="U43" i="180"/>
  <c r="J43" i="180"/>
  <c r="T42" i="180"/>
  <c r="U42" i="180" s="1"/>
  <c r="I42" i="180"/>
  <c r="J42" i="180" s="1"/>
  <c r="U41" i="180" s="1"/>
  <c r="U33" i="180"/>
  <c r="U37" i="180" s="1"/>
  <c r="J33" i="180"/>
  <c r="J37" i="180" s="1"/>
  <c r="U27" i="180" s="1"/>
  <c r="J27" i="180" s="1"/>
  <c r="U26" i="180"/>
  <c r="J26" i="180"/>
  <c r="U25" i="180" s="1"/>
  <c r="J25" i="180" s="1"/>
  <c r="U24" i="180" s="1"/>
  <c r="J24" i="180" s="1"/>
  <c r="U23" i="180" s="1"/>
  <c r="J23" i="180"/>
  <c r="U22" i="180" s="1"/>
  <c r="J22" i="180" s="1"/>
  <c r="U21" i="180" s="1"/>
  <c r="U15" i="180"/>
  <c r="J15" i="180"/>
  <c r="U14" i="180"/>
  <c r="J14" i="180"/>
  <c r="U13" i="180"/>
  <c r="J13" i="180"/>
  <c r="U12" i="180"/>
  <c r="J12" i="180"/>
  <c r="U11" i="180"/>
  <c r="J11" i="180"/>
  <c r="T10" i="180"/>
  <c r="U10" i="180" s="1"/>
  <c r="I10" i="180"/>
  <c r="J10" i="180" s="1"/>
  <c r="U6" i="180"/>
  <c r="P6" i="180"/>
  <c r="N6" i="180"/>
  <c r="O3" i="180" s="1"/>
  <c r="O2" i="180"/>
  <c r="O1" i="180"/>
  <c r="U43" i="179"/>
  <c r="J43" i="179"/>
  <c r="T42" i="179"/>
  <c r="I42" i="179"/>
  <c r="U41" i="179" s="1"/>
  <c r="J41" i="179" s="1"/>
  <c r="U33" i="179"/>
  <c r="U37" i="179" s="1"/>
  <c r="J33" i="179"/>
  <c r="J37" i="179" s="1"/>
  <c r="U27" i="179" s="1"/>
  <c r="J27" i="179" s="1"/>
  <c r="U26" i="179" s="1"/>
  <c r="J26" i="179" s="1"/>
  <c r="U25" i="179" s="1"/>
  <c r="J25" i="179"/>
  <c r="U24" i="179" s="1"/>
  <c r="J24" i="179" s="1"/>
  <c r="U23" i="179"/>
  <c r="J23" i="179" s="1"/>
  <c r="U22" i="179" s="1"/>
  <c r="J22" i="179"/>
  <c r="U21" i="179" s="1"/>
  <c r="U29" i="179" s="1"/>
  <c r="J21" i="179" s="1"/>
  <c r="J29" i="179" s="1"/>
  <c r="U15" i="179"/>
  <c r="J15" i="179"/>
  <c r="U14" i="179"/>
  <c r="J14" i="179"/>
  <c r="U13" i="179"/>
  <c r="J13" i="179"/>
  <c r="U12" i="179"/>
  <c r="J12" i="179"/>
  <c r="U11" i="179"/>
  <c r="J11" i="179"/>
  <c r="U10" i="179"/>
  <c r="J10" i="179"/>
  <c r="U6" i="179" s="1"/>
  <c r="P6" i="179" s="1"/>
  <c r="N6" i="179" s="1"/>
  <c r="O3" i="179" s="1"/>
  <c r="O2" i="179" s="1"/>
  <c r="O1" i="179"/>
  <c r="U44" i="178"/>
  <c r="J43" i="178"/>
  <c r="U42" i="178" s="1"/>
  <c r="J42" i="178" s="1"/>
  <c r="U41" i="178" s="1"/>
  <c r="U33" i="178"/>
  <c r="U37" i="178" s="1"/>
  <c r="J33" i="178"/>
  <c r="J37" i="178" s="1"/>
  <c r="U27" i="178"/>
  <c r="J27" i="178"/>
  <c r="U26" i="178" s="1"/>
  <c r="J26" i="178" s="1"/>
  <c r="U25" i="178" s="1"/>
  <c r="J25" i="178" s="1"/>
  <c r="U24" i="178"/>
  <c r="J24" i="178" s="1"/>
  <c r="U23" i="178"/>
  <c r="J23" i="178" s="1"/>
  <c r="U22" i="178" s="1"/>
  <c r="J22" i="178" s="1"/>
  <c r="U21" i="178"/>
  <c r="J21" i="178" s="1"/>
  <c r="U15" i="178"/>
  <c r="J15" i="178"/>
  <c r="U14" i="178"/>
  <c r="J14" i="178"/>
  <c r="U13" i="178"/>
  <c r="J13" i="178"/>
  <c r="U12" i="178"/>
  <c r="J12" i="178"/>
  <c r="U11" i="178"/>
  <c r="J11" i="178"/>
  <c r="U10" i="178"/>
  <c r="J10" i="178"/>
  <c r="N6" i="178"/>
  <c r="U6" i="178" s="1"/>
  <c r="P6" i="178" s="1"/>
  <c r="O3" i="178" s="1"/>
  <c r="O2" i="178" s="1"/>
  <c r="O1" i="178" s="1"/>
  <c r="U44" i="177"/>
  <c r="U42" i="177"/>
  <c r="J42" i="177" s="1"/>
  <c r="U41" i="177" s="1"/>
  <c r="J41" i="177"/>
  <c r="U33" i="177"/>
  <c r="U37" i="177" s="1"/>
  <c r="J33" i="177"/>
  <c r="J37" i="177" s="1"/>
  <c r="U27" i="177" s="1"/>
  <c r="J27" i="177"/>
  <c r="U26" i="177"/>
  <c r="J26" i="177" s="1"/>
  <c r="U25" i="177" s="1"/>
  <c r="J25" i="177"/>
  <c r="U24" i="177" s="1"/>
  <c r="J24" i="177" s="1"/>
  <c r="U23" i="177" s="1"/>
  <c r="J23" i="177" s="1"/>
  <c r="U22" i="177" s="1"/>
  <c r="J22" i="177" s="1"/>
  <c r="U21" i="177"/>
  <c r="U15" i="177"/>
  <c r="J15" i="177"/>
  <c r="U14" i="177"/>
  <c r="J14" i="177"/>
  <c r="U13" i="177"/>
  <c r="J13" i="177"/>
  <c r="U12" i="177"/>
  <c r="J12" i="177"/>
  <c r="U11" i="177"/>
  <c r="J11" i="177"/>
  <c r="U10" i="177"/>
  <c r="J10" i="177"/>
  <c r="P6" i="177"/>
  <c r="N6" i="177"/>
  <c r="U6" i="177" s="1"/>
  <c r="O3" i="177" s="1"/>
  <c r="O2" i="177" s="1"/>
  <c r="O1" i="177" s="1"/>
  <c r="J53" i="176"/>
  <c r="J52" i="176"/>
  <c r="J51" i="176"/>
  <c r="J50" i="176"/>
  <c r="J49" i="176"/>
  <c r="J35" i="176"/>
  <c r="J34" i="176" s="1"/>
  <c r="J33" i="176" s="1"/>
  <c r="J32" i="176"/>
  <c r="J15" i="176"/>
  <c r="J14" i="176"/>
  <c r="J13" i="176"/>
  <c r="J12" i="176"/>
  <c r="J11" i="176"/>
  <c r="J10" i="176"/>
  <c r="U43" i="175"/>
  <c r="J43" i="175"/>
  <c r="T41" i="175"/>
  <c r="U41" i="175" s="1"/>
  <c r="I41" i="175"/>
  <c r="I42" i="175" s="1"/>
  <c r="J42" i="175" s="1"/>
  <c r="U33" i="175"/>
  <c r="U37" i="175" s="1"/>
  <c r="J33" i="175"/>
  <c r="U27" i="175" s="1"/>
  <c r="J27" i="175" s="1"/>
  <c r="U26" i="175" s="1"/>
  <c r="J26" i="175" s="1"/>
  <c r="U25" i="175" s="1"/>
  <c r="J25" i="175"/>
  <c r="U24" i="175" s="1"/>
  <c r="J24" i="175"/>
  <c r="U23" i="175"/>
  <c r="J23" i="175" s="1"/>
  <c r="U22" i="175" s="1"/>
  <c r="J22" i="175" s="1"/>
  <c r="U21" i="175" s="1"/>
  <c r="J21" i="175" s="1"/>
  <c r="U15" i="175"/>
  <c r="J15" i="175"/>
  <c r="U14" i="175"/>
  <c r="J14" i="175"/>
  <c r="U13" i="175"/>
  <c r="J13" i="175"/>
  <c r="U12" i="175"/>
  <c r="J12" i="175"/>
  <c r="U11" i="175"/>
  <c r="J11" i="175"/>
  <c r="U10" i="175"/>
  <c r="J10" i="175"/>
  <c r="U6" i="175" s="1"/>
  <c r="N6" i="175" s="1"/>
  <c r="O3" i="175" s="1"/>
  <c r="O2" i="175" s="1"/>
  <c r="O1" i="175" s="1"/>
  <c r="U43" i="174"/>
  <c r="J43" i="174"/>
  <c r="T42" i="174"/>
  <c r="I42" i="174"/>
  <c r="J42" i="174" s="1"/>
  <c r="U41" i="174" s="1"/>
  <c r="J41" i="174" s="1"/>
  <c r="J44" i="174" s="1"/>
  <c r="U33" i="174"/>
  <c r="U37" i="174" s="1"/>
  <c r="J33" i="174"/>
  <c r="J37" i="174" s="1"/>
  <c r="U27" i="174"/>
  <c r="J27" i="174" s="1"/>
  <c r="U26" i="174" s="1"/>
  <c r="J26" i="174" s="1"/>
  <c r="U25" i="174" s="1"/>
  <c r="J25" i="174" s="1"/>
  <c r="U24" i="174" s="1"/>
  <c r="J24" i="174"/>
  <c r="U23" i="174" s="1"/>
  <c r="J23" i="174" s="1"/>
  <c r="U22" i="174" s="1"/>
  <c r="J22" i="174" s="1"/>
  <c r="U21" i="174" s="1"/>
  <c r="J21" i="174"/>
  <c r="U15" i="174"/>
  <c r="J15" i="174"/>
  <c r="U14" i="174"/>
  <c r="J14" i="174"/>
  <c r="U13" i="174"/>
  <c r="J13" i="174"/>
  <c r="U12" i="174"/>
  <c r="J12" i="174"/>
  <c r="U11" i="174"/>
  <c r="J11" i="174"/>
  <c r="T10" i="174"/>
  <c r="U10" i="174" s="1"/>
  <c r="I10" i="174"/>
  <c r="J10" i="174" s="1"/>
  <c r="P6" i="174"/>
  <c r="N6" i="174"/>
  <c r="U6" i="174" s="1"/>
  <c r="O3" i="174" s="1"/>
  <c r="O2" i="174" s="1"/>
  <c r="O1" i="174" s="1"/>
  <c r="U45" i="173"/>
  <c r="J45" i="173"/>
  <c r="T44" i="173"/>
  <c r="U44" i="173" s="1"/>
  <c r="I44" i="173"/>
  <c r="J44" i="173" s="1"/>
  <c r="U43" i="173" s="1"/>
  <c r="U35" i="173"/>
  <c r="U39" i="173" s="1"/>
  <c r="J35" i="173"/>
  <c r="J39" i="173" s="1"/>
  <c r="U29" i="173" s="1"/>
  <c r="J29" i="173" s="1"/>
  <c r="U28" i="173" s="1"/>
  <c r="J28" i="173" s="1"/>
  <c r="U27" i="173"/>
  <c r="J27" i="173" s="1"/>
  <c r="U26" i="173" s="1"/>
  <c r="J26" i="173"/>
  <c r="U25" i="173" s="1"/>
  <c r="J25" i="173" s="1"/>
  <c r="U24" i="173" s="1"/>
  <c r="J24" i="173" s="1"/>
  <c r="U23" i="173" s="1"/>
  <c r="J23" i="173" s="1"/>
  <c r="U22" i="173"/>
  <c r="J22" i="173" s="1"/>
  <c r="U21" i="173"/>
  <c r="J21" i="173"/>
  <c r="U15" i="173"/>
  <c r="J15" i="173"/>
  <c r="U14" i="173"/>
  <c r="J14" i="173"/>
  <c r="U13" i="173"/>
  <c r="J13" i="173"/>
  <c r="U12" i="173"/>
  <c r="J12" i="173"/>
  <c r="U11" i="173"/>
  <c r="J11" i="173"/>
  <c r="T10" i="173"/>
  <c r="U10" i="173" s="1"/>
  <c r="I10" i="173"/>
  <c r="J10" i="173" s="1"/>
  <c r="U6" i="173" s="1"/>
  <c r="P6" i="173" s="1"/>
  <c r="N6" i="173" s="1"/>
  <c r="O3" i="173" s="1"/>
  <c r="O2" i="173" s="1"/>
  <c r="O1" i="173" s="1"/>
  <c r="J37" i="185" l="1"/>
  <c r="J37" i="181"/>
  <c r="J44" i="186"/>
  <c r="J44" i="184"/>
  <c r="J9" i="184" s="1"/>
  <c r="J17" i="184" s="1"/>
  <c r="J46" i="184" s="1"/>
  <c r="J52" i="184" s="1"/>
  <c r="J42" i="185"/>
  <c r="U45" i="188"/>
  <c r="U9" i="188" s="1"/>
  <c r="U17" i="188" s="1"/>
  <c r="U29" i="180"/>
  <c r="J21" i="180" s="1"/>
  <c r="J29" i="180" s="1"/>
  <c r="J44" i="185"/>
  <c r="J29" i="175"/>
  <c r="U46" i="173"/>
  <c r="J43" i="173" s="1"/>
  <c r="J46" i="173" s="1"/>
  <c r="J9" i="173" s="1"/>
  <c r="J17" i="173" s="1"/>
  <c r="T42" i="175"/>
  <c r="U42" i="175" s="1"/>
  <c r="U44" i="175" s="1"/>
  <c r="J42" i="179"/>
  <c r="J44" i="179" s="1"/>
  <c r="J9" i="179" s="1"/>
  <c r="J17" i="179" s="1"/>
  <c r="J46" i="179" s="1"/>
  <c r="J52" i="179" s="1"/>
  <c r="J44" i="181"/>
  <c r="U44" i="182"/>
  <c r="J41" i="182" s="1"/>
  <c r="U29" i="183"/>
  <c r="J42" i="187"/>
  <c r="J44" i="187" s="1"/>
  <c r="J9" i="187" s="1"/>
  <c r="J17" i="187" s="1"/>
  <c r="J45" i="188"/>
  <c r="J9" i="188" s="1"/>
  <c r="J17" i="188" s="1"/>
  <c r="U6" i="188" s="1"/>
  <c r="P6" i="188" s="1"/>
  <c r="N6" i="188" s="1"/>
  <c r="O3" i="188" s="1"/>
  <c r="O2" i="188" s="1"/>
  <c r="U44" i="181"/>
  <c r="U9" i="181" s="1"/>
  <c r="U17" i="181" s="1"/>
  <c r="U45" i="183"/>
  <c r="U17" i="186"/>
  <c r="U29" i="174"/>
  <c r="J43" i="177"/>
  <c r="J9" i="177" s="1"/>
  <c r="J17" i="177" s="1"/>
  <c r="U45" i="178"/>
  <c r="J41" i="178" s="1"/>
  <c r="J44" i="178" s="1"/>
  <c r="J37" i="175"/>
  <c r="U45" i="177"/>
  <c r="U9" i="177" s="1"/>
  <c r="U17" i="177" s="1"/>
  <c r="U44" i="180"/>
  <c r="J41" i="180" s="1"/>
  <c r="J44" i="180" s="1"/>
  <c r="J9" i="180" s="1"/>
  <c r="J17" i="180" s="1"/>
  <c r="U9" i="182"/>
  <c r="U17" i="182" s="1"/>
  <c r="J9" i="186"/>
  <c r="J17" i="186" s="1"/>
  <c r="U29" i="185"/>
  <c r="J9" i="181"/>
  <c r="J17" i="181" s="1"/>
  <c r="J9" i="185"/>
  <c r="J17" i="185" s="1"/>
  <c r="J29" i="188"/>
  <c r="J47" i="188" s="1"/>
  <c r="U9" i="183"/>
  <c r="U17" i="183" s="1"/>
  <c r="U47" i="183"/>
  <c r="J9" i="174"/>
  <c r="J17" i="174" s="1"/>
  <c r="U31" i="173"/>
  <c r="U29" i="188"/>
  <c r="J29" i="181"/>
  <c r="U29" i="175"/>
  <c r="U29" i="177"/>
  <c r="U42" i="174"/>
  <c r="U44" i="174" s="1"/>
  <c r="J29" i="185"/>
  <c r="U44" i="187"/>
  <c r="U42" i="184"/>
  <c r="U42" i="185"/>
  <c r="U44" i="185" s="1"/>
  <c r="U29" i="184"/>
  <c r="U29" i="178"/>
  <c r="U42" i="179"/>
  <c r="U44" i="179" s="1"/>
  <c r="J29" i="174"/>
  <c r="U29" i="181"/>
  <c r="U29" i="187"/>
  <c r="J29" i="187"/>
  <c r="J42" i="182"/>
  <c r="J44" i="182" s="1"/>
  <c r="U29" i="182"/>
  <c r="U44" i="184"/>
  <c r="U42" i="187"/>
  <c r="J29" i="184"/>
  <c r="J42" i="183"/>
  <c r="J44" i="183" s="1"/>
  <c r="J31" i="173"/>
  <c r="J54" i="176"/>
  <c r="J29" i="178"/>
  <c r="J21" i="177" s="1"/>
  <c r="J29" i="177" s="1"/>
  <c r="J41" i="175"/>
  <c r="J44" i="175" s="1"/>
  <c r="J48" i="173" l="1"/>
  <c r="J54" i="173" s="1"/>
  <c r="U46" i="181"/>
  <c r="G77" i="2" s="1"/>
  <c r="U47" i="188"/>
  <c r="G84" i="2" s="1"/>
  <c r="U9" i="173"/>
  <c r="U17" i="173" s="1"/>
  <c r="U48" i="173" s="1"/>
  <c r="G69" i="2" s="1"/>
  <c r="J46" i="174"/>
  <c r="J52" i="174" s="1"/>
  <c r="J51" i="183"/>
  <c r="G79" i="2"/>
  <c r="J46" i="180"/>
  <c r="J52" i="180" s="1"/>
  <c r="U47" i="177"/>
  <c r="G73" i="2" s="1"/>
  <c r="J46" i="185"/>
  <c r="J52" i="185" s="1"/>
  <c r="J46" i="187"/>
  <c r="J52" i="187" s="1"/>
  <c r="U9" i="180"/>
  <c r="U17" i="180" s="1"/>
  <c r="U46" i="180" s="1"/>
  <c r="G76" i="2" s="1"/>
  <c r="J45" i="177"/>
  <c r="J51" i="177" s="1"/>
  <c r="U9" i="178"/>
  <c r="U17" i="178" s="1"/>
  <c r="U47" i="178"/>
  <c r="G74" i="2" s="1"/>
  <c r="J46" i="181"/>
  <c r="J52" i="181" s="1"/>
  <c r="U46" i="182"/>
  <c r="G78" i="2" s="1"/>
  <c r="J9" i="182"/>
  <c r="J17" i="182" s="1"/>
  <c r="U9" i="174"/>
  <c r="U17" i="174" s="1"/>
  <c r="U46" i="174" s="1"/>
  <c r="G70" i="2" s="1"/>
  <c r="J9" i="183"/>
  <c r="J17" i="183" s="1"/>
  <c r="J21" i="182"/>
  <c r="J29" i="182" s="1"/>
  <c r="I21" i="183"/>
  <c r="J21" i="183" s="1"/>
  <c r="J29" i="183" s="1"/>
  <c r="J46" i="183" s="1"/>
  <c r="J52" i="183" s="1"/>
  <c r="U9" i="187"/>
  <c r="U17" i="187" s="1"/>
  <c r="U46" i="187" s="1"/>
  <c r="U9" i="175"/>
  <c r="U17" i="175" s="1"/>
  <c r="U46" i="175" s="1"/>
  <c r="G71" i="2" s="1"/>
  <c r="J9" i="176"/>
  <c r="J17" i="176" s="1"/>
  <c r="U9" i="179"/>
  <c r="U17" i="179" s="1"/>
  <c r="U46" i="179" s="1"/>
  <c r="G75" i="2" s="1"/>
  <c r="U9" i="185"/>
  <c r="U17" i="185" s="1"/>
  <c r="U46" i="185" s="1"/>
  <c r="J9" i="178"/>
  <c r="J17" i="178" s="1"/>
  <c r="J46" i="178" s="1"/>
  <c r="J52" i="178" s="1"/>
  <c r="J9" i="175"/>
  <c r="J17" i="175" s="1"/>
  <c r="J46" i="175" s="1"/>
  <c r="J52" i="175" s="1"/>
  <c r="U9" i="184"/>
  <c r="U17" i="184" s="1"/>
  <c r="U46" i="184" s="1"/>
  <c r="J51" i="187" l="1"/>
  <c r="G83" i="2"/>
  <c r="J51" i="184"/>
  <c r="G80" i="2"/>
  <c r="J51" i="185"/>
  <c r="G81" i="2"/>
  <c r="J46" i="182"/>
  <c r="J52" i="182" s="1"/>
  <c r="U42" i="170"/>
  <c r="R42" i="170"/>
  <c r="U31" i="170"/>
  <c r="U35" i="170" s="1"/>
  <c r="T26" i="170"/>
  <c r="U26" i="170" s="1"/>
  <c r="R26" i="170"/>
  <c r="T25" i="170"/>
  <c r="U25" i="170" s="1"/>
  <c r="R25" i="170"/>
  <c r="T24" i="170"/>
  <c r="U24" i="170" s="1"/>
  <c r="R24" i="170"/>
  <c r="T23" i="170"/>
  <c r="U23" i="170" s="1"/>
  <c r="R23" i="170"/>
  <c r="Q22" i="170"/>
  <c r="T22" i="170" s="1"/>
  <c r="U22" i="170" s="1"/>
  <c r="T21" i="170"/>
  <c r="U21" i="170" s="1"/>
  <c r="R21" i="170"/>
  <c r="S16" i="170"/>
  <c r="R16" i="170"/>
  <c r="U15" i="170"/>
  <c r="S15" i="170"/>
  <c r="R15" i="170"/>
  <c r="U14" i="170"/>
  <c r="S14" i="170"/>
  <c r="R14" i="170"/>
  <c r="U13" i="170"/>
  <c r="S13" i="170"/>
  <c r="R13" i="170"/>
  <c r="U12" i="170"/>
  <c r="S12" i="170"/>
  <c r="R12" i="170"/>
  <c r="U11" i="170"/>
  <c r="S11" i="170"/>
  <c r="R11" i="170"/>
  <c r="U10" i="170"/>
  <c r="S10" i="170"/>
  <c r="R10" i="170"/>
  <c r="U42" i="126"/>
  <c r="R42" i="126"/>
  <c r="T40" i="126"/>
  <c r="R31" i="126"/>
  <c r="U31" i="126" s="1"/>
  <c r="U35" i="126" s="1"/>
  <c r="T26" i="126"/>
  <c r="U26" i="126" s="1"/>
  <c r="R26" i="126"/>
  <c r="U25" i="126"/>
  <c r="T24" i="126"/>
  <c r="U24" i="126" s="1"/>
  <c r="R24" i="126"/>
  <c r="T23" i="126"/>
  <c r="U23" i="126" s="1"/>
  <c r="T22" i="126"/>
  <c r="U22" i="126" s="1"/>
  <c r="R22" i="126"/>
  <c r="T21" i="126"/>
  <c r="U21" i="126" s="1"/>
  <c r="R21" i="126"/>
  <c r="T20" i="126"/>
  <c r="U20" i="126" s="1"/>
  <c r="R20" i="126"/>
  <c r="T19" i="126"/>
  <c r="U19" i="126" s="1"/>
  <c r="R19" i="126"/>
  <c r="S14" i="126"/>
  <c r="R14" i="126"/>
  <c r="U13" i="126"/>
  <c r="S13" i="126"/>
  <c r="R13" i="126"/>
  <c r="U12" i="126"/>
  <c r="S12" i="126"/>
  <c r="R12" i="126"/>
  <c r="U11" i="126"/>
  <c r="S11" i="126"/>
  <c r="R11" i="126"/>
  <c r="T10" i="126"/>
  <c r="S10" i="126"/>
  <c r="R10" i="126"/>
  <c r="N6" i="126"/>
  <c r="R29" i="96"/>
  <c r="R29" i="95"/>
  <c r="T21" i="162"/>
  <c r="U40" i="104"/>
  <c r="R40" i="104"/>
  <c r="U39" i="104"/>
  <c r="R39" i="104"/>
  <c r="U38" i="104"/>
  <c r="R38" i="104"/>
  <c r="U29" i="104"/>
  <c r="U33" i="104" s="1"/>
  <c r="T24" i="104"/>
  <c r="U24" i="104" s="1"/>
  <c r="R24" i="104"/>
  <c r="T23" i="104"/>
  <c r="U23" i="104" s="1"/>
  <c r="R23" i="104"/>
  <c r="T22" i="104"/>
  <c r="U22" i="104" s="1"/>
  <c r="R22" i="104"/>
  <c r="Q21" i="104"/>
  <c r="T21" i="104" s="1"/>
  <c r="U21" i="104" s="1"/>
  <c r="T20" i="104"/>
  <c r="U20" i="104" s="1"/>
  <c r="R20" i="104"/>
  <c r="T19" i="104"/>
  <c r="U19" i="104" s="1"/>
  <c r="R19" i="104"/>
  <c r="S14" i="104"/>
  <c r="R14" i="104"/>
  <c r="U13" i="104"/>
  <c r="S13" i="104"/>
  <c r="R13" i="104"/>
  <c r="U12" i="104"/>
  <c r="S12" i="104"/>
  <c r="R12" i="104"/>
  <c r="U11" i="104"/>
  <c r="S11" i="104"/>
  <c r="R11" i="104"/>
  <c r="U10" i="104"/>
  <c r="S10" i="104"/>
  <c r="R10" i="104"/>
  <c r="U40" i="160"/>
  <c r="R40" i="160"/>
  <c r="U39" i="160"/>
  <c r="R39" i="160"/>
  <c r="U38" i="160"/>
  <c r="R38" i="160"/>
  <c r="U29" i="160"/>
  <c r="U33" i="160" s="1"/>
  <c r="T24" i="160"/>
  <c r="U24" i="160" s="1"/>
  <c r="R24" i="160"/>
  <c r="T23" i="160"/>
  <c r="U23" i="160" s="1"/>
  <c r="R23" i="160"/>
  <c r="T22" i="160"/>
  <c r="U22" i="160" s="1"/>
  <c r="R22" i="160"/>
  <c r="T21" i="160"/>
  <c r="U21" i="160" s="1"/>
  <c r="R21" i="160"/>
  <c r="Q21" i="160"/>
  <c r="T20" i="160"/>
  <c r="U20" i="160" s="1"/>
  <c r="R20" i="160"/>
  <c r="T19" i="160"/>
  <c r="U19" i="160" s="1"/>
  <c r="R19" i="160"/>
  <c r="S14" i="160"/>
  <c r="R14" i="160"/>
  <c r="U13" i="160"/>
  <c r="S13" i="160"/>
  <c r="R13" i="160"/>
  <c r="U12" i="160"/>
  <c r="S12" i="160"/>
  <c r="R12" i="160"/>
  <c r="U11" i="160"/>
  <c r="S11" i="160"/>
  <c r="R11" i="160"/>
  <c r="U10" i="160"/>
  <c r="S10" i="160"/>
  <c r="R10" i="160"/>
  <c r="U40" i="103"/>
  <c r="R40" i="103"/>
  <c r="U39" i="103"/>
  <c r="R39" i="103"/>
  <c r="U38" i="103"/>
  <c r="R38" i="103"/>
  <c r="U29" i="103"/>
  <c r="U33" i="103" s="1"/>
  <c r="T24" i="103"/>
  <c r="U24" i="103" s="1"/>
  <c r="R24" i="103"/>
  <c r="T23" i="103"/>
  <c r="U23" i="103" s="1"/>
  <c r="R23" i="103"/>
  <c r="T22" i="103"/>
  <c r="U22" i="103" s="1"/>
  <c r="R22" i="103"/>
  <c r="T21" i="103"/>
  <c r="U21" i="103" s="1"/>
  <c r="R21" i="103"/>
  <c r="T20" i="103"/>
  <c r="U20" i="103" s="1"/>
  <c r="R20" i="103"/>
  <c r="T19" i="103"/>
  <c r="U19" i="103" s="1"/>
  <c r="R19" i="103"/>
  <c r="S14" i="103"/>
  <c r="R14" i="103"/>
  <c r="U13" i="103"/>
  <c r="S13" i="103"/>
  <c r="R13" i="103"/>
  <c r="U12" i="103"/>
  <c r="S12" i="103"/>
  <c r="R12" i="103"/>
  <c r="U11" i="103"/>
  <c r="S11" i="103"/>
  <c r="R11" i="103"/>
  <c r="U10" i="103"/>
  <c r="S10" i="103"/>
  <c r="R10" i="103"/>
  <c r="U40" i="101"/>
  <c r="R40" i="101"/>
  <c r="U39" i="101"/>
  <c r="R39" i="101"/>
  <c r="U38" i="101"/>
  <c r="R38" i="101"/>
  <c r="U29" i="101"/>
  <c r="U33" i="101" s="1"/>
  <c r="T24" i="101"/>
  <c r="U24" i="101" s="1"/>
  <c r="R24" i="101"/>
  <c r="T23" i="101"/>
  <c r="U23" i="101" s="1"/>
  <c r="R23" i="101"/>
  <c r="T22" i="101"/>
  <c r="U22" i="101" s="1"/>
  <c r="R22" i="101"/>
  <c r="T21" i="101"/>
  <c r="U21" i="101" s="1"/>
  <c r="R21" i="101"/>
  <c r="T20" i="101"/>
  <c r="U20" i="101" s="1"/>
  <c r="R20" i="101"/>
  <c r="T19" i="101"/>
  <c r="U19" i="101" s="1"/>
  <c r="R19" i="101"/>
  <c r="S14" i="101"/>
  <c r="R14" i="101"/>
  <c r="U13" i="101"/>
  <c r="S13" i="101"/>
  <c r="R13" i="101"/>
  <c r="U12" i="101"/>
  <c r="S12" i="101"/>
  <c r="R12" i="101"/>
  <c r="U11" i="101"/>
  <c r="S11" i="101"/>
  <c r="R11" i="101"/>
  <c r="U10" i="101"/>
  <c r="S10" i="101"/>
  <c r="R10" i="101"/>
  <c r="L6" i="107"/>
  <c r="T24" i="107"/>
  <c r="U10" i="126" l="1"/>
  <c r="U27" i="170"/>
  <c r="R22" i="170"/>
  <c r="U43" i="170"/>
  <c r="U27" i="126"/>
  <c r="R23" i="126"/>
  <c r="T41" i="126"/>
  <c r="U25" i="104"/>
  <c r="R21" i="104"/>
  <c r="U25" i="160"/>
  <c r="U25" i="103"/>
  <c r="U25" i="101"/>
  <c r="L6" i="132"/>
  <c r="L6" i="170"/>
  <c r="L6" i="169"/>
  <c r="U6" i="171"/>
  <c r="P6" i="171"/>
  <c r="N6" i="171"/>
  <c r="L6" i="171"/>
  <c r="U40" i="171"/>
  <c r="U39" i="171"/>
  <c r="T38" i="171"/>
  <c r="U37" i="171" s="1"/>
  <c r="R29" i="171"/>
  <c r="U29" i="171" s="1"/>
  <c r="U33" i="171" s="1"/>
  <c r="U23" i="171"/>
  <c r="Q22" i="171"/>
  <c r="U22" i="171" s="1"/>
  <c r="Q21" i="171"/>
  <c r="Q20" i="171"/>
  <c r="U20" i="171" s="1"/>
  <c r="Q19" i="171"/>
  <c r="U13" i="171"/>
  <c r="U12" i="171"/>
  <c r="U11" i="171"/>
  <c r="T10" i="171"/>
  <c r="U10" i="171" s="1"/>
  <c r="L6" i="166"/>
  <c r="L6" i="167"/>
  <c r="L6" i="165"/>
  <c r="L6" i="148"/>
  <c r="L6" i="33"/>
  <c r="L6" i="97"/>
  <c r="L6" i="129"/>
  <c r="L6" i="163"/>
  <c r="L6" i="124"/>
  <c r="L6" i="144"/>
  <c r="L6" i="123"/>
  <c r="L6" i="158"/>
  <c r="L6" i="162"/>
  <c r="L6" i="161"/>
  <c r="L6" i="104"/>
  <c r="L6" i="160"/>
  <c r="L6" i="103"/>
  <c r="L6" i="101"/>
  <c r="L6" i="91"/>
  <c r="L6" i="88"/>
  <c r="L6" i="54"/>
  <c r="L6" i="52"/>
  <c r="L6" i="51"/>
  <c r="L6" i="47"/>
  <c r="L6" i="45"/>
  <c r="L6" i="44"/>
  <c r="L6" i="106"/>
  <c r="L6" i="157"/>
  <c r="L6" i="156"/>
  <c r="L6" i="154"/>
  <c r="L6" i="139"/>
  <c r="L6" i="38"/>
  <c r="L6" i="37"/>
  <c r="H81" i="2"/>
  <c r="H79" i="2"/>
  <c r="H78" i="2"/>
  <c r="H77" i="2"/>
  <c r="H73" i="2"/>
  <c r="H71" i="2"/>
  <c r="H70" i="2"/>
  <c r="H84" i="2"/>
  <c r="H83" i="2"/>
  <c r="H80" i="2"/>
  <c r="H76" i="2"/>
  <c r="H75" i="2"/>
  <c r="H74" i="2"/>
  <c r="H69" i="2"/>
  <c r="U42" i="132"/>
  <c r="U41" i="132"/>
  <c r="U40" i="132"/>
  <c r="U39" i="132"/>
  <c r="U31" i="132"/>
  <c r="U35" i="132" s="1"/>
  <c r="U26" i="132" s="1"/>
  <c r="U25" i="132"/>
  <c r="U24" i="132" s="1"/>
  <c r="U23" i="132" s="1"/>
  <c r="U22" i="132" s="1"/>
  <c r="U21" i="132" s="1"/>
  <c r="U15" i="132"/>
  <c r="U14" i="132"/>
  <c r="U13" i="132"/>
  <c r="U12" i="132"/>
  <c r="U11" i="132"/>
  <c r="U10" i="132"/>
  <c r="U9" i="132"/>
  <c r="U42" i="169"/>
  <c r="T40" i="169"/>
  <c r="T41" i="169" s="1"/>
  <c r="U41" i="169" s="1"/>
  <c r="U9" i="169" s="1"/>
  <c r="U39" i="169" s="1"/>
  <c r="R31" i="169"/>
  <c r="U31" i="169" s="1"/>
  <c r="U35" i="169" s="1"/>
  <c r="U26" i="169" s="1"/>
  <c r="U25" i="169"/>
  <c r="U24" i="169" s="1"/>
  <c r="U22" i="169" s="1"/>
  <c r="U21" i="169" s="1"/>
  <c r="U20" i="169" s="1"/>
  <c r="U19" i="169" s="1"/>
  <c r="U13" i="169"/>
  <c r="U12" i="169"/>
  <c r="U11" i="169"/>
  <c r="T10" i="169"/>
  <c r="U10" i="169" s="1"/>
  <c r="J40" i="171"/>
  <c r="J39" i="171"/>
  <c r="I38" i="171"/>
  <c r="J37" i="171" s="1"/>
  <c r="J29" i="171"/>
  <c r="J33" i="171" s="1"/>
  <c r="J23" i="171" s="1"/>
  <c r="J13" i="171"/>
  <c r="J12" i="171"/>
  <c r="J11" i="171"/>
  <c r="J10" i="171"/>
  <c r="U39" i="166"/>
  <c r="T37" i="166"/>
  <c r="U36" i="166" s="1"/>
  <c r="R28" i="166"/>
  <c r="U22" i="166" s="1"/>
  <c r="U21" i="166" s="1"/>
  <c r="U20" i="166" s="1"/>
  <c r="U19" i="166"/>
  <c r="U13" i="166"/>
  <c r="U12" i="166"/>
  <c r="U11" i="166"/>
  <c r="T10" i="166"/>
  <c r="U10" i="166" s="1"/>
  <c r="U40" i="167"/>
  <c r="U39" i="167"/>
  <c r="T38" i="167"/>
  <c r="U37" i="167" s="1"/>
  <c r="R29" i="167"/>
  <c r="U29" i="167" s="1"/>
  <c r="U33" i="167" s="1"/>
  <c r="U24" i="167" s="1"/>
  <c r="U23" i="167" s="1"/>
  <c r="U22" i="167"/>
  <c r="U21" i="167"/>
  <c r="U20" i="167" s="1"/>
  <c r="U19" i="167" s="1"/>
  <c r="U13" i="167"/>
  <c r="U12" i="167"/>
  <c r="U11" i="167"/>
  <c r="T10" i="167"/>
  <c r="U10" i="167" s="1"/>
  <c r="U41" i="165"/>
  <c r="U40" i="165"/>
  <c r="U39" i="165"/>
  <c r="U38" i="165" s="1"/>
  <c r="U30" i="165"/>
  <c r="U34" i="165" s="1"/>
  <c r="U25" i="165" s="1"/>
  <c r="U24" i="165" s="1"/>
  <c r="U23" i="165" s="1"/>
  <c r="U22" i="165" s="1"/>
  <c r="U21" i="165" s="1"/>
  <c r="U20" i="165" s="1"/>
  <c r="U13" i="165"/>
  <c r="U12" i="165"/>
  <c r="U11" i="165"/>
  <c r="T10" i="165"/>
  <c r="U10" i="165" s="1"/>
  <c r="U40" i="148"/>
  <c r="U39" i="148"/>
  <c r="U38" i="148" s="1"/>
  <c r="U37" i="148" s="1"/>
  <c r="U41" i="148" s="1"/>
  <c r="U29" i="148"/>
  <c r="U24" i="148" s="1"/>
  <c r="U23" i="148" s="1"/>
  <c r="U22" i="148" s="1"/>
  <c r="U21" i="148" s="1"/>
  <c r="U20" i="148" s="1"/>
  <c r="U19" i="148" s="1"/>
  <c r="U13" i="148"/>
  <c r="U12" i="148"/>
  <c r="U11" i="148"/>
  <c r="U10" i="148"/>
  <c r="U40" i="33"/>
  <c r="U39" i="33"/>
  <c r="U38" i="33" s="1"/>
  <c r="U41" i="33" s="1"/>
  <c r="U29" i="33"/>
  <c r="U33" i="33" s="1"/>
  <c r="U24" i="33" s="1"/>
  <c r="U23" i="33"/>
  <c r="U22" i="33" s="1"/>
  <c r="U21" i="33" s="1"/>
  <c r="U20" i="33" s="1"/>
  <c r="U19" i="33"/>
  <c r="U13" i="33"/>
  <c r="U12" i="33"/>
  <c r="U11" i="33"/>
  <c r="U10" i="33" s="1"/>
  <c r="U42" i="97"/>
  <c r="T41" i="97"/>
  <c r="U40" i="97" s="1"/>
  <c r="U31" i="97"/>
  <c r="U26" i="97" s="1"/>
  <c r="U25" i="97"/>
  <c r="U24" i="97" s="1"/>
  <c r="U23" i="97" s="1"/>
  <c r="Q22" i="97"/>
  <c r="U21" i="97" s="1"/>
  <c r="U15" i="97"/>
  <c r="U14" i="97"/>
  <c r="U13" i="97"/>
  <c r="U12" i="97"/>
  <c r="U11" i="97"/>
  <c r="U10" i="97"/>
  <c r="U39" i="129"/>
  <c r="T37" i="129"/>
  <c r="U36" i="129" s="1"/>
  <c r="R28" i="129"/>
  <c r="U22" i="129" s="1"/>
  <c r="U21" i="129" s="1"/>
  <c r="U20" i="129" s="1"/>
  <c r="U19" i="129"/>
  <c r="U13" i="129"/>
  <c r="U12" i="129"/>
  <c r="U11" i="129"/>
  <c r="T10" i="129"/>
  <c r="U10" i="129" s="1"/>
  <c r="U40" i="163"/>
  <c r="U39" i="163"/>
  <c r="U38" i="163" s="1"/>
  <c r="U37" i="163" s="1"/>
  <c r="R29" i="163"/>
  <c r="U29" i="163" s="1"/>
  <c r="U33" i="163" s="1"/>
  <c r="U24" i="163" s="1"/>
  <c r="U23" i="163" s="1"/>
  <c r="U22" i="163" s="1"/>
  <c r="U21" i="163" s="1"/>
  <c r="U20" i="163" s="1"/>
  <c r="U13" i="163"/>
  <c r="U12" i="163"/>
  <c r="U11" i="163"/>
  <c r="U10" i="163"/>
  <c r="U40" i="124"/>
  <c r="U39" i="124"/>
  <c r="T38" i="124"/>
  <c r="U37" i="124" s="1"/>
  <c r="U29" i="124"/>
  <c r="U33" i="124" s="1"/>
  <c r="U24" i="124"/>
  <c r="U23" i="124" s="1"/>
  <c r="U22" i="124" s="1"/>
  <c r="U21" i="124" s="1"/>
  <c r="U20" i="124"/>
  <c r="U13" i="124"/>
  <c r="U12" i="124"/>
  <c r="U11" i="124"/>
  <c r="T10" i="124"/>
  <c r="U10" i="124" s="1"/>
  <c r="U40" i="144"/>
  <c r="T38" i="144"/>
  <c r="T39" i="144" s="1"/>
  <c r="U37" i="144" s="1"/>
  <c r="U29" i="144"/>
  <c r="U33" i="144" s="1"/>
  <c r="U24" i="144" s="1"/>
  <c r="U23" i="144" s="1"/>
  <c r="Q21" i="144"/>
  <c r="Q22" i="144" s="1"/>
  <c r="U20" i="144"/>
  <c r="U19" i="144" s="1"/>
  <c r="U13" i="144"/>
  <c r="U12" i="144"/>
  <c r="U11" i="144"/>
  <c r="U10" i="144"/>
  <c r="U40" i="123"/>
  <c r="U39" i="123"/>
  <c r="U38" i="123" s="1"/>
  <c r="U37" i="123" s="1"/>
  <c r="U29" i="123"/>
  <c r="U33" i="123" s="1"/>
  <c r="U24" i="123" s="1"/>
  <c r="U23" i="123" s="1"/>
  <c r="U22" i="123" s="1"/>
  <c r="U21" i="123" s="1"/>
  <c r="U13" i="123"/>
  <c r="U12" i="123"/>
  <c r="U11" i="123"/>
  <c r="U10" i="123"/>
  <c r="U44" i="158"/>
  <c r="U43" i="158"/>
  <c r="T41" i="158"/>
  <c r="T42" i="158" s="1"/>
  <c r="U42" i="158" s="1"/>
  <c r="U33" i="158"/>
  <c r="U37" i="158" s="1"/>
  <c r="U28" i="158" s="1"/>
  <c r="U25" i="158" s="1"/>
  <c r="Q24" i="158"/>
  <c r="U24" i="158" s="1"/>
  <c r="Q23" i="158"/>
  <c r="U23" i="158" s="1"/>
  <c r="U22" i="158" s="1"/>
  <c r="U21" i="158"/>
  <c r="U20" i="158"/>
  <c r="U19" i="158" s="1"/>
  <c r="U13" i="158"/>
  <c r="U12" i="158"/>
  <c r="U11" i="158"/>
  <c r="U10" i="158"/>
  <c r="U42" i="162"/>
  <c r="U41" i="162"/>
  <c r="U40" i="162"/>
  <c r="U39" i="162" s="1"/>
  <c r="U43" i="162" s="1"/>
  <c r="U31" i="162"/>
  <c r="U35" i="162" s="1"/>
  <c r="U26" i="162" s="1"/>
  <c r="U25" i="162"/>
  <c r="U24" i="162" s="1"/>
  <c r="U23" i="162" s="1"/>
  <c r="U22" i="162" s="1"/>
  <c r="U21" i="162"/>
  <c r="U15" i="162"/>
  <c r="U14" i="162"/>
  <c r="U13" i="162"/>
  <c r="U12" i="162"/>
  <c r="U11" i="162"/>
  <c r="U10" i="162"/>
  <c r="U40" i="161"/>
  <c r="U39" i="161"/>
  <c r="U37" i="161" s="1"/>
  <c r="R29" i="161"/>
  <c r="U29" i="161" s="1"/>
  <c r="U33" i="161" s="1"/>
  <c r="U24" i="161" s="1"/>
  <c r="U23" i="161" s="1"/>
  <c r="U22" i="161" s="1"/>
  <c r="U21" i="161" s="1"/>
  <c r="U20" i="161" s="1"/>
  <c r="U19" i="161"/>
  <c r="U13" i="161"/>
  <c r="U12" i="161"/>
  <c r="U11" i="161"/>
  <c r="U10" i="161"/>
  <c r="U40" i="91"/>
  <c r="U39" i="91"/>
  <c r="U38" i="91"/>
  <c r="U37" i="91" s="1"/>
  <c r="U41" i="91" s="1"/>
  <c r="U29" i="91"/>
  <c r="U33" i="91" s="1"/>
  <c r="U24" i="91" s="1"/>
  <c r="U23" i="91" s="1"/>
  <c r="U22" i="91" s="1"/>
  <c r="U21" i="91" s="1"/>
  <c r="U20" i="91" s="1"/>
  <c r="U19" i="91"/>
  <c r="U13" i="91"/>
  <c r="U12" i="91"/>
  <c r="U11" i="91"/>
  <c r="U10" i="91"/>
  <c r="U40" i="88"/>
  <c r="U39" i="88"/>
  <c r="U38" i="88"/>
  <c r="U37" i="88" s="1"/>
  <c r="U29" i="88"/>
  <c r="U33" i="88" s="1"/>
  <c r="U24" i="88" s="1"/>
  <c r="U23" i="88" s="1"/>
  <c r="U22" i="88" s="1"/>
  <c r="Q21" i="88"/>
  <c r="U20" i="88" s="1"/>
  <c r="U19" i="88" s="1"/>
  <c r="U13" i="88"/>
  <c r="U12" i="88"/>
  <c r="U11" i="88"/>
  <c r="U10" i="88"/>
  <c r="U40" i="54"/>
  <c r="U39" i="54"/>
  <c r="U38" i="54"/>
  <c r="U37" i="54" s="1"/>
  <c r="U29" i="54"/>
  <c r="U33" i="54" s="1"/>
  <c r="U24" i="54" s="1"/>
  <c r="U23" i="54" s="1"/>
  <c r="U22" i="54" s="1"/>
  <c r="U21" i="54" s="1"/>
  <c r="U20" i="54" s="1"/>
  <c r="U19" i="54" s="1"/>
  <c r="U13" i="54"/>
  <c r="U12" i="54"/>
  <c r="U11" i="54"/>
  <c r="U10" i="54"/>
  <c r="U40" i="52"/>
  <c r="U39" i="52"/>
  <c r="U38" i="52"/>
  <c r="U37" i="52" s="1"/>
  <c r="U29" i="52"/>
  <c r="U33" i="52" s="1"/>
  <c r="U24" i="52" s="1"/>
  <c r="U23" i="52" s="1"/>
  <c r="U22" i="52" s="1"/>
  <c r="U21" i="52" s="1"/>
  <c r="U20" i="52" s="1"/>
  <c r="U19" i="52" s="1"/>
  <c r="U13" i="52"/>
  <c r="U12" i="52"/>
  <c r="U11" i="52"/>
  <c r="U10" i="52"/>
  <c r="U40" i="51"/>
  <c r="U39" i="51"/>
  <c r="U38" i="51"/>
  <c r="U37" i="51" s="1"/>
  <c r="U29" i="51"/>
  <c r="U33" i="51" s="1"/>
  <c r="U24" i="51" s="1"/>
  <c r="U23" i="51" s="1"/>
  <c r="U22" i="51" s="1"/>
  <c r="U21" i="51" s="1"/>
  <c r="U20" i="51" s="1"/>
  <c r="U19" i="51" s="1"/>
  <c r="U13" i="51"/>
  <c r="U12" i="51"/>
  <c r="U11" i="51"/>
  <c r="U10" i="51"/>
  <c r="U40" i="47"/>
  <c r="U39" i="47"/>
  <c r="U38" i="47"/>
  <c r="U37" i="47" s="1"/>
  <c r="U29" i="47"/>
  <c r="U33" i="47" s="1"/>
  <c r="U24" i="47" s="1"/>
  <c r="U23" i="47" s="1"/>
  <c r="U22" i="47" s="1"/>
  <c r="Q21" i="47"/>
  <c r="U20" i="47" s="1"/>
  <c r="U19" i="47" s="1"/>
  <c r="U13" i="47"/>
  <c r="U12" i="47"/>
  <c r="U11" i="47"/>
  <c r="U10" i="47"/>
  <c r="U40" i="45"/>
  <c r="U39" i="45"/>
  <c r="U38" i="45"/>
  <c r="U37" i="45" s="1"/>
  <c r="U41" i="45" s="1"/>
  <c r="U29" i="45"/>
  <c r="U33" i="45" s="1"/>
  <c r="U24" i="45" s="1"/>
  <c r="U23" i="45" s="1"/>
  <c r="U22" i="45" s="1"/>
  <c r="Q21" i="45"/>
  <c r="U21" i="45" s="1"/>
  <c r="U20" i="45" s="1"/>
  <c r="U19" i="45" s="1"/>
  <c r="U13" i="45"/>
  <c r="U12" i="45"/>
  <c r="U11" i="45"/>
  <c r="U10" i="45"/>
  <c r="U40" i="44"/>
  <c r="U39" i="44"/>
  <c r="U38" i="44"/>
  <c r="U37" i="44" s="1"/>
  <c r="U29" i="44"/>
  <c r="U33" i="44" s="1"/>
  <c r="U24" i="44" s="1"/>
  <c r="U23" i="44" s="1"/>
  <c r="U22" i="44" s="1"/>
  <c r="Q21" i="44"/>
  <c r="U21" i="44" s="1"/>
  <c r="U20" i="44" s="1"/>
  <c r="U19" i="44" s="1"/>
  <c r="U13" i="44"/>
  <c r="U12" i="44"/>
  <c r="U11" i="44"/>
  <c r="U10" i="44"/>
  <c r="U41" i="107"/>
  <c r="U40" i="107"/>
  <c r="T39" i="107"/>
  <c r="U38" i="107" s="1"/>
  <c r="U25" i="107" s="1"/>
  <c r="U24" i="107"/>
  <c r="U23" i="107"/>
  <c r="Q20" i="107"/>
  <c r="Q21" i="107" s="1"/>
  <c r="Q19" i="107"/>
  <c r="U19" i="107" s="1"/>
  <c r="U18" i="107"/>
  <c r="U12" i="107"/>
  <c r="T10" i="107"/>
  <c r="T11" i="107" s="1"/>
  <c r="U10" i="107" s="1"/>
  <c r="Q20" i="106"/>
  <c r="U42" i="106"/>
  <c r="U41" i="106"/>
  <c r="T40" i="106"/>
  <c r="U40" i="106" s="1"/>
  <c r="U39" i="106" s="1"/>
  <c r="R31" i="106"/>
  <c r="U31" i="106" s="1"/>
  <c r="U35" i="106" s="1"/>
  <c r="U26" i="106" s="1"/>
  <c r="U24" i="106"/>
  <c r="Q21" i="106"/>
  <c r="U21" i="106" s="1"/>
  <c r="U19" i="106"/>
  <c r="U13" i="106"/>
  <c r="U12" i="106"/>
  <c r="T10" i="106"/>
  <c r="T11" i="106" s="1"/>
  <c r="U10" i="106" s="1"/>
  <c r="U40" i="157"/>
  <c r="U39" i="157"/>
  <c r="U38" i="157"/>
  <c r="U37" i="157" s="1"/>
  <c r="U29" i="157"/>
  <c r="U33" i="157" s="1"/>
  <c r="U24" i="157" s="1"/>
  <c r="U23" i="157" s="1"/>
  <c r="U22" i="157" s="1"/>
  <c r="Q21" i="157"/>
  <c r="U21" i="157" s="1"/>
  <c r="U20" i="157" s="1"/>
  <c r="U13" i="157"/>
  <c r="U12" i="157"/>
  <c r="U11" i="157"/>
  <c r="U10" i="157"/>
  <c r="U40" i="156"/>
  <c r="U39" i="156"/>
  <c r="U38" i="156"/>
  <c r="U37" i="156" s="1"/>
  <c r="U29" i="156"/>
  <c r="U33" i="156" s="1"/>
  <c r="U24" i="156" s="1"/>
  <c r="U23" i="156" s="1"/>
  <c r="U22" i="156" s="1"/>
  <c r="Q21" i="156"/>
  <c r="U21" i="156" s="1"/>
  <c r="U20" i="156" s="1"/>
  <c r="U19" i="156" s="1"/>
  <c r="U13" i="156"/>
  <c r="U12" i="156"/>
  <c r="U11" i="156"/>
  <c r="U10" i="156"/>
  <c r="U40" i="154"/>
  <c r="U39" i="154"/>
  <c r="U38" i="154"/>
  <c r="U37" i="154" s="1"/>
  <c r="U29" i="154"/>
  <c r="U33" i="154" s="1"/>
  <c r="U24" i="154" s="1"/>
  <c r="U23" i="154" s="1"/>
  <c r="U22" i="154" s="1"/>
  <c r="Q21" i="154"/>
  <c r="U21" i="154" s="1"/>
  <c r="U20" i="154" s="1"/>
  <c r="U19" i="154" s="1"/>
  <c r="U13" i="154"/>
  <c r="U12" i="154"/>
  <c r="U11" i="154"/>
  <c r="U10" i="154"/>
  <c r="U40" i="139"/>
  <c r="U39" i="139"/>
  <c r="U38" i="139"/>
  <c r="U37" i="139" s="1"/>
  <c r="U41" i="139" s="1"/>
  <c r="U29" i="139"/>
  <c r="U33" i="139" s="1"/>
  <c r="U24" i="139" s="1"/>
  <c r="U23" i="139"/>
  <c r="U22" i="139" s="1"/>
  <c r="Q21" i="139"/>
  <c r="U21" i="139" s="1"/>
  <c r="U20" i="139" s="1"/>
  <c r="U19" i="139" s="1"/>
  <c r="U13" i="139"/>
  <c r="U12" i="139"/>
  <c r="U11" i="139"/>
  <c r="U10" i="139"/>
  <c r="U40" i="38"/>
  <c r="U39" i="38"/>
  <c r="U38" i="38"/>
  <c r="U37" i="38" s="1"/>
  <c r="U29" i="38"/>
  <c r="U33" i="38" s="1"/>
  <c r="U24" i="38" s="1"/>
  <c r="U23" i="38" s="1"/>
  <c r="U22" i="38" s="1"/>
  <c r="Q21" i="38"/>
  <c r="U20" i="38" s="1"/>
  <c r="U19" i="38" s="1"/>
  <c r="U13" i="38"/>
  <c r="U12" i="38"/>
  <c r="U11" i="38"/>
  <c r="U10" i="38"/>
  <c r="U40" i="37"/>
  <c r="U39" i="37"/>
  <c r="U38" i="37"/>
  <c r="U37" i="37" s="1"/>
  <c r="U41" i="37" s="1"/>
  <c r="U29" i="37"/>
  <c r="U33" i="37" s="1"/>
  <c r="U24" i="37" s="1"/>
  <c r="U23" i="37"/>
  <c r="U22" i="37" s="1"/>
  <c r="Q21" i="37"/>
  <c r="U20" i="37" s="1"/>
  <c r="U19" i="37" s="1"/>
  <c r="U13" i="37"/>
  <c r="U12" i="37"/>
  <c r="U11" i="37"/>
  <c r="U10" i="37"/>
  <c r="U40" i="99"/>
  <c r="U39" i="99"/>
  <c r="U38" i="99" s="1"/>
  <c r="U29" i="99"/>
  <c r="U33" i="99" s="1"/>
  <c r="U24" i="99" s="1"/>
  <c r="U23" i="99" s="1"/>
  <c r="U22" i="99" s="1"/>
  <c r="U21" i="99" s="1"/>
  <c r="U20" i="99" s="1"/>
  <c r="U13" i="99"/>
  <c r="U12" i="99"/>
  <c r="U11" i="99"/>
  <c r="U10" i="99" s="1"/>
  <c r="U40" i="96"/>
  <c r="R40" i="96"/>
  <c r="U39" i="96"/>
  <c r="R39" i="96"/>
  <c r="T38" i="96"/>
  <c r="U29" i="96"/>
  <c r="U33" i="96" s="1"/>
  <c r="T24" i="96"/>
  <c r="U24" i="96" s="1"/>
  <c r="R24" i="96"/>
  <c r="T23" i="96"/>
  <c r="U23" i="96" s="1"/>
  <c r="R23" i="96"/>
  <c r="T22" i="96"/>
  <c r="U22" i="96" s="1"/>
  <c r="R22" i="96"/>
  <c r="T21" i="96"/>
  <c r="U21" i="96" s="1"/>
  <c r="R21" i="96"/>
  <c r="T20" i="96"/>
  <c r="U20" i="96" s="1"/>
  <c r="R20" i="96"/>
  <c r="S14" i="96"/>
  <c r="R14" i="96"/>
  <c r="U13" i="96"/>
  <c r="S13" i="96"/>
  <c r="R13" i="96"/>
  <c r="U12" i="96"/>
  <c r="S12" i="96"/>
  <c r="R12" i="96"/>
  <c r="U11" i="96"/>
  <c r="S11" i="96"/>
  <c r="R11" i="96"/>
  <c r="T10" i="96"/>
  <c r="R10" i="96"/>
  <c r="U40" i="95"/>
  <c r="R40" i="95"/>
  <c r="U39" i="95"/>
  <c r="R39" i="95"/>
  <c r="U38" i="95"/>
  <c r="R38" i="95"/>
  <c r="U29" i="95"/>
  <c r="U33" i="95" s="1"/>
  <c r="T24" i="95"/>
  <c r="U24" i="95" s="1"/>
  <c r="R24" i="95"/>
  <c r="T23" i="95"/>
  <c r="U23" i="95" s="1"/>
  <c r="R23" i="95"/>
  <c r="T22" i="95"/>
  <c r="U22" i="95" s="1"/>
  <c r="R22" i="95"/>
  <c r="T21" i="95"/>
  <c r="U21" i="95" s="1"/>
  <c r="R21" i="95"/>
  <c r="T19" i="95"/>
  <c r="U19" i="95" s="1"/>
  <c r="R19" i="95"/>
  <c r="S14" i="95"/>
  <c r="R14" i="95"/>
  <c r="U13" i="95"/>
  <c r="S13" i="95"/>
  <c r="R13" i="95"/>
  <c r="U12" i="95"/>
  <c r="S12" i="95"/>
  <c r="R12" i="95"/>
  <c r="U11" i="95"/>
  <c r="S11" i="95"/>
  <c r="R11" i="95"/>
  <c r="T10" i="95"/>
  <c r="R10" i="95"/>
  <c r="T38" i="36"/>
  <c r="U29" i="36"/>
  <c r="U33" i="36" s="1"/>
  <c r="T24" i="36"/>
  <c r="U24" i="36" s="1"/>
  <c r="R24" i="36"/>
  <c r="T23" i="36"/>
  <c r="U23" i="36" s="1"/>
  <c r="R23" i="36"/>
  <c r="T22" i="36"/>
  <c r="U22" i="36" s="1"/>
  <c r="R22" i="36"/>
  <c r="T21" i="36"/>
  <c r="U21" i="36" s="1"/>
  <c r="R21" i="36"/>
  <c r="T20" i="36"/>
  <c r="U20" i="36" s="1"/>
  <c r="R20" i="36"/>
  <c r="T19" i="36"/>
  <c r="U19" i="36" s="1"/>
  <c r="R19" i="36"/>
  <c r="S14" i="36"/>
  <c r="R14" i="36"/>
  <c r="U13" i="36"/>
  <c r="S13" i="36"/>
  <c r="R13" i="36"/>
  <c r="U12" i="36"/>
  <c r="S12" i="36"/>
  <c r="R12" i="36"/>
  <c r="U11" i="36"/>
  <c r="S11" i="36"/>
  <c r="R11" i="36"/>
  <c r="U10" i="36"/>
  <c r="S10" i="36"/>
  <c r="R10" i="36"/>
  <c r="N6" i="36"/>
  <c r="U40" i="36"/>
  <c r="U39" i="36"/>
  <c r="U22" i="97" l="1"/>
  <c r="U35" i="97"/>
  <c r="U21" i="88"/>
  <c r="U33" i="148"/>
  <c r="U21" i="37"/>
  <c r="U25" i="37" s="1"/>
  <c r="U43" i="37" s="1"/>
  <c r="G17" i="2" s="1"/>
  <c r="H17" i="2" s="1"/>
  <c r="U41" i="99"/>
  <c r="U9" i="99" s="1"/>
  <c r="U15" i="99" s="1"/>
  <c r="U41" i="44"/>
  <c r="U9" i="44" s="1"/>
  <c r="U15" i="44" s="1"/>
  <c r="U21" i="107" s="1"/>
  <c r="U20" i="107" s="1"/>
  <c r="U28" i="129"/>
  <c r="U32" i="129" s="1"/>
  <c r="U28" i="166"/>
  <c r="U32" i="166" s="1"/>
  <c r="U17" i="132"/>
  <c r="U41" i="38"/>
  <c r="U43" i="132"/>
  <c r="U41" i="88"/>
  <c r="U25" i="36"/>
  <c r="U41" i="154"/>
  <c r="U9" i="154" s="1"/>
  <c r="U15" i="154" s="1"/>
  <c r="U41" i="123"/>
  <c r="U9" i="123" s="1"/>
  <c r="U15" i="123" s="1"/>
  <c r="U42" i="165"/>
  <c r="U9" i="165" s="1"/>
  <c r="U15" i="165" s="1"/>
  <c r="U44" i="165" s="1"/>
  <c r="G55" i="2" s="1"/>
  <c r="H55" i="2" s="1"/>
  <c r="J38" i="171"/>
  <c r="J41" i="171" s="1"/>
  <c r="J9" i="171" s="1"/>
  <c r="J15" i="171" s="1"/>
  <c r="U41" i="156"/>
  <c r="U9" i="156" s="1"/>
  <c r="U15" i="156" s="1"/>
  <c r="U43" i="106"/>
  <c r="U9" i="106" s="1"/>
  <c r="U41" i="47"/>
  <c r="U9" i="47" s="1"/>
  <c r="U15" i="47" s="1"/>
  <c r="U37" i="166"/>
  <c r="U41" i="97"/>
  <c r="U41" i="157"/>
  <c r="U9" i="157" s="1"/>
  <c r="U15" i="157" s="1"/>
  <c r="U39" i="144"/>
  <c r="U43" i="97"/>
  <c r="U41" i="51"/>
  <c r="U9" i="51" s="1"/>
  <c r="U15" i="51" s="1"/>
  <c r="U38" i="161"/>
  <c r="U41" i="161" s="1"/>
  <c r="U9" i="161" s="1"/>
  <c r="U15" i="161" s="1"/>
  <c r="U38" i="171"/>
  <c r="U41" i="171" s="1"/>
  <c r="U9" i="171" s="1"/>
  <c r="U15" i="171" s="1"/>
  <c r="U37" i="129"/>
  <c r="U41" i="52"/>
  <c r="U9" i="52" s="1"/>
  <c r="U15" i="52" s="1"/>
  <c r="U38" i="124"/>
  <c r="U41" i="124" s="1"/>
  <c r="U9" i="124" s="1"/>
  <c r="U15" i="124" s="1"/>
  <c r="U38" i="167"/>
  <c r="U41" i="167" s="1"/>
  <c r="U9" i="167" s="1"/>
  <c r="U15" i="167" s="1"/>
  <c r="U24" i="166"/>
  <c r="U41" i="54"/>
  <c r="U24" i="129"/>
  <c r="U9" i="170"/>
  <c r="U17" i="170" s="1"/>
  <c r="U45" i="170" s="1"/>
  <c r="G67" i="2" s="1"/>
  <c r="U41" i="163"/>
  <c r="U9" i="163" s="1"/>
  <c r="U15" i="163" s="1"/>
  <c r="R30" i="107"/>
  <c r="U30" i="107" s="1"/>
  <c r="U34" i="107" s="1"/>
  <c r="U11" i="107"/>
  <c r="U39" i="107"/>
  <c r="U42" i="107" s="1"/>
  <c r="U9" i="107" s="1"/>
  <c r="U11" i="106"/>
  <c r="U19" i="171"/>
  <c r="U21" i="171" s="1"/>
  <c r="U27" i="132"/>
  <c r="U45" i="132" s="1"/>
  <c r="G86" i="2" s="1"/>
  <c r="H86" i="2" s="1"/>
  <c r="H85" i="2" s="1"/>
  <c r="U15" i="169"/>
  <c r="U23" i="169" s="1"/>
  <c r="U27" i="169" s="1"/>
  <c r="U40" i="169"/>
  <c r="U43" i="169" s="1"/>
  <c r="T38" i="166"/>
  <c r="U38" i="166" s="1"/>
  <c r="U40" i="166" s="1"/>
  <c r="U25" i="167"/>
  <c r="U26" i="165"/>
  <c r="U9" i="148"/>
  <c r="U15" i="148" s="1"/>
  <c r="U25" i="148"/>
  <c r="U9" i="33"/>
  <c r="U15" i="33" s="1"/>
  <c r="U25" i="33"/>
  <c r="U27" i="97"/>
  <c r="T38" i="129"/>
  <c r="U38" i="129" s="1"/>
  <c r="U25" i="124"/>
  <c r="U22" i="144" s="1"/>
  <c r="U38" i="144"/>
  <c r="U41" i="144" s="1"/>
  <c r="U21" i="144" s="1"/>
  <c r="U29" i="158"/>
  <c r="U41" i="158"/>
  <c r="U45" i="158" s="1"/>
  <c r="U27" i="162"/>
  <c r="U9" i="162"/>
  <c r="U17" i="162" s="1"/>
  <c r="U25" i="161"/>
  <c r="U9" i="91"/>
  <c r="U15" i="91" s="1"/>
  <c r="U25" i="91"/>
  <c r="U25" i="88"/>
  <c r="U9" i="88"/>
  <c r="U15" i="88" s="1"/>
  <c r="U9" i="54"/>
  <c r="U15" i="54" s="1"/>
  <c r="U25" i="54"/>
  <c r="U25" i="52"/>
  <c r="U25" i="51"/>
  <c r="U21" i="47" s="1"/>
  <c r="U25" i="47" s="1"/>
  <c r="U9" i="45"/>
  <c r="U15" i="45" s="1"/>
  <c r="U25" i="45"/>
  <c r="U25" i="44"/>
  <c r="Q22" i="106"/>
  <c r="U22" i="106" s="1"/>
  <c r="U25" i="156"/>
  <c r="U25" i="154"/>
  <c r="U25" i="139"/>
  <c r="U9" i="139"/>
  <c r="U15" i="139" s="1"/>
  <c r="U9" i="38"/>
  <c r="U15" i="38" s="1"/>
  <c r="U21" i="38" s="1"/>
  <c r="U25" i="38" s="1"/>
  <c r="U9" i="37"/>
  <c r="U15" i="37" s="1"/>
  <c r="U25" i="99"/>
  <c r="U25" i="96"/>
  <c r="U25" i="95"/>
  <c r="U14" i="107" l="1"/>
  <c r="U40" i="129"/>
  <c r="U43" i="52"/>
  <c r="G30" i="2" s="1"/>
  <c r="H30" i="2" s="1"/>
  <c r="U43" i="54"/>
  <c r="G31" i="2" s="1"/>
  <c r="H31" i="2" s="1"/>
  <c r="U43" i="148"/>
  <c r="G54" i="2" s="1"/>
  <c r="H54" i="2" s="1"/>
  <c r="U43" i="161"/>
  <c r="G39" i="2" s="1"/>
  <c r="H39" i="2" s="1"/>
  <c r="U15" i="106"/>
  <c r="U25" i="144"/>
  <c r="U45" i="162"/>
  <c r="G40" i="2" s="1"/>
  <c r="H40" i="2" s="1"/>
  <c r="U43" i="88"/>
  <c r="G33" i="2" s="1"/>
  <c r="H33" i="2" s="1"/>
  <c r="U43" i="51"/>
  <c r="G29" i="2" s="1"/>
  <c r="H29" i="2" s="1"/>
  <c r="U43" i="44"/>
  <c r="G26" i="2" s="1"/>
  <c r="H26" i="2" s="1"/>
  <c r="U26" i="107"/>
  <c r="U44" i="107" s="1"/>
  <c r="G24" i="2" s="1"/>
  <c r="U43" i="154"/>
  <c r="G20" i="2" s="1"/>
  <c r="H20" i="2" s="1"/>
  <c r="U43" i="139"/>
  <c r="G19" i="2" s="1"/>
  <c r="H19" i="2" s="1"/>
  <c r="U43" i="99"/>
  <c r="G15" i="2" s="1"/>
  <c r="H15" i="2" s="1"/>
  <c r="U9" i="97"/>
  <c r="U17" i="97" s="1"/>
  <c r="U45" i="97" s="1"/>
  <c r="G51" i="2" s="1"/>
  <c r="H51" i="2" s="1"/>
  <c r="U43" i="45"/>
  <c r="G27" i="2" s="1"/>
  <c r="H27" i="2" s="1"/>
  <c r="U9" i="129"/>
  <c r="U15" i="129" s="1"/>
  <c r="U42" i="129" s="1"/>
  <c r="G50" i="2" s="1"/>
  <c r="H50" i="2" s="1"/>
  <c r="U43" i="156"/>
  <c r="G21" i="2" s="1"/>
  <c r="H21" i="2" s="1"/>
  <c r="H67" i="2"/>
  <c r="U43" i="167"/>
  <c r="G63" i="2" s="1"/>
  <c r="U43" i="33"/>
  <c r="G52" i="2" s="1"/>
  <c r="U43" i="124"/>
  <c r="G47" i="2" s="1"/>
  <c r="U43" i="91"/>
  <c r="G34" i="2" s="1"/>
  <c r="H34" i="2" s="1"/>
  <c r="U25" i="171"/>
  <c r="U43" i="171" s="1"/>
  <c r="U45" i="169"/>
  <c r="G66" i="2" s="1"/>
  <c r="H66" i="2" s="1"/>
  <c r="U9" i="166"/>
  <c r="U15" i="166" s="1"/>
  <c r="U42" i="166" s="1"/>
  <c r="G64" i="2" s="1"/>
  <c r="H64" i="2" s="1"/>
  <c r="U9" i="144"/>
  <c r="U15" i="144" s="1"/>
  <c r="U43" i="144" s="1"/>
  <c r="G46" i="2" s="1"/>
  <c r="H46" i="2" s="1"/>
  <c r="U9" i="158"/>
  <c r="U15" i="158" s="1"/>
  <c r="U47" i="158" s="1"/>
  <c r="G41" i="2" s="1"/>
  <c r="H41" i="2" s="1"/>
  <c r="U43" i="47"/>
  <c r="G28" i="2" s="1"/>
  <c r="H28" i="2" s="1"/>
  <c r="U43" i="38"/>
  <c r="G18" i="2" s="1"/>
  <c r="H18" i="2" s="1"/>
  <c r="H25" i="2" l="1"/>
  <c r="H63" i="2"/>
  <c r="H52" i="2"/>
  <c r="H47" i="2"/>
  <c r="H24" i="2"/>
  <c r="I38" i="36" l="1"/>
  <c r="A70" i="2" l="1"/>
  <c r="A71" i="2" s="1"/>
  <c r="A72" i="2" s="1"/>
  <c r="A73" i="2" s="1"/>
  <c r="A74" i="2" s="1"/>
  <c r="A75" i="2" s="1"/>
  <c r="A76" i="2" s="1"/>
  <c r="A77" i="2" l="1"/>
  <c r="A78" i="2" s="1"/>
  <c r="A79" i="2" s="1"/>
  <c r="A80" i="2" s="1"/>
  <c r="A81" i="2" l="1"/>
  <c r="A82" i="2" l="1"/>
  <c r="A83" i="2" l="1"/>
  <c r="A84" i="2" l="1"/>
  <c r="E12" i="7"/>
  <c r="F12" i="7" s="1"/>
  <c r="E8" i="7"/>
  <c r="F8" i="7" s="1"/>
  <c r="E30" i="7"/>
  <c r="F30" i="7" s="1"/>
  <c r="B88" i="5"/>
  <c r="B89" i="5"/>
  <c r="B92" i="5"/>
  <c r="B100" i="5"/>
  <c r="C6" i="170" l="1"/>
  <c r="N6" i="170" s="1"/>
  <c r="J6" i="170"/>
  <c r="U6" i="170" s="1"/>
  <c r="E6" i="170"/>
  <c r="P6" i="170" s="1"/>
  <c r="J42" i="170"/>
  <c r="G42" i="170"/>
  <c r="I40" i="170"/>
  <c r="I41" i="170" s="1"/>
  <c r="J31" i="170"/>
  <c r="J35" i="170" s="1"/>
  <c r="I26" i="170"/>
  <c r="J26" i="170" s="1"/>
  <c r="G26" i="170"/>
  <c r="I25" i="170"/>
  <c r="J25" i="170" s="1"/>
  <c r="G25" i="170"/>
  <c r="I24" i="170"/>
  <c r="J24" i="170" s="1"/>
  <c r="G24" i="170"/>
  <c r="I23" i="170"/>
  <c r="J23" i="170" s="1"/>
  <c r="G23" i="170"/>
  <c r="I22" i="170"/>
  <c r="J22" i="170" s="1"/>
  <c r="I21" i="170"/>
  <c r="J21" i="170" s="1"/>
  <c r="G21" i="170"/>
  <c r="H16" i="170"/>
  <c r="G16" i="170"/>
  <c r="J15" i="170"/>
  <c r="H15" i="170"/>
  <c r="G15" i="170"/>
  <c r="J14" i="170"/>
  <c r="H14" i="170"/>
  <c r="G14" i="170"/>
  <c r="J13" i="170"/>
  <c r="H13" i="170"/>
  <c r="G13" i="170"/>
  <c r="J12" i="170"/>
  <c r="H12" i="170"/>
  <c r="G12" i="170"/>
  <c r="J11" i="170"/>
  <c r="H11" i="170"/>
  <c r="G11" i="170"/>
  <c r="J10" i="170"/>
  <c r="H10" i="170"/>
  <c r="G10" i="170"/>
  <c r="D3" i="170"/>
  <c r="D2" i="170"/>
  <c r="D1" i="170"/>
  <c r="J6" i="169"/>
  <c r="U6" i="169" s="1"/>
  <c r="C6" i="169"/>
  <c r="N6" i="169" s="1"/>
  <c r="E6" i="169"/>
  <c r="P6" i="169" s="1"/>
  <c r="J42" i="169"/>
  <c r="G42" i="169"/>
  <c r="I40" i="169"/>
  <c r="I41" i="169" s="1"/>
  <c r="J31" i="169"/>
  <c r="J35" i="169" s="1"/>
  <c r="I26" i="169"/>
  <c r="J26" i="169" s="1"/>
  <c r="G26" i="169"/>
  <c r="I25" i="169"/>
  <c r="J25" i="169" s="1"/>
  <c r="G25" i="169"/>
  <c r="I20" i="169"/>
  <c r="J20" i="169" s="1"/>
  <c r="G20" i="169"/>
  <c r="B19" i="169"/>
  <c r="I19" i="169" s="1"/>
  <c r="J19" i="169" s="1"/>
  <c r="J22" i="169"/>
  <c r="H14" i="169"/>
  <c r="G14" i="169"/>
  <c r="J13" i="169"/>
  <c r="H13" i="169"/>
  <c r="G13" i="169"/>
  <c r="J12" i="169"/>
  <c r="H12" i="169"/>
  <c r="G12" i="169"/>
  <c r="J11" i="169"/>
  <c r="H11" i="169"/>
  <c r="G11" i="169"/>
  <c r="D3" i="169"/>
  <c r="D2" i="169"/>
  <c r="D1" i="169"/>
  <c r="I38" i="167"/>
  <c r="J29" i="167"/>
  <c r="J33" i="167" s="1"/>
  <c r="J6" i="167"/>
  <c r="U6" i="167" s="1"/>
  <c r="C6" i="167"/>
  <c r="N6" i="167" s="1"/>
  <c r="E6" i="167"/>
  <c r="P6" i="167" s="1"/>
  <c r="J40" i="167"/>
  <c r="G40" i="167"/>
  <c r="J39" i="167"/>
  <c r="G39" i="167"/>
  <c r="I24" i="167"/>
  <c r="J24" i="167" s="1"/>
  <c r="G24" i="167"/>
  <c r="I23" i="167"/>
  <c r="J23" i="167" s="1"/>
  <c r="G23" i="167"/>
  <c r="I22" i="167"/>
  <c r="J22" i="167" s="1"/>
  <c r="G22" i="167"/>
  <c r="J21" i="167"/>
  <c r="H14" i="167"/>
  <c r="G14" i="167"/>
  <c r="J13" i="167"/>
  <c r="H13" i="167"/>
  <c r="G13" i="167"/>
  <c r="J12" i="167"/>
  <c r="H12" i="167"/>
  <c r="G12" i="167"/>
  <c r="J11" i="167"/>
  <c r="H11" i="167"/>
  <c r="G11" i="167"/>
  <c r="D3" i="167"/>
  <c r="D2" i="167"/>
  <c r="D1" i="167"/>
  <c r="E6" i="98"/>
  <c r="J6" i="166"/>
  <c r="U6" i="166" s="1"/>
  <c r="C6" i="166"/>
  <c r="N6" i="166" s="1"/>
  <c r="E6" i="166"/>
  <c r="P6" i="166" s="1"/>
  <c r="J39" i="166"/>
  <c r="G39" i="166"/>
  <c r="I37" i="166"/>
  <c r="I38" i="166" s="1"/>
  <c r="I22" i="166"/>
  <c r="J22" i="166" s="1"/>
  <c r="I21" i="166"/>
  <c r="J21" i="166" s="1"/>
  <c r="G21" i="166"/>
  <c r="I20" i="166"/>
  <c r="J20" i="166" s="1"/>
  <c r="G20" i="166"/>
  <c r="H14" i="166"/>
  <c r="G14" i="166"/>
  <c r="J13" i="166"/>
  <c r="H13" i="166"/>
  <c r="G13" i="166"/>
  <c r="J12" i="166"/>
  <c r="H12" i="166"/>
  <c r="G12" i="166"/>
  <c r="J11" i="166"/>
  <c r="H11" i="166"/>
  <c r="G11" i="166"/>
  <c r="D3" i="166"/>
  <c r="D2" i="166"/>
  <c r="D1" i="166"/>
  <c r="J6" i="165"/>
  <c r="U6" i="165" s="1"/>
  <c r="C6" i="165"/>
  <c r="N6" i="165" s="1"/>
  <c r="E6" i="165"/>
  <c r="P6" i="165" s="1"/>
  <c r="J41" i="165"/>
  <c r="G41" i="165"/>
  <c r="G40" i="165"/>
  <c r="G39" i="165"/>
  <c r="I25" i="165"/>
  <c r="J25" i="165" s="1"/>
  <c r="G25" i="165"/>
  <c r="I24" i="165"/>
  <c r="J24" i="165" s="1"/>
  <c r="G24" i="165"/>
  <c r="I23" i="165"/>
  <c r="J23" i="165" s="1"/>
  <c r="G23" i="165"/>
  <c r="I22" i="165"/>
  <c r="J22" i="165" s="1"/>
  <c r="G22" i="165"/>
  <c r="H14" i="165"/>
  <c r="G14" i="165"/>
  <c r="J13" i="165"/>
  <c r="H13" i="165"/>
  <c r="G13" i="165"/>
  <c r="J12" i="165"/>
  <c r="H12" i="165"/>
  <c r="G12" i="165"/>
  <c r="J11" i="165"/>
  <c r="D3" i="165"/>
  <c r="D2" i="165"/>
  <c r="D1" i="165"/>
  <c r="J6" i="148"/>
  <c r="U6" i="148" s="1"/>
  <c r="B21" i="169" l="1"/>
  <c r="B21" i="126"/>
  <c r="J10" i="169"/>
  <c r="J28" i="166"/>
  <c r="J32" i="166" s="1"/>
  <c r="G19" i="169"/>
  <c r="J27" i="170"/>
  <c r="G22" i="170"/>
  <c r="J10" i="167"/>
  <c r="J10" i="166"/>
  <c r="J39" i="165"/>
  <c r="C6" i="148" l="1"/>
  <c r="N6" i="148" s="1"/>
  <c r="E6" i="148"/>
  <c r="P6" i="148" s="1"/>
  <c r="I56" i="98" l="1"/>
  <c r="G28" i="129"/>
  <c r="I102" i="98"/>
  <c r="G31" i="98"/>
  <c r="J6" i="98"/>
  <c r="C6" i="98"/>
  <c r="G20" i="193" l="1"/>
  <c r="G20" i="195"/>
  <c r="G20" i="194"/>
  <c r="G20" i="192"/>
  <c r="G20" i="198"/>
  <c r="G20" i="197"/>
  <c r="G20" i="196"/>
  <c r="G21" i="193"/>
  <c r="G21" i="195"/>
  <c r="G21" i="194"/>
  <c r="G21" i="196"/>
  <c r="G21" i="197"/>
  <c r="G21" i="198"/>
  <c r="G21" i="192"/>
  <c r="G21" i="165"/>
  <c r="I40" i="97"/>
  <c r="I41" i="97" s="1"/>
  <c r="J6" i="97"/>
  <c r="U6" i="97" s="1"/>
  <c r="E6" i="97"/>
  <c r="P6" i="97" s="1"/>
  <c r="C6" i="97"/>
  <c r="N6" i="97" s="1"/>
  <c r="B21" i="129" l="1"/>
  <c r="J23" i="126"/>
  <c r="J24" i="126"/>
  <c r="J11" i="126" l="1"/>
  <c r="E6" i="163" l="1"/>
  <c r="P6" i="163" s="1"/>
  <c r="C6" i="163"/>
  <c r="N6" i="163" s="1"/>
  <c r="J40" i="163"/>
  <c r="G40" i="163"/>
  <c r="J39" i="163"/>
  <c r="G39" i="163"/>
  <c r="I38" i="163"/>
  <c r="G29" i="163"/>
  <c r="J29" i="163" s="1"/>
  <c r="J33" i="163" s="1"/>
  <c r="I24" i="163"/>
  <c r="J24" i="163" s="1"/>
  <c r="G24" i="163"/>
  <c r="I23" i="163"/>
  <c r="J23" i="163" s="1"/>
  <c r="G23" i="163"/>
  <c r="I22" i="163"/>
  <c r="J22" i="163" s="1"/>
  <c r="G22" i="163"/>
  <c r="I21" i="163"/>
  <c r="J21" i="163" s="1"/>
  <c r="G21" i="163"/>
  <c r="I20" i="163"/>
  <c r="J20" i="163" s="1"/>
  <c r="G20" i="163"/>
  <c r="I19" i="163"/>
  <c r="G19" i="163"/>
  <c r="H14" i="163"/>
  <c r="G14" i="163"/>
  <c r="J13" i="163"/>
  <c r="H13" i="163"/>
  <c r="G13" i="163"/>
  <c r="J12" i="163"/>
  <c r="H12" i="163"/>
  <c r="G12" i="163"/>
  <c r="J11" i="163"/>
  <c r="H11" i="163"/>
  <c r="G11" i="163"/>
  <c r="J10" i="163"/>
  <c r="H10" i="163"/>
  <c r="G10" i="163"/>
  <c r="J6" i="163"/>
  <c r="U6" i="163" s="1"/>
  <c r="D3" i="163"/>
  <c r="D2" i="163"/>
  <c r="D1" i="163"/>
  <c r="F22" i="144"/>
  <c r="J19" i="163" l="1"/>
  <c r="J25" i="163" s="1"/>
  <c r="T19" i="163"/>
  <c r="U19" i="163" s="1"/>
  <c r="U25" i="163" s="1"/>
  <c r="U43" i="163" s="1"/>
  <c r="G48" i="2" s="1"/>
  <c r="H48" i="2" s="1"/>
  <c r="I19" i="123"/>
  <c r="G19" i="123"/>
  <c r="P6" i="123"/>
  <c r="J6" i="158" l="1"/>
  <c r="U6" i="158" s="1"/>
  <c r="E6" i="158"/>
  <c r="P6" i="158" s="1"/>
  <c r="A34" i="2"/>
  <c r="A35" i="2" s="1"/>
  <c r="A36" i="2" s="1"/>
  <c r="A37" i="2" s="1"/>
  <c r="A38" i="2" s="1"/>
  <c r="A39" i="2" s="1"/>
  <c r="A40" i="2" s="1"/>
  <c r="J6" i="162"/>
  <c r="U6" i="162" s="1"/>
  <c r="E6" i="162"/>
  <c r="P6" i="162" s="1"/>
  <c r="J42" i="162"/>
  <c r="G42" i="162"/>
  <c r="J41" i="162"/>
  <c r="G41" i="162"/>
  <c r="J40" i="162"/>
  <c r="G40" i="162"/>
  <c r="J31" i="162"/>
  <c r="J35" i="162" s="1"/>
  <c r="I26" i="162"/>
  <c r="J26" i="162" s="1"/>
  <c r="G26" i="162"/>
  <c r="I25" i="162"/>
  <c r="J25" i="162" s="1"/>
  <c r="G25" i="162"/>
  <c r="I24" i="162"/>
  <c r="J24" i="162" s="1"/>
  <c r="G24" i="162"/>
  <c r="I23" i="162"/>
  <c r="J23" i="162" s="1"/>
  <c r="G23" i="162"/>
  <c r="I22" i="162"/>
  <c r="J22" i="162" s="1"/>
  <c r="G22" i="162"/>
  <c r="I21" i="162"/>
  <c r="J21" i="162" s="1"/>
  <c r="G21" i="162"/>
  <c r="H16" i="162"/>
  <c r="G16" i="162"/>
  <c r="J15" i="162"/>
  <c r="H15" i="162"/>
  <c r="G15" i="162"/>
  <c r="J14" i="162"/>
  <c r="H14" i="162"/>
  <c r="G14" i="162"/>
  <c r="J13" i="162"/>
  <c r="H13" i="162"/>
  <c r="G13" i="162"/>
  <c r="J12" i="162"/>
  <c r="H12" i="162"/>
  <c r="G12" i="162"/>
  <c r="J11" i="162"/>
  <c r="H11" i="162"/>
  <c r="G11" i="162"/>
  <c r="J10" i="162"/>
  <c r="H10" i="162"/>
  <c r="G10" i="162"/>
  <c r="D3" i="162"/>
  <c r="D2" i="162"/>
  <c r="D1" i="162"/>
  <c r="I38" i="161"/>
  <c r="A41" i="2" l="1"/>
  <c r="C6" i="158" s="1"/>
  <c r="N6" i="158" s="1"/>
  <c r="C6" i="162"/>
  <c r="N6" i="162" s="1"/>
  <c r="J27" i="162"/>
  <c r="J6" i="161" l="1"/>
  <c r="U6" i="161" s="1"/>
  <c r="C6" i="161"/>
  <c r="N6" i="161" s="1"/>
  <c r="E6" i="161"/>
  <c r="P6" i="161" s="1"/>
  <c r="J40" i="161"/>
  <c r="G40" i="161"/>
  <c r="J39" i="161"/>
  <c r="G39" i="161"/>
  <c r="J29" i="161"/>
  <c r="J33" i="161" s="1"/>
  <c r="I24" i="161"/>
  <c r="J24" i="161" s="1"/>
  <c r="G24" i="161"/>
  <c r="I23" i="161"/>
  <c r="J23" i="161" s="1"/>
  <c r="G23" i="161"/>
  <c r="I22" i="161"/>
  <c r="J22" i="161" s="1"/>
  <c r="G22" i="161"/>
  <c r="I21" i="161"/>
  <c r="J21" i="161" s="1"/>
  <c r="G21" i="161"/>
  <c r="I20" i="161"/>
  <c r="J20" i="161" s="1"/>
  <c r="G20" i="161"/>
  <c r="I19" i="161"/>
  <c r="J19" i="161" s="1"/>
  <c r="G19" i="161"/>
  <c r="H14" i="161"/>
  <c r="G14" i="161"/>
  <c r="J13" i="161"/>
  <c r="H13" i="161"/>
  <c r="G13" i="161"/>
  <c r="J12" i="161"/>
  <c r="H12" i="161"/>
  <c r="G12" i="161"/>
  <c r="J11" i="161"/>
  <c r="H11" i="161"/>
  <c r="G11" i="161"/>
  <c r="J10" i="161"/>
  <c r="H10" i="161"/>
  <c r="G10" i="161"/>
  <c r="D3" i="161"/>
  <c r="D2" i="161"/>
  <c r="D1" i="161"/>
  <c r="J6" i="160"/>
  <c r="U6" i="160" s="1"/>
  <c r="C6" i="160"/>
  <c r="N6" i="160" s="1"/>
  <c r="E6" i="160"/>
  <c r="P6" i="160" s="1"/>
  <c r="J40" i="160"/>
  <c r="G40" i="160"/>
  <c r="J39" i="160"/>
  <c r="G39" i="160"/>
  <c r="J38" i="160"/>
  <c r="G38" i="160"/>
  <c r="J29" i="160"/>
  <c r="J33" i="160" s="1"/>
  <c r="I24" i="160"/>
  <c r="J24" i="160" s="1"/>
  <c r="G24" i="160"/>
  <c r="I23" i="160"/>
  <c r="J23" i="160" s="1"/>
  <c r="G23" i="160"/>
  <c r="I22" i="160"/>
  <c r="J22" i="160" s="1"/>
  <c r="G22" i="160"/>
  <c r="F21" i="160"/>
  <c r="G21" i="160" s="1"/>
  <c r="I20" i="160"/>
  <c r="J20" i="160" s="1"/>
  <c r="G20" i="160"/>
  <c r="I19" i="160"/>
  <c r="J19" i="160" s="1"/>
  <c r="G19" i="160"/>
  <c r="H14" i="160"/>
  <c r="G14" i="160"/>
  <c r="J13" i="160"/>
  <c r="H13" i="160"/>
  <c r="G13" i="160"/>
  <c r="J12" i="160"/>
  <c r="H12" i="160"/>
  <c r="G12" i="160"/>
  <c r="J11" i="160"/>
  <c r="H11" i="160"/>
  <c r="G11" i="160"/>
  <c r="J10" i="160"/>
  <c r="H10" i="160"/>
  <c r="G10" i="160"/>
  <c r="D3" i="160"/>
  <c r="D2" i="160"/>
  <c r="D1" i="160"/>
  <c r="J25" i="161" l="1"/>
  <c r="I21" i="160"/>
  <c r="J21" i="160" s="1"/>
  <c r="J25" i="160" s="1"/>
  <c r="B18" i="107" l="1"/>
  <c r="B19" i="106"/>
  <c r="I41" i="158" l="1"/>
  <c r="I42" i="158" s="1"/>
  <c r="F21" i="158"/>
  <c r="G21" i="158" s="1"/>
  <c r="G20" i="158"/>
  <c r="I24" i="158"/>
  <c r="J24" i="158" s="1"/>
  <c r="D139" i="8"/>
  <c r="I25" i="158"/>
  <c r="J25" i="158" s="1"/>
  <c r="G25" i="158"/>
  <c r="I28" i="158"/>
  <c r="J28" i="158" s="1"/>
  <c r="G28" i="158"/>
  <c r="I23" i="158"/>
  <c r="J23" i="158" s="1"/>
  <c r="J44" i="158"/>
  <c r="G44" i="158"/>
  <c r="J43" i="158"/>
  <c r="G43" i="158"/>
  <c r="J33" i="158"/>
  <c r="J37" i="158" s="1"/>
  <c r="I22" i="158"/>
  <c r="J22" i="158" s="1"/>
  <c r="G22" i="158"/>
  <c r="I20" i="158"/>
  <c r="J20" i="158" s="1"/>
  <c r="I19" i="158"/>
  <c r="J19" i="158" s="1"/>
  <c r="G19" i="158"/>
  <c r="H14" i="158"/>
  <c r="G14" i="158"/>
  <c r="J13" i="158"/>
  <c r="H13" i="158"/>
  <c r="G13" i="158"/>
  <c r="J12" i="158"/>
  <c r="H12" i="158"/>
  <c r="G12" i="158"/>
  <c r="J11" i="158"/>
  <c r="H11" i="158"/>
  <c r="G11" i="158"/>
  <c r="J10" i="158"/>
  <c r="H10" i="158"/>
  <c r="G10" i="158"/>
  <c r="D3" i="158"/>
  <c r="D2" i="158"/>
  <c r="D1" i="158"/>
  <c r="G23" i="158" l="1"/>
  <c r="G24" i="158"/>
  <c r="I21" i="158"/>
  <c r="J21" i="158" s="1"/>
  <c r="J29" i="158" s="1"/>
  <c r="I39" i="107" l="1"/>
  <c r="F22" i="107"/>
  <c r="F20" i="107"/>
  <c r="F21" i="107" s="1"/>
  <c r="F19" i="107"/>
  <c r="F20" i="106"/>
  <c r="F21" i="106"/>
  <c r="F22" i="106" s="1"/>
  <c r="F23" i="106"/>
  <c r="F18" i="107"/>
  <c r="G30" i="107" s="1"/>
  <c r="J12" i="106"/>
  <c r="H12" i="106"/>
  <c r="G12" i="106"/>
  <c r="I40" i="106"/>
  <c r="I22" i="106" l="1"/>
  <c r="J22" i="106" s="1"/>
  <c r="F19" i="106" l="1"/>
  <c r="J6" i="157" l="1"/>
  <c r="U6" i="157" s="1"/>
  <c r="C6" i="157"/>
  <c r="N6" i="157" s="1"/>
  <c r="E6" i="157"/>
  <c r="P6" i="157" s="1"/>
  <c r="J40" i="157"/>
  <c r="G40" i="157"/>
  <c r="J39" i="157"/>
  <c r="G39" i="157"/>
  <c r="J38" i="157"/>
  <c r="G38" i="157"/>
  <c r="J29" i="157"/>
  <c r="J33" i="157" s="1"/>
  <c r="I24" i="157"/>
  <c r="J24" i="157" s="1"/>
  <c r="G24" i="157"/>
  <c r="I23" i="157"/>
  <c r="J23" i="157" s="1"/>
  <c r="G23" i="157"/>
  <c r="I22" i="157"/>
  <c r="J22" i="157" s="1"/>
  <c r="G22" i="157"/>
  <c r="F21" i="157"/>
  <c r="G21" i="157" s="1"/>
  <c r="I20" i="157"/>
  <c r="J20" i="157" s="1"/>
  <c r="G20" i="157"/>
  <c r="I19" i="157"/>
  <c r="G19" i="157"/>
  <c r="H14" i="157"/>
  <c r="G14" i="157"/>
  <c r="J13" i="157"/>
  <c r="H13" i="157"/>
  <c r="G13" i="157"/>
  <c r="J12" i="157"/>
  <c r="H12" i="157"/>
  <c r="G12" i="157"/>
  <c r="J11" i="157"/>
  <c r="H11" i="157"/>
  <c r="G11" i="157"/>
  <c r="J10" i="157"/>
  <c r="H10" i="157"/>
  <c r="G10" i="157"/>
  <c r="D3" i="157"/>
  <c r="D2" i="157"/>
  <c r="D1" i="157"/>
  <c r="J6" i="156"/>
  <c r="U6" i="156" s="1"/>
  <c r="C6" i="156"/>
  <c r="N6" i="156" s="1"/>
  <c r="E6" i="156"/>
  <c r="P6" i="156" s="1"/>
  <c r="J40" i="156"/>
  <c r="G40" i="156"/>
  <c r="J39" i="156"/>
  <c r="G39" i="156"/>
  <c r="J38" i="156"/>
  <c r="G38" i="156"/>
  <c r="J29" i="156"/>
  <c r="J33" i="156" s="1"/>
  <c r="I24" i="156"/>
  <c r="J24" i="156" s="1"/>
  <c r="G24" i="156"/>
  <c r="I23" i="156"/>
  <c r="J23" i="156" s="1"/>
  <c r="G23" i="156"/>
  <c r="I22" i="156"/>
  <c r="J22" i="156" s="1"/>
  <c r="G22" i="156"/>
  <c r="F21" i="156"/>
  <c r="G21" i="156" s="1"/>
  <c r="I20" i="156"/>
  <c r="J20" i="156" s="1"/>
  <c r="G20" i="156"/>
  <c r="I19" i="156"/>
  <c r="J19" i="156" s="1"/>
  <c r="G19" i="156"/>
  <c r="H14" i="156"/>
  <c r="G14" i="156"/>
  <c r="J13" i="156"/>
  <c r="H13" i="156"/>
  <c r="G13" i="156"/>
  <c r="J12" i="156"/>
  <c r="H12" i="156"/>
  <c r="G12" i="156"/>
  <c r="J11" i="156"/>
  <c r="H11" i="156"/>
  <c r="G11" i="156"/>
  <c r="J10" i="156"/>
  <c r="H10" i="156"/>
  <c r="G10" i="156"/>
  <c r="D3" i="156"/>
  <c r="D2" i="156"/>
  <c r="D1" i="156"/>
  <c r="J6" i="154"/>
  <c r="U6" i="154" s="1"/>
  <c r="C6" i="154"/>
  <c r="N6" i="154" s="1"/>
  <c r="E6" i="154"/>
  <c r="P6" i="154" s="1"/>
  <c r="J40" i="154"/>
  <c r="G40" i="154"/>
  <c r="J39" i="154"/>
  <c r="G39" i="154"/>
  <c r="J38" i="154"/>
  <c r="G38" i="154"/>
  <c r="J29" i="154"/>
  <c r="J33" i="154" s="1"/>
  <c r="I24" i="154"/>
  <c r="J24" i="154" s="1"/>
  <c r="G24" i="154"/>
  <c r="I23" i="154"/>
  <c r="J23" i="154" s="1"/>
  <c r="G23" i="154"/>
  <c r="I22" i="154"/>
  <c r="J22" i="154" s="1"/>
  <c r="G22" i="154"/>
  <c r="F21" i="154"/>
  <c r="G21" i="154" s="1"/>
  <c r="I20" i="154"/>
  <c r="J20" i="154" s="1"/>
  <c r="G20" i="154"/>
  <c r="I19" i="154"/>
  <c r="J19" i="154" s="1"/>
  <c r="G19" i="154"/>
  <c r="H14" i="154"/>
  <c r="G14" i="154"/>
  <c r="J13" i="154"/>
  <c r="H13" i="154"/>
  <c r="G13" i="154"/>
  <c r="J12" i="154"/>
  <c r="H12" i="154"/>
  <c r="G12" i="154"/>
  <c r="J11" i="154"/>
  <c r="H11" i="154"/>
  <c r="G11" i="154"/>
  <c r="J10" i="154"/>
  <c r="H10" i="154"/>
  <c r="G10" i="154"/>
  <c r="D3" i="154"/>
  <c r="D2" i="154"/>
  <c r="D1" i="154"/>
  <c r="C6" i="5"/>
  <c r="C19" i="5" s="1"/>
  <c r="C18" i="5" s="1"/>
  <c r="J19" i="157" l="1"/>
  <c r="T19" i="157"/>
  <c r="U19" i="157" s="1"/>
  <c r="U25" i="157" s="1"/>
  <c r="U43" i="157" s="1"/>
  <c r="G22" i="2" s="1"/>
  <c r="H22" i="2" s="1"/>
  <c r="I21" i="154"/>
  <c r="J21" i="154" s="1"/>
  <c r="J25" i="154" s="1"/>
  <c r="I21" i="157"/>
  <c r="J21" i="157" s="1"/>
  <c r="I21" i="156"/>
  <c r="J21" i="156" s="1"/>
  <c r="J25" i="156" s="1"/>
  <c r="J25" i="157" l="1"/>
  <c r="D46" i="8"/>
  <c r="J40" i="148" l="1"/>
  <c r="G40" i="148"/>
  <c r="J39" i="148"/>
  <c r="G39" i="148"/>
  <c r="I38" i="148"/>
  <c r="J29" i="148"/>
  <c r="J33" i="148" s="1"/>
  <c r="I24" i="148"/>
  <c r="J24" i="148" s="1"/>
  <c r="G24" i="148"/>
  <c r="I23" i="148"/>
  <c r="J23" i="148" s="1"/>
  <c r="G23" i="148"/>
  <c r="I22" i="148"/>
  <c r="J22" i="148" s="1"/>
  <c r="G22" i="148"/>
  <c r="I21" i="148"/>
  <c r="J21" i="148" s="1"/>
  <c r="G21" i="148"/>
  <c r="I20" i="148"/>
  <c r="J20" i="148" s="1"/>
  <c r="G20" i="148"/>
  <c r="I19" i="148"/>
  <c r="J19" i="148" s="1"/>
  <c r="G19" i="148"/>
  <c r="H14" i="148"/>
  <c r="G14" i="148"/>
  <c r="J13" i="148"/>
  <c r="H13" i="148"/>
  <c r="G13" i="148"/>
  <c r="J12" i="148"/>
  <c r="H12" i="148"/>
  <c r="G12" i="148"/>
  <c r="J11" i="148"/>
  <c r="H11" i="148"/>
  <c r="G11" i="148"/>
  <c r="J10" i="148"/>
  <c r="H10" i="148"/>
  <c r="G10" i="148"/>
  <c r="D3" i="148"/>
  <c r="D2" i="148"/>
  <c r="D1" i="148"/>
  <c r="J25" i="148" l="1"/>
  <c r="J188" i="98" l="1"/>
  <c r="J42" i="98" l="1"/>
  <c r="G42" i="98"/>
  <c r="I40" i="98"/>
  <c r="I41" i="98" s="1"/>
  <c r="J31" i="98"/>
  <c r="J35" i="98" s="1"/>
  <c r="I26" i="98"/>
  <c r="J26" i="98" s="1"/>
  <c r="G26" i="98"/>
  <c r="J25" i="98"/>
  <c r="G24" i="98"/>
  <c r="G23" i="98"/>
  <c r="I22" i="98"/>
  <c r="J22" i="98" s="1"/>
  <c r="G22" i="98"/>
  <c r="I21" i="98"/>
  <c r="J21" i="98" s="1"/>
  <c r="H16" i="98"/>
  <c r="G16" i="98"/>
  <c r="J15" i="98"/>
  <c r="H15" i="98"/>
  <c r="G15" i="98"/>
  <c r="J14" i="98"/>
  <c r="H14" i="98"/>
  <c r="G14" i="98"/>
  <c r="J13" i="98"/>
  <c r="H13" i="98"/>
  <c r="G13" i="98"/>
  <c r="J12" i="98"/>
  <c r="H12" i="98"/>
  <c r="G12" i="98"/>
  <c r="J11" i="98"/>
  <c r="H11" i="98"/>
  <c r="G11" i="98"/>
  <c r="H10" i="98"/>
  <c r="J10" i="98" s="1"/>
  <c r="G10" i="98"/>
  <c r="I38" i="144"/>
  <c r="I39" i="144" s="1"/>
  <c r="G11" i="144"/>
  <c r="J6" i="144"/>
  <c r="U6" i="144" s="1"/>
  <c r="E6" i="144"/>
  <c r="P6" i="144" s="1"/>
  <c r="J40" i="144"/>
  <c r="G40" i="144"/>
  <c r="J29" i="144"/>
  <c r="J33" i="144" s="1"/>
  <c r="I24" i="144"/>
  <c r="J24" i="144" s="1"/>
  <c r="G24" i="144"/>
  <c r="I23" i="144"/>
  <c r="J23" i="144" s="1"/>
  <c r="G23" i="144"/>
  <c r="I22" i="144"/>
  <c r="J22" i="144" s="1"/>
  <c r="G22" i="144"/>
  <c r="I21" i="144"/>
  <c r="J21" i="144" s="1"/>
  <c r="G21" i="144"/>
  <c r="I19" i="144"/>
  <c r="J19" i="144" s="1"/>
  <c r="G19" i="144"/>
  <c r="H14" i="144"/>
  <c r="G14" i="144"/>
  <c r="J13" i="144"/>
  <c r="H13" i="144"/>
  <c r="G13" i="144"/>
  <c r="G12" i="144"/>
  <c r="D3" i="144"/>
  <c r="D2" i="144"/>
  <c r="D1" i="144"/>
  <c r="G10" i="144" l="1"/>
  <c r="E6" i="139" l="1"/>
  <c r="P6" i="139" s="1"/>
  <c r="J40" i="139"/>
  <c r="G40" i="139"/>
  <c r="J39" i="139"/>
  <c r="G39" i="139"/>
  <c r="J38" i="139"/>
  <c r="G38" i="139"/>
  <c r="J29" i="139"/>
  <c r="J33" i="139" s="1"/>
  <c r="I24" i="139"/>
  <c r="J24" i="139" s="1"/>
  <c r="G24" i="139"/>
  <c r="I23" i="139"/>
  <c r="J23" i="139" s="1"/>
  <c r="G23" i="139"/>
  <c r="I22" i="139"/>
  <c r="J22" i="139" s="1"/>
  <c r="G22" i="139"/>
  <c r="F21" i="139"/>
  <c r="I21" i="139" s="1"/>
  <c r="J21" i="139" s="1"/>
  <c r="I20" i="139"/>
  <c r="J20" i="139" s="1"/>
  <c r="G20" i="139"/>
  <c r="I19" i="139"/>
  <c r="J19" i="139" s="1"/>
  <c r="G19" i="139"/>
  <c r="H14" i="139"/>
  <c r="G14" i="139"/>
  <c r="J13" i="139"/>
  <c r="H13" i="139"/>
  <c r="G13" i="139"/>
  <c r="J12" i="139"/>
  <c r="H12" i="139"/>
  <c r="G12" i="139"/>
  <c r="J11" i="139"/>
  <c r="H11" i="139"/>
  <c r="G11" i="139"/>
  <c r="J10" i="139"/>
  <c r="H10" i="139"/>
  <c r="G10" i="139"/>
  <c r="J6" i="139"/>
  <c r="U6" i="139" s="1"/>
  <c r="D3" i="139"/>
  <c r="D2" i="139"/>
  <c r="D1" i="139"/>
  <c r="G21" i="139" l="1"/>
  <c r="J25" i="139"/>
  <c r="C3" i="7" l="1"/>
  <c r="B3" i="199" s="1"/>
  <c r="C2" i="7"/>
  <c r="C1" i="7"/>
  <c r="B3" i="8"/>
  <c r="B2" i="8"/>
  <c r="B1" i="8"/>
  <c r="J6" i="132"/>
  <c r="U6" i="132" s="1"/>
  <c r="E6" i="132"/>
  <c r="P6" i="132" s="1"/>
  <c r="J42" i="132"/>
  <c r="G42" i="132"/>
  <c r="J41" i="132"/>
  <c r="G41" i="132"/>
  <c r="J40" i="132"/>
  <c r="G40" i="132"/>
  <c r="J39" i="132"/>
  <c r="J31" i="132"/>
  <c r="J35" i="132" s="1"/>
  <c r="I26" i="132"/>
  <c r="J26" i="132" s="1"/>
  <c r="G26" i="132"/>
  <c r="I25" i="132"/>
  <c r="J25" i="132" s="1"/>
  <c r="G25" i="132"/>
  <c r="I24" i="132"/>
  <c r="J24" i="132" s="1"/>
  <c r="G24" i="132"/>
  <c r="I23" i="132"/>
  <c r="J23" i="132" s="1"/>
  <c r="G23" i="132"/>
  <c r="I22" i="132"/>
  <c r="J22" i="132" s="1"/>
  <c r="G22" i="132"/>
  <c r="I21" i="132"/>
  <c r="J21" i="132" s="1"/>
  <c r="G21" i="132"/>
  <c r="H16" i="132"/>
  <c r="G16" i="132"/>
  <c r="J15" i="132"/>
  <c r="H15" i="132"/>
  <c r="G15" i="132"/>
  <c r="J14" i="132"/>
  <c r="H14" i="132"/>
  <c r="G14" i="132"/>
  <c r="J13" i="132"/>
  <c r="H13" i="132"/>
  <c r="G13" i="132"/>
  <c r="J12" i="132"/>
  <c r="H12" i="132"/>
  <c r="G12" i="132"/>
  <c r="J11" i="132"/>
  <c r="H11" i="132"/>
  <c r="G11" i="132"/>
  <c r="J10" i="132"/>
  <c r="H10" i="132"/>
  <c r="G10" i="132"/>
  <c r="D3" i="132"/>
  <c r="D2" i="132"/>
  <c r="D1" i="132"/>
  <c r="J211" i="98"/>
  <c r="J215" i="98" s="1"/>
  <c r="G204" i="98"/>
  <c r="J201" i="98"/>
  <c r="G192" i="98"/>
  <c r="H148" i="98"/>
  <c r="G148" i="98"/>
  <c r="F36" i="7"/>
  <c r="H192" i="98" s="1"/>
  <c r="J222" i="98"/>
  <c r="I220" i="98"/>
  <c r="J219" i="98" s="1"/>
  <c r="J206" i="98" s="1"/>
  <c r="J205" i="98" s="1"/>
  <c r="J195" i="98"/>
  <c r="J194" i="98"/>
  <c r="J193" i="98"/>
  <c r="I192" i="98"/>
  <c r="J192" i="98" l="1"/>
  <c r="J43" i="132"/>
  <c r="J27" i="132"/>
  <c r="J203" i="98"/>
  <c r="J220" i="98"/>
  <c r="J223" i="98" s="1"/>
  <c r="J191" i="98" s="1"/>
  <c r="J202" i="98"/>
  <c r="J197" i="98" l="1"/>
  <c r="J6" i="33"/>
  <c r="E6" i="33"/>
  <c r="E6" i="129" l="1"/>
  <c r="P6" i="129" s="1"/>
  <c r="J6" i="129"/>
  <c r="U6" i="129" s="1"/>
  <c r="J39" i="129"/>
  <c r="G39" i="129"/>
  <c r="I37" i="129"/>
  <c r="I38" i="129" s="1"/>
  <c r="J28" i="129"/>
  <c r="J32" i="129" s="1"/>
  <c r="I22" i="129"/>
  <c r="J22" i="129" s="1"/>
  <c r="G22" i="129"/>
  <c r="I21" i="129"/>
  <c r="J21" i="129" s="1"/>
  <c r="G21" i="129"/>
  <c r="I20" i="129"/>
  <c r="J20" i="129" s="1"/>
  <c r="G20" i="129"/>
  <c r="H14" i="129"/>
  <c r="G14" i="129"/>
  <c r="J13" i="129"/>
  <c r="H13" i="129"/>
  <c r="G13" i="129"/>
  <c r="J12" i="129"/>
  <c r="H12" i="129"/>
  <c r="G12" i="129"/>
  <c r="H11" i="129"/>
  <c r="J11" i="129" s="1"/>
  <c r="G11" i="129"/>
  <c r="J10" i="129"/>
  <c r="D3" i="129"/>
  <c r="D2" i="129"/>
  <c r="D1" i="129"/>
  <c r="E19" i="7" l="1"/>
  <c r="E18" i="7"/>
  <c r="J6" i="126"/>
  <c r="U6" i="126" s="1"/>
  <c r="P6" i="126"/>
  <c r="J42" i="126"/>
  <c r="G42" i="126"/>
  <c r="I40" i="126"/>
  <c r="J31" i="126"/>
  <c r="J35" i="126" s="1"/>
  <c r="I26" i="126"/>
  <c r="J26" i="126" s="1"/>
  <c r="G26" i="126"/>
  <c r="I25" i="126"/>
  <c r="J25" i="126" s="1"/>
  <c r="G25" i="126"/>
  <c r="H14" i="126"/>
  <c r="G14" i="126"/>
  <c r="J13" i="126"/>
  <c r="H13" i="126"/>
  <c r="G13" i="126"/>
  <c r="J12" i="126"/>
  <c r="H12" i="126"/>
  <c r="G12" i="126"/>
  <c r="H11" i="126"/>
  <c r="G11" i="126"/>
  <c r="D3" i="126"/>
  <c r="D2" i="126"/>
  <c r="D1" i="126"/>
  <c r="I38" i="124"/>
  <c r="F35" i="7"/>
  <c r="H11" i="144" s="1"/>
  <c r="J11" i="144" s="1"/>
  <c r="J6" i="124"/>
  <c r="U6" i="124" s="1"/>
  <c r="E6" i="124"/>
  <c r="P6" i="124" s="1"/>
  <c r="J40" i="124"/>
  <c r="G40" i="124"/>
  <c r="J39" i="124"/>
  <c r="G39" i="124"/>
  <c r="J29" i="124"/>
  <c r="J33" i="124" s="1"/>
  <c r="I24" i="124"/>
  <c r="J24" i="124" s="1"/>
  <c r="G24" i="124"/>
  <c r="I23" i="124"/>
  <c r="J23" i="124" s="1"/>
  <c r="G23" i="124"/>
  <c r="I22" i="124"/>
  <c r="J22" i="124" s="1"/>
  <c r="G22" i="124"/>
  <c r="I21" i="124"/>
  <c r="J21" i="124" s="1"/>
  <c r="G21" i="124"/>
  <c r="I20" i="124"/>
  <c r="J20" i="124" s="1"/>
  <c r="G20" i="124"/>
  <c r="H14" i="124"/>
  <c r="G14" i="124"/>
  <c r="J13" i="124"/>
  <c r="H13" i="124"/>
  <c r="G13" i="124"/>
  <c r="J12" i="124"/>
  <c r="H12" i="124"/>
  <c r="G12" i="124"/>
  <c r="G11" i="124"/>
  <c r="I10" i="124"/>
  <c r="G10" i="124"/>
  <c r="D3" i="124"/>
  <c r="D2" i="124"/>
  <c r="D1" i="124"/>
  <c r="G39" i="123"/>
  <c r="G40" i="123"/>
  <c r="G21" i="123"/>
  <c r="I21" i="123"/>
  <c r="J21" i="123" s="1"/>
  <c r="G22" i="123"/>
  <c r="I22" i="123"/>
  <c r="J22" i="123" s="1"/>
  <c r="G23" i="123"/>
  <c r="I23" i="123"/>
  <c r="J23" i="123" s="1"/>
  <c r="G24" i="123"/>
  <c r="I24" i="123"/>
  <c r="J24" i="123" s="1"/>
  <c r="J19" i="123"/>
  <c r="G10" i="123"/>
  <c r="F17" i="7"/>
  <c r="E17" i="7" s="1"/>
  <c r="J6" i="123"/>
  <c r="U6" i="123" s="1"/>
  <c r="J40" i="123"/>
  <c r="J39" i="123"/>
  <c r="J29" i="123"/>
  <c r="J33" i="123" s="1"/>
  <c r="H14" i="123"/>
  <c r="G14" i="123"/>
  <c r="J13" i="123"/>
  <c r="H13" i="123"/>
  <c r="G13" i="123"/>
  <c r="H12" i="123"/>
  <c r="G12" i="123"/>
  <c r="H11" i="123"/>
  <c r="J11" i="123" s="1"/>
  <c r="D3" i="123"/>
  <c r="D2" i="123"/>
  <c r="D1" i="123"/>
  <c r="I24" i="107"/>
  <c r="I23" i="107"/>
  <c r="J123" i="98"/>
  <c r="J127" i="98" s="1"/>
  <c r="J134" i="98"/>
  <c r="G134" i="98"/>
  <c r="I132" i="98"/>
  <c r="I133" i="98" s="1"/>
  <c r="I118" i="98"/>
  <c r="J118" i="98" s="1"/>
  <c r="G118" i="98"/>
  <c r="I117" i="98"/>
  <c r="J117" i="98" s="1"/>
  <c r="G117" i="98"/>
  <c r="G116" i="98"/>
  <c r="J114" i="98"/>
  <c r="J113" i="98"/>
  <c r="H108" i="98"/>
  <c r="G108" i="98"/>
  <c r="J107" i="98"/>
  <c r="H107" i="98"/>
  <c r="G107" i="98"/>
  <c r="J106" i="98"/>
  <c r="H106" i="98"/>
  <c r="G106" i="98"/>
  <c r="J105" i="98"/>
  <c r="H105" i="98"/>
  <c r="G105" i="98"/>
  <c r="J104" i="98"/>
  <c r="H104" i="98"/>
  <c r="G104" i="98"/>
  <c r="J103" i="98"/>
  <c r="H103" i="98"/>
  <c r="G103" i="98"/>
  <c r="H102" i="98"/>
  <c r="J102" i="98" s="1"/>
  <c r="G102" i="98"/>
  <c r="I26" i="106"/>
  <c r="I25" i="106"/>
  <c r="T25" i="106" s="1"/>
  <c r="U25" i="106" s="1"/>
  <c r="I24" i="106"/>
  <c r="G26" i="106"/>
  <c r="I41" i="126" l="1"/>
  <c r="H11" i="124"/>
  <c r="J11" i="124"/>
  <c r="J25" i="124"/>
  <c r="J12" i="123"/>
  <c r="H10" i="123"/>
  <c r="J10" i="123" s="1"/>
  <c r="G11" i="123"/>
  <c r="J6" i="107" l="1"/>
  <c r="U6" i="107" s="1"/>
  <c r="E6" i="107"/>
  <c r="P6" i="107" s="1"/>
  <c r="J6" i="106"/>
  <c r="U6" i="106" s="1"/>
  <c r="E6" i="106"/>
  <c r="P6" i="106" s="1"/>
  <c r="J41" i="107"/>
  <c r="G41" i="107"/>
  <c r="J40" i="107"/>
  <c r="G40" i="107"/>
  <c r="G24" i="107"/>
  <c r="G23" i="107"/>
  <c r="G22" i="107"/>
  <c r="H13" i="107"/>
  <c r="G13" i="107"/>
  <c r="J12" i="107"/>
  <c r="H12" i="107"/>
  <c r="G12" i="107"/>
  <c r="G11" i="107"/>
  <c r="D3" i="107"/>
  <c r="D2" i="107"/>
  <c r="D1" i="107"/>
  <c r="G25" i="106"/>
  <c r="G23" i="106"/>
  <c r="G24" i="106"/>
  <c r="I21" i="106" l="1"/>
  <c r="J21" i="106" s="1"/>
  <c r="G25" i="107"/>
  <c r="I25" i="107"/>
  <c r="I20" i="107"/>
  <c r="J24" i="107"/>
  <c r="J23" i="107"/>
  <c r="J25" i="106"/>
  <c r="J266" i="98"/>
  <c r="I264" i="98"/>
  <c r="J250" i="98"/>
  <c r="J249" i="98" s="1"/>
  <c r="J248" i="98" s="1"/>
  <c r="J247" i="98" s="1"/>
  <c r="J246" i="98" s="1"/>
  <c r="J245" i="98" s="1"/>
  <c r="J239" i="98"/>
  <c r="J238" i="98"/>
  <c r="J237" i="98"/>
  <c r="D141" i="98"/>
  <c r="D140" i="98"/>
  <c r="D139" i="98"/>
  <c r="J178" i="98"/>
  <c r="I176" i="98"/>
  <c r="I177" i="98" s="1"/>
  <c r="J162" i="98" s="1"/>
  <c r="J161" i="98" s="1"/>
  <c r="G160" i="98"/>
  <c r="J151" i="98"/>
  <c r="J150" i="98"/>
  <c r="J149" i="98"/>
  <c r="I86" i="98"/>
  <c r="I87" i="98" s="1"/>
  <c r="J77" i="98"/>
  <c r="J167" i="98" l="1"/>
  <c r="J171" i="98" s="1"/>
  <c r="J25" i="107"/>
  <c r="I21" i="107"/>
  <c r="J157" i="98"/>
  <c r="J158" i="98"/>
  <c r="D227" i="98"/>
  <c r="D183" i="98"/>
  <c r="D228" i="98"/>
  <c r="D184" i="98"/>
  <c r="D229" i="98"/>
  <c r="D185" i="98"/>
  <c r="J20" i="107"/>
  <c r="J236" i="98"/>
  <c r="J255" i="98"/>
  <c r="J259" i="98" s="1"/>
  <c r="G21" i="107"/>
  <c r="J251" i="98"/>
  <c r="I148" i="98"/>
  <c r="J148" i="98" s="1"/>
  <c r="J21" i="107" l="1"/>
  <c r="E16" i="7" l="1"/>
  <c r="F16" i="7" s="1"/>
  <c r="J42" i="106"/>
  <c r="G42" i="106"/>
  <c r="J41" i="106"/>
  <c r="G41" i="106"/>
  <c r="J26" i="106"/>
  <c r="J24" i="106"/>
  <c r="H14" i="106"/>
  <c r="G14" i="106"/>
  <c r="J13" i="106"/>
  <c r="H13" i="106"/>
  <c r="G13" i="106"/>
  <c r="G11" i="106"/>
  <c r="D3" i="106"/>
  <c r="D2" i="106"/>
  <c r="D1" i="106"/>
  <c r="F21" i="104" l="1"/>
  <c r="I21" i="104" s="1"/>
  <c r="J21" i="104" s="1"/>
  <c r="J6" i="104"/>
  <c r="U6" i="104" s="1"/>
  <c r="E6" i="104"/>
  <c r="P6" i="104" s="1"/>
  <c r="J40" i="104"/>
  <c r="G40" i="104"/>
  <c r="J39" i="104"/>
  <c r="G39" i="104"/>
  <c r="J38" i="104"/>
  <c r="G38" i="104"/>
  <c r="J29" i="104"/>
  <c r="J33" i="104" s="1"/>
  <c r="I24" i="104"/>
  <c r="J24" i="104" s="1"/>
  <c r="G24" i="104"/>
  <c r="I23" i="104"/>
  <c r="J23" i="104" s="1"/>
  <c r="G23" i="104"/>
  <c r="I22" i="104"/>
  <c r="J22" i="104" s="1"/>
  <c r="G22" i="104"/>
  <c r="I20" i="104"/>
  <c r="J20" i="104" s="1"/>
  <c r="G20" i="104"/>
  <c r="I19" i="104"/>
  <c r="J19" i="104" s="1"/>
  <c r="G19" i="104"/>
  <c r="H14" i="104"/>
  <c r="G14" i="104"/>
  <c r="J13" i="104"/>
  <c r="H13" i="104"/>
  <c r="G13" i="104"/>
  <c r="J12" i="104"/>
  <c r="H12" i="104"/>
  <c r="G12" i="104"/>
  <c r="J11" i="104"/>
  <c r="H11" i="104"/>
  <c r="G11" i="104"/>
  <c r="J10" i="104"/>
  <c r="H10" i="104"/>
  <c r="G10" i="104"/>
  <c r="D3" i="104"/>
  <c r="D2" i="104"/>
  <c r="D1" i="104"/>
  <c r="J6" i="103"/>
  <c r="U6" i="103" s="1"/>
  <c r="E6" i="103"/>
  <c r="P6" i="103" s="1"/>
  <c r="J40" i="103"/>
  <c r="G40" i="103"/>
  <c r="J39" i="103"/>
  <c r="G39" i="103"/>
  <c r="J38" i="103"/>
  <c r="G38" i="103"/>
  <c r="J29" i="103"/>
  <c r="J33" i="103" s="1"/>
  <c r="I24" i="103"/>
  <c r="J24" i="103" s="1"/>
  <c r="G24" i="103"/>
  <c r="I23" i="103"/>
  <c r="J23" i="103" s="1"/>
  <c r="G23" i="103"/>
  <c r="I22" i="103"/>
  <c r="J22" i="103" s="1"/>
  <c r="G22" i="103"/>
  <c r="I21" i="103"/>
  <c r="J21" i="103" s="1"/>
  <c r="G21" i="103"/>
  <c r="I20" i="103"/>
  <c r="J20" i="103" s="1"/>
  <c r="G20" i="103"/>
  <c r="I19" i="103"/>
  <c r="J19" i="103" s="1"/>
  <c r="G19" i="103"/>
  <c r="H14" i="103"/>
  <c r="G14" i="103"/>
  <c r="J13" i="103"/>
  <c r="H13" i="103"/>
  <c r="G13" i="103"/>
  <c r="J12" i="103"/>
  <c r="H12" i="103"/>
  <c r="G12" i="103"/>
  <c r="J11" i="103"/>
  <c r="H11" i="103"/>
  <c r="G11" i="103"/>
  <c r="J10" i="103"/>
  <c r="H10" i="103"/>
  <c r="G10" i="103"/>
  <c r="D3" i="103"/>
  <c r="D2" i="103"/>
  <c r="D1" i="103"/>
  <c r="J6" i="101"/>
  <c r="U6" i="101" s="1"/>
  <c r="E6" i="101"/>
  <c r="P6" i="101" s="1"/>
  <c r="G21" i="104" l="1"/>
  <c r="J25" i="104"/>
  <c r="J25" i="103"/>
  <c r="C6" i="101" l="1"/>
  <c r="N6" i="101" s="1"/>
  <c r="J40" i="101"/>
  <c r="G40" i="101"/>
  <c r="J39" i="101"/>
  <c r="G39" i="101"/>
  <c r="J38" i="101"/>
  <c r="G38" i="101"/>
  <c r="J29" i="101"/>
  <c r="J33" i="101" s="1"/>
  <c r="I24" i="101"/>
  <c r="J24" i="101" s="1"/>
  <c r="G24" i="101"/>
  <c r="I23" i="101"/>
  <c r="J23" i="101" s="1"/>
  <c r="G23" i="101"/>
  <c r="I22" i="101"/>
  <c r="J22" i="101" s="1"/>
  <c r="G22" i="101"/>
  <c r="I21" i="101"/>
  <c r="J21" i="101" s="1"/>
  <c r="G21" i="101"/>
  <c r="I20" i="101"/>
  <c r="J20" i="101" s="1"/>
  <c r="G20" i="101"/>
  <c r="I19" i="101"/>
  <c r="J19" i="101" s="1"/>
  <c r="G19" i="101"/>
  <c r="H14" i="101"/>
  <c r="G14" i="101"/>
  <c r="J13" i="101"/>
  <c r="H13" i="101"/>
  <c r="G13" i="101"/>
  <c r="J12" i="101"/>
  <c r="H12" i="101"/>
  <c r="G12" i="101"/>
  <c r="J11" i="101"/>
  <c r="H11" i="101"/>
  <c r="G11" i="101"/>
  <c r="J10" i="101"/>
  <c r="H10" i="101"/>
  <c r="G10" i="101"/>
  <c r="D3" i="101"/>
  <c r="D2" i="101"/>
  <c r="D1" i="101"/>
  <c r="J25" i="101" l="1"/>
  <c r="I10" i="95" l="1"/>
  <c r="I10" i="96"/>
  <c r="J6" i="99"/>
  <c r="E6" i="99"/>
  <c r="J40" i="99"/>
  <c r="G40" i="99"/>
  <c r="J39" i="99"/>
  <c r="G39" i="99"/>
  <c r="J29" i="99"/>
  <c r="J33" i="99" s="1"/>
  <c r="I24" i="99"/>
  <c r="J24" i="99" s="1"/>
  <c r="G24" i="99"/>
  <c r="I23" i="99"/>
  <c r="J23" i="99" s="1"/>
  <c r="G23" i="99"/>
  <c r="I22" i="99"/>
  <c r="J22" i="99" s="1"/>
  <c r="G22" i="99"/>
  <c r="I21" i="99"/>
  <c r="J21" i="99" s="1"/>
  <c r="G21" i="99"/>
  <c r="I20" i="99"/>
  <c r="J20" i="99" s="1"/>
  <c r="G20" i="99"/>
  <c r="I19" i="99"/>
  <c r="J19" i="99" s="1"/>
  <c r="G19" i="99"/>
  <c r="H14" i="99"/>
  <c r="G14" i="99"/>
  <c r="J13" i="99"/>
  <c r="H13" i="99"/>
  <c r="G13" i="99"/>
  <c r="J12" i="99"/>
  <c r="H12" i="99"/>
  <c r="G12" i="99"/>
  <c r="J11" i="99"/>
  <c r="H11" i="99"/>
  <c r="G11" i="99"/>
  <c r="G10" i="99"/>
  <c r="D3" i="99"/>
  <c r="D2" i="99"/>
  <c r="D1" i="99"/>
  <c r="J25" i="99" l="1"/>
  <c r="J29" i="96" l="1"/>
  <c r="J33" i="96" s="1"/>
  <c r="J29" i="95"/>
  <c r="J33" i="95" s="1"/>
  <c r="I38" i="96"/>
  <c r="E39" i="7"/>
  <c r="J88" i="98"/>
  <c r="G88" i="98"/>
  <c r="J81" i="98"/>
  <c r="I72" i="98"/>
  <c r="J72" i="98" s="1"/>
  <c r="G72" i="98"/>
  <c r="I71" i="98"/>
  <c r="J71" i="98" s="1"/>
  <c r="G71" i="98"/>
  <c r="G70" i="98"/>
  <c r="H62" i="98"/>
  <c r="G62" i="98"/>
  <c r="J61" i="98"/>
  <c r="H61" i="98"/>
  <c r="G61" i="98"/>
  <c r="J60" i="98"/>
  <c r="H60" i="98"/>
  <c r="G60" i="98"/>
  <c r="J59" i="98"/>
  <c r="H59" i="98"/>
  <c r="G59" i="98"/>
  <c r="J58" i="98"/>
  <c r="H58" i="98"/>
  <c r="G58" i="98"/>
  <c r="J57" i="98"/>
  <c r="H57" i="98"/>
  <c r="G57" i="98"/>
  <c r="G56" i="98"/>
  <c r="D49" i="98"/>
  <c r="D48" i="98"/>
  <c r="D47" i="98"/>
  <c r="G22" i="97"/>
  <c r="J42" i="97"/>
  <c r="G42" i="97"/>
  <c r="J31" i="97"/>
  <c r="J35" i="97" s="1"/>
  <c r="I26" i="97"/>
  <c r="J26" i="97" s="1"/>
  <c r="G26" i="97"/>
  <c r="I25" i="97"/>
  <c r="J25" i="97" s="1"/>
  <c r="G25" i="97"/>
  <c r="I24" i="97"/>
  <c r="J24" i="97" s="1"/>
  <c r="G24" i="97"/>
  <c r="I23" i="97"/>
  <c r="J23" i="97" s="1"/>
  <c r="G23" i="97"/>
  <c r="I21" i="97"/>
  <c r="J21" i="97" s="1"/>
  <c r="G21" i="97"/>
  <c r="H16" i="97"/>
  <c r="G16" i="97"/>
  <c r="J15" i="97"/>
  <c r="H15" i="97"/>
  <c r="G15" i="97"/>
  <c r="J14" i="97"/>
  <c r="H14" i="97"/>
  <c r="G14" i="97"/>
  <c r="J13" i="97"/>
  <c r="H13" i="97"/>
  <c r="G13" i="97"/>
  <c r="J12" i="97"/>
  <c r="H12" i="97"/>
  <c r="G12" i="97"/>
  <c r="J11" i="97"/>
  <c r="H11" i="97"/>
  <c r="G11" i="97"/>
  <c r="H10" i="97"/>
  <c r="J10" i="97" s="1"/>
  <c r="G10" i="97"/>
  <c r="D3" i="97"/>
  <c r="D2" i="97"/>
  <c r="D1" i="97"/>
  <c r="J6" i="96"/>
  <c r="E6" i="96"/>
  <c r="J40" i="96"/>
  <c r="G40" i="96"/>
  <c r="J39" i="96"/>
  <c r="G39" i="96"/>
  <c r="I24" i="96"/>
  <c r="J24" i="96" s="1"/>
  <c r="G24" i="96"/>
  <c r="I23" i="96"/>
  <c r="J23" i="96" s="1"/>
  <c r="G23" i="96"/>
  <c r="I22" i="96"/>
  <c r="J22" i="96" s="1"/>
  <c r="G22" i="96"/>
  <c r="I21" i="96"/>
  <c r="J21" i="96" s="1"/>
  <c r="G21" i="96"/>
  <c r="I20" i="96"/>
  <c r="J20" i="96" s="1"/>
  <c r="G20" i="96"/>
  <c r="H14" i="96"/>
  <c r="G14" i="96"/>
  <c r="J13" i="96"/>
  <c r="H13" i="96"/>
  <c r="G13" i="96"/>
  <c r="J12" i="96"/>
  <c r="H12" i="96"/>
  <c r="G12" i="96"/>
  <c r="J11" i="96"/>
  <c r="H11" i="96"/>
  <c r="G11" i="96"/>
  <c r="G10" i="96"/>
  <c r="D3" i="96"/>
  <c r="D2" i="96"/>
  <c r="D1" i="96"/>
  <c r="J6" i="95"/>
  <c r="U6" i="95" s="1"/>
  <c r="E6" i="95"/>
  <c r="J40" i="95"/>
  <c r="G40" i="95"/>
  <c r="J39" i="95"/>
  <c r="G39" i="95"/>
  <c r="G38" i="95"/>
  <c r="I24" i="95"/>
  <c r="J24" i="95" s="1"/>
  <c r="G24" i="95"/>
  <c r="I23" i="95"/>
  <c r="J23" i="95" s="1"/>
  <c r="G23" i="95"/>
  <c r="I22" i="95"/>
  <c r="J22" i="95" s="1"/>
  <c r="G22" i="95"/>
  <c r="I21" i="95"/>
  <c r="J21" i="95" s="1"/>
  <c r="G21" i="95"/>
  <c r="G19" i="95"/>
  <c r="H14" i="95"/>
  <c r="G14" i="95"/>
  <c r="J13" i="95"/>
  <c r="H13" i="95"/>
  <c r="G13" i="95"/>
  <c r="J12" i="95"/>
  <c r="H12" i="95"/>
  <c r="G12" i="95"/>
  <c r="J11" i="95"/>
  <c r="H11" i="95"/>
  <c r="G11" i="95"/>
  <c r="G10" i="95"/>
  <c r="D3" i="95"/>
  <c r="D2" i="95"/>
  <c r="D1" i="95"/>
  <c r="I22" i="97" l="1"/>
  <c r="J22" i="97" s="1"/>
  <c r="J27" i="97" s="1"/>
  <c r="D93" i="98"/>
  <c r="D1" i="98"/>
  <c r="D94" i="98"/>
  <c r="D2" i="98"/>
  <c r="D95" i="98"/>
  <c r="D3" i="98"/>
  <c r="J25" i="96"/>
  <c r="J38" i="95"/>
  <c r="J6" i="91" l="1"/>
  <c r="U6" i="91" s="1"/>
  <c r="E6" i="91"/>
  <c r="P6" i="91" s="1"/>
  <c r="J40" i="91"/>
  <c r="G40" i="91"/>
  <c r="J39" i="91"/>
  <c r="G39" i="91"/>
  <c r="J38" i="91"/>
  <c r="G38" i="91"/>
  <c r="J29" i="91"/>
  <c r="J33" i="91" s="1"/>
  <c r="I24" i="91"/>
  <c r="J24" i="91" s="1"/>
  <c r="G24" i="91"/>
  <c r="I23" i="91"/>
  <c r="J23" i="91" s="1"/>
  <c r="G23" i="91"/>
  <c r="I22" i="91"/>
  <c r="J22" i="91" s="1"/>
  <c r="G22" i="91"/>
  <c r="I21" i="91"/>
  <c r="J21" i="91" s="1"/>
  <c r="G21" i="91"/>
  <c r="I20" i="91"/>
  <c r="J20" i="91" s="1"/>
  <c r="G20" i="91"/>
  <c r="I19" i="91"/>
  <c r="J19" i="91" s="1"/>
  <c r="G19" i="91"/>
  <c r="H14" i="91"/>
  <c r="G14" i="91"/>
  <c r="J13" i="91"/>
  <c r="H13" i="91"/>
  <c r="G13" i="91"/>
  <c r="J12" i="91"/>
  <c r="H12" i="91"/>
  <c r="G12" i="91"/>
  <c r="J11" i="91"/>
  <c r="H11" i="91"/>
  <c r="G11" i="91"/>
  <c r="J10" i="91"/>
  <c r="H10" i="91"/>
  <c r="G10" i="91"/>
  <c r="D3" i="91"/>
  <c r="D2" i="91"/>
  <c r="D1" i="91"/>
  <c r="J6" i="88"/>
  <c r="U6" i="88" s="1"/>
  <c r="E6" i="88"/>
  <c r="P6" i="88" s="1"/>
  <c r="J40" i="88"/>
  <c r="G40" i="88"/>
  <c r="J39" i="88"/>
  <c r="G39" i="88"/>
  <c r="J38" i="88"/>
  <c r="G38" i="88"/>
  <c r="J29" i="88"/>
  <c r="J33" i="88" s="1"/>
  <c r="I24" i="88"/>
  <c r="J24" i="88" s="1"/>
  <c r="G24" i="88"/>
  <c r="I23" i="88"/>
  <c r="J23" i="88" s="1"/>
  <c r="G23" i="88"/>
  <c r="I22" i="88"/>
  <c r="J22" i="88" s="1"/>
  <c r="G22" i="88"/>
  <c r="F21" i="88"/>
  <c r="G21" i="88" s="1"/>
  <c r="I20" i="88"/>
  <c r="J20" i="88" s="1"/>
  <c r="G20" i="88"/>
  <c r="I19" i="88"/>
  <c r="J19" i="88" s="1"/>
  <c r="G19" i="88"/>
  <c r="H14" i="88"/>
  <c r="G14" i="88"/>
  <c r="J13" i="88"/>
  <c r="H13" i="88"/>
  <c r="G13" i="88"/>
  <c r="J12" i="88"/>
  <c r="H12" i="88"/>
  <c r="G12" i="88"/>
  <c r="J11" i="88"/>
  <c r="H11" i="88"/>
  <c r="G11" i="88"/>
  <c r="J10" i="88"/>
  <c r="H10" i="88"/>
  <c r="G10" i="88"/>
  <c r="D3" i="88"/>
  <c r="D2" i="88"/>
  <c r="D1" i="88"/>
  <c r="E9" i="7"/>
  <c r="J6" i="54"/>
  <c r="U6" i="54" s="1"/>
  <c r="E6" i="54"/>
  <c r="P6" i="54" s="1"/>
  <c r="J6" i="52"/>
  <c r="U6" i="52" s="1"/>
  <c r="E6" i="52"/>
  <c r="P6" i="52" s="1"/>
  <c r="J6" i="51"/>
  <c r="U6" i="51" s="1"/>
  <c r="E6" i="51"/>
  <c r="P6" i="51" s="1"/>
  <c r="J40" i="54"/>
  <c r="G40" i="54"/>
  <c r="J39" i="54"/>
  <c r="G39" i="54"/>
  <c r="J38" i="54"/>
  <c r="G38" i="54"/>
  <c r="J29" i="54"/>
  <c r="J33" i="54" s="1"/>
  <c r="I24" i="54"/>
  <c r="J24" i="54" s="1"/>
  <c r="G24" i="54"/>
  <c r="I23" i="54"/>
  <c r="J23" i="54" s="1"/>
  <c r="G23" i="54"/>
  <c r="I22" i="54"/>
  <c r="J22" i="54" s="1"/>
  <c r="G22" i="54"/>
  <c r="I21" i="54"/>
  <c r="J21" i="54" s="1"/>
  <c r="G21" i="54"/>
  <c r="I20" i="54"/>
  <c r="J20" i="54" s="1"/>
  <c r="G20" i="54"/>
  <c r="I19" i="54"/>
  <c r="J19" i="54" s="1"/>
  <c r="G19" i="54"/>
  <c r="H14" i="54"/>
  <c r="G14" i="54"/>
  <c r="J13" i="54"/>
  <c r="H13" i="54"/>
  <c r="G13" i="54"/>
  <c r="J12" i="54"/>
  <c r="H12" i="54"/>
  <c r="G12" i="54"/>
  <c r="J11" i="54"/>
  <c r="H11" i="54"/>
  <c r="G11" i="54"/>
  <c r="J10" i="54"/>
  <c r="H10" i="54"/>
  <c r="G10" i="54"/>
  <c r="D3" i="54"/>
  <c r="D2" i="54"/>
  <c r="D1" i="54"/>
  <c r="I21" i="88" l="1"/>
  <c r="J21" i="88" s="1"/>
  <c r="J25" i="88" s="1"/>
  <c r="J25" i="91"/>
  <c r="J25" i="54"/>
  <c r="J40" i="52"/>
  <c r="G40" i="52"/>
  <c r="J39" i="52"/>
  <c r="G39" i="52"/>
  <c r="J38" i="52"/>
  <c r="G38" i="52"/>
  <c r="J29" i="52"/>
  <c r="J33" i="52" s="1"/>
  <c r="I24" i="52"/>
  <c r="J24" i="52" s="1"/>
  <c r="G24" i="52"/>
  <c r="I23" i="52"/>
  <c r="J23" i="52" s="1"/>
  <c r="G23" i="52"/>
  <c r="I22" i="52"/>
  <c r="J22" i="52" s="1"/>
  <c r="G22" i="52"/>
  <c r="I21" i="52"/>
  <c r="J21" i="52" s="1"/>
  <c r="G21" i="52"/>
  <c r="I20" i="52"/>
  <c r="J20" i="52" s="1"/>
  <c r="G20" i="52"/>
  <c r="I19" i="52"/>
  <c r="J19" i="52" s="1"/>
  <c r="G19" i="52"/>
  <c r="H14" i="52"/>
  <c r="G14" i="52"/>
  <c r="J13" i="52"/>
  <c r="H13" i="52"/>
  <c r="G13" i="52"/>
  <c r="J12" i="52"/>
  <c r="H12" i="52"/>
  <c r="G12" i="52"/>
  <c r="J11" i="52"/>
  <c r="H11" i="52"/>
  <c r="G11" i="52"/>
  <c r="J10" i="52"/>
  <c r="H10" i="52"/>
  <c r="G10" i="52"/>
  <c r="D3" i="52"/>
  <c r="D2" i="52"/>
  <c r="D1" i="52"/>
  <c r="J25" i="52" l="1"/>
  <c r="J40" i="51"/>
  <c r="G40" i="51"/>
  <c r="J39" i="51"/>
  <c r="G39" i="51"/>
  <c r="J38" i="51"/>
  <c r="G38" i="51"/>
  <c r="J29" i="51"/>
  <c r="J33" i="51" s="1"/>
  <c r="I24" i="51"/>
  <c r="J24" i="51" s="1"/>
  <c r="G24" i="51"/>
  <c r="I23" i="51"/>
  <c r="J23" i="51" s="1"/>
  <c r="G23" i="51"/>
  <c r="I22" i="51"/>
  <c r="J22" i="51" s="1"/>
  <c r="G22" i="51"/>
  <c r="I21" i="51"/>
  <c r="J21" i="51" s="1"/>
  <c r="G21" i="51"/>
  <c r="I20" i="51"/>
  <c r="J20" i="51" s="1"/>
  <c r="G20" i="51"/>
  <c r="I19" i="51"/>
  <c r="J19" i="51" s="1"/>
  <c r="G19" i="51"/>
  <c r="H14" i="51"/>
  <c r="G14" i="51"/>
  <c r="J13" i="51"/>
  <c r="H13" i="51"/>
  <c r="G13" i="51"/>
  <c r="J12" i="51"/>
  <c r="H12" i="51"/>
  <c r="G12" i="51"/>
  <c r="J11" i="51"/>
  <c r="H11" i="51"/>
  <c r="G11" i="51"/>
  <c r="J10" i="51"/>
  <c r="H10" i="51"/>
  <c r="G10" i="51"/>
  <c r="D3" i="51"/>
  <c r="D2" i="51"/>
  <c r="D1" i="51"/>
  <c r="C6" i="88"/>
  <c r="N6" i="88" s="1"/>
  <c r="J6" i="47"/>
  <c r="U6" i="47" s="1"/>
  <c r="E6" i="47"/>
  <c r="P6" i="47" s="1"/>
  <c r="J40" i="47"/>
  <c r="G40" i="47"/>
  <c r="J39" i="47"/>
  <c r="G39" i="47"/>
  <c r="J38" i="47"/>
  <c r="G38" i="47"/>
  <c r="J29" i="47"/>
  <c r="J33" i="47" s="1"/>
  <c r="I24" i="47"/>
  <c r="J24" i="47" s="1"/>
  <c r="G24" i="47"/>
  <c r="I23" i="47"/>
  <c r="J23" i="47" s="1"/>
  <c r="G23" i="47"/>
  <c r="I22" i="47"/>
  <c r="J22" i="47" s="1"/>
  <c r="G22" i="47"/>
  <c r="F21" i="47"/>
  <c r="G21" i="47" s="1"/>
  <c r="I20" i="47"/>
  <c r="J20" i="47" s="1"/>
  <c r="G20" i="47"/>
  <c r="I19" i="47"/>
  <c r="J19" i="47" s="1"/>
  <c r="G19" i="47"/>
  <c r="H14" i="47"/>
  <c r="G14" i="47"/>
  <c r="J13" i="47"/>
  <c r="H13" i="47"/>
  <c r="G13" i="47"/>
  <c r="J12" i="47"/>
  <c r="H12" i="47"/>
  <c r="G12" i="47"/>
  <c r="J11" i="47"/>
  <c r="H11" i="47"/>
  <c r="G11" i="47"/>
  <c r="J10" i="47"/>
  <c r="H10" i="47"/>
  <c r="G10" i="47"/>
  <c r="D3" i="47"/>
  <c r="D2" i="47"/>
  <c r="D1" i="47"/>
  <c r="J6" i="45"/>
  <c r="U6" i="45" s="1"/>
  <c r="E6" i="45"/>
  <c r="P6" i="45" s="1"/>
  <c r="J40" i="45"/>
  <c r="G40" i="45"/>
  <c r="J39" i="45"/>
  <c r="G39" i="45"/>
  <c r="J38" i="45"/>
  <c r="G38" i="45"/>
  <c r="J29" i="45"/>
  <c r="J33" i="45" s="1"/>
  <c r="I24" i="45"/>
  <c r="J24" i="45" s="1"/>
  <c r="G24" i="45"/>
  <c r="I23" i="45"/>
  <c r="J23" i="45" s="1"/>
  <c r="G23" i="45"/>
  <c r="I22" i="45"/>
  <c r="J22" i="45" s="1"/>
  <c r="G22" i="45"/>
  <c r="F21" i="45"/>
  <c r="G21" i="45" s="1"/>
  <c r="I20" i="45"/>
  <c r="J20" i="45" s="1"/>
  <c r="G20" i="45"/>
  <c r="I19" i="45"/>
  <c r="J19" i="45" s="1"/>
  <c r="G19" i="45"/>
  <c r="H14" i="45"/>
  <c r="G14" i="45"/>
  <c r="J13" i="45"/>
  <c r="H13" i="45"/>
  <c r="G13" i="45"/>
  <c r="J12" i="45"/>
  <c r="H12" i="45"/>
  <c r="G12" i="45"/>
  <c r="J11" i="45"/>
  <c r="H11" i="45"/>
  <c r="G11" i="45"/>
  <c r="J10" i="45"/>
  <c r="H10" i="45"/>
  <c r="G10" i="45"/>
  <c r="D3" i="45"/>
  <c r="D2" i="45"/>
  <c r="D1" i="45"/>
  <c r="F21" i="44"/>
  <c r="I21" i="44" s="1"/>
  <c r="J21" i="44" s="1"/>
  <c r="J6" i="44"/>
  <c r="U6" i="44" s="1"/>
  <c r="E6" i="44"/>
  <c r="P6" i="44" s="1"/>
  <c r="J40" i="44"/>
  <c r="G40" i="44"/>
  <c r="J39" i="44"/>
  <c r="G39" i="44"/>
  <c r="J38" i="44"/>
  <c r="G38" i="44"/>
  <c r="J29" i="44"/>
  <c r="J33" i="44" s="1"/>
  <c r="I24" i="44"/>
  <c r="J24" i="44" s="1"/>
  <c r="G24" i="44"/>
  <c r="I23" i="44"/>
  <c r="J23" i="44" s="1"/>
  <c r="G23" i="44"/>
  <c r="I22" i="44"/>
  <c r="J22" i="44" s="1"/>
  <c r="G22" i="44"/>
  <c r="I20" i="44"/>
  <c r="J20" i="44" s="1"/>
  <c r="G20" i="44"/>
  <c r="I19" i="44"/>
  <c r="J19" i="44" s="1"/>
  <c r="G19" i="44"/>
  <c r="H14" i="44"/>
  <c r="G14" i="44"/>
  <c r="J13" i="44"/>
  <c r="H13" i="44"/>
  <c r="G13" i="44"/>
  <c r="J12" i="44"/>
  <c r="H12" i="44"/>
  <c r="G12" i="44"/>
  <c r="J11" i="44"/>
  <c r="H11" i="44"/>
  <c r="G11" i="44"/>
  <c r="J10" i="44"/>
  <c r="H10" i="44"/>
  <c r="G10" i="44"/>
  <c r="D3" i="44"/>
  <c r="D2" i="44"/>
  <c r="D1" i="44"/>
  <c r="J6" i="38"/>
  <c r="U6" i="38" s="1"/>
  <c r="E6" i="38"/>
  <c r="P6" i="38" s="1"/>
  <c r="J40" i="38"/>
  <c r="G40" i="38"/>
  <c r="J39" i="38"/>
  <c r="G39" i="38"/>
  <c r="J38" i="38"/>
  <c r="G38" i="38"/>
  <c r="J29" i="38"/>
  <c r="J33" i="38" s="1"/>
  <c r="I24" i="38"/>
  <c r="J24" i="38" s="1"/>
  <c r="G24" i="38"/>
  <c r="I23" i="38"/>
  <c r="J23" i="38" s="1"/>
  <c r="G23" i="38"/>
  <c r="I22" i="38"/>
  <c r="J22" i="38" s="1"/>
  <c r="G22" i="38"/>
  <c r="F21" i="38"/>
  <c r="G21" i="38" s="1"/>
  <c r="I20" i="38"/>
  <c r="J20" i="38" s="1"/>
  <c r="G20" i="38"/>
  <c r="I19" i="38"/>
  <c r="J19" i="38" s="1"/>
  <c r="G19" i="38"/>
  <c r="H14" i="38"/>
  <c r="G14" i="38"/>
  <c r="J13" i="38"/>
  <c r="H13" i="38"/>
  <c r="G13" i="38"/>
  <c r="J12" i="38"/>
  <c r="H12" i="38"/>
  <c r="G12" i="38"/>
  <c r="J11" i="38"/>
  <c r="H11" i="38"/>
  <c r="G11" i="38"/>
  <c r="J10" i="38"/>
  <c r="H10" i="38"/>
  <c r="G10" i="38"/>
  <c r="D3" i="38"/>
  <c r="D2" i="38"/>
  <c r="D1" i="38"/>
  <c r="G21" i="44" l="1"/>
  <c r="J25" i="51"/>
  <c r="I21" i="47"/>
  <c r="J21" i="47" s="1"/>
  <c r="J25" i="47" s="1"/>
  <c r="I21" i="45"/>
  <c r="J21" i="45" s="1"/>
  <c r="J25" i="45" s="1"/>
  <c r="J25" i="44"/>
  <c r="I21" i="38"/>
  <c r="J21" i="38" s="1"/>
  <c r="J25" i="38" s="1"/>
  <c r="F21" i="37" l="1"/>
  <c r="I21" i="37" s="1"/>
  <c r="J21" i="37" s="1"/>
  <c r="J6" i="37"/>
  <c r="U6" i="37" s="1"/>
  <c r="E6" i="37"/>
  <c r="P6" i="37" s="1"/>
  <c r="J40" i="37"/>
  <c r="G40" i="37"/>
  <c r="J39" i="37"/>
  <c r="G39" i="37"/>
  <c r="G38" i="37"/>
  <c r="J29" i="37"/>
  <c r="J33" i="37" s="1"/>
  <c r="I24" i="37"/>
  <c r="J24" i="37" s="1"/>
  <c r="G24" i="37"/>
  <c r="I23" i="37"/>
  <c r="J23" i="37" s="1"/>
  <c r="G23" i="37"/>
  <c r="I22" i="37"/>
  <c r="J22" i="37" s="1"/>
  <c r="G22" i="37"/>
  <c r="I20" i="37"/>
  <c r="J20" i="37" s="1"/>
  <c r="G20" i="37"/>
  <c r="I19" i="37"/>
  <c r="J19" i="37" s="1"/>
  <c r="G19" i="37"/>
  <c r="H14" i="37"/>
  <c r="G14" i="37"/>
  <c r="J13" i="37"/>
  <c r="H13" i="37"/>
  <c r="G13" i="37"/>
  <c r="J12" i="37"/>
  <c r="H12" i="37"/>
  <c r="G12" i="37"/>
  <c r="J11" i="37"/>
  <c r="H11" i="37"/>
  <c r="G11" i="37"/>
  <c r="J10" i="37"/>
  <c r="H10" i="37"/>
  <c r="G10" i="37"/>
  <c r="D3" i="37"/>
  <c r="D2" i="37"/>
  <c r="D1" i="37"/>
  <c r="A17" i="2"/>
  <c r="C6" i="37" s="1"/>
  <c r="N6" i="37" s="1"/>
  <c r="J6" i="36"/>
  <c r="U6" i="36" s="1"/>
  <c r="J40" i="36"/>
  <c r="G40" i="36"/>
  <c r="J39" i="36"/>
  <c r="G39" i="36"/>
  <c r="J29" i="36"/>
  <c r="J33" i="36" s="1"/>
  <c r="I24" i="36"/>
  <c r="J24" i="36" s="1"/>
  <c r="G24" i="36"/>
  <c r="I23" i="36"/>
  <c r="J23" i="36" s="1"/>
  <c r="G23" i="36"/>
  <c r="I22" i="36"/>
  <c r="J22" i="36" s="1"/>
  <c r="G22" i="36"/>
  <c r="I21" i="36"/>
  <c r="J21" i="36" s="1"/>
  <c r="G21" i="36"/>
  <c r="I20" i="36"/>
  <c r="J20" i="36" s="1"/>
  <c r="G20" i="36"/>
  <c r="I19" i="36"/>
  <c r="J19" i="36" s="1"/>
  <c r="G19" i="36"/>
  <c r="H14" i="36"/>
  <c r="G14" i="36"/>
  <c r="J13" i="36"/>
  <c r="H13" i="36"/>
  <c r="G13" i="36"/>
  <c r="J12" i="36"/>
  <c r="H12" i="36"/>
  <c r="G12" i="36"/>
  <c r="J11" i="36"/>
  <c r="H11" i="36"/>
  <c r="G11" i="36"/>
  <c r="H10" i="36"/>
  <c r="J10" i="36" s="1"/>
  <c r="G10" i="36"/>
  <c r="D3" i="36"/>
  <c r="D2" i="36"/>
  <c r="D1" i="36"/>
  <c r="G21" i="37" l="1"/>
  <c r="A13" i="2"/>
  <c r="J38" i="37"/>
  <c r="J25" i="36"/>
  <c r="J25" i="37"/>
  <c r="C6" i="36"/>
  <c r="A25" i="2"/>
  <c r="A18" i="2"/>
  <c r="A19" i="2" s="1"/>
  <c r="C6" i="132" l="1"/>
  <c r="N6" i="132" s="1"/>
  <c r="C6" i="95"/>
  <c r="A14" i="2"/>
  <c r="C6" i="139"/>
  <c r="N6" i="139" s="1"/>
  <c r="C6" i="123"/>
  <c r="N6" i="123" s="1"/>
  <c r="C6" i="38"/>
  <c r="N6" i="38" s="1"/>
  <c r="A27" i="2" l="1"/>
  <c r="A28" i="2" s="1"/>
  <c r="A29" i="2" s="1"/>
  <c r="A30" i="2" s="1"/>
  <c r="A31" i="2" s="1"/>
  <c r="C6" i="96"/>
  <c r="A15" i="2"/>
  <c r="C6" i="99" s="1"/>
  <c r="C6" i="144"/>
  <c r="N6" i="144" s="1"/>
  <c r="A24" i="2"/>
  <c r="C6" i="124" l="1"/>
  <c r="N6" i="124" s="1"/>
  <c r="C6" i="91"/>
  <c r="N6" i="91" s="1"/>
  <c r="C6" i="44"/>
  <c r="N6" i="44" s="1"/>
  <c r="C6" i="129" l="1"/>
  <c r="N6" i="129" s="1"/>
  <c r="C6" i="45"/>
  <c r="N6" i="45" s="1"/>
  <c r="C6" i="126" l="1"/>
  <c r="C6" i="106"/>
  <c r="N6" i="106" s="1"/>
  <c r="C6" i="107" l="1"/>
  <c r="N6" i="107" s="1"/>
  <c r="C6" i="33"/>
  <c r="N6" i="33" s="1"/>
  <c r="C6" i="47"/>
  <c r="N6" i="47" s="1"/>
  <c r="J40" i="33"/>
  <c r="G40" i="33"/>
  <c r="J39" i="33"/>
  <c r="G39" i="33"/>
  <c r="I38" i="33"/>
  <c r="J29" i="33"/>
  <c r="J33" i="33" s="1"/>
  <c r="I24" i="33"/>
  <c r="J24" i="33" s="1"/>
  <c r="G24" i="33"/>
  <c r="I23" i="33"/>
  <c r="J23" i="33" s="1"/>
  <c r="G23" i="33"/>
  <c r="I22" i="33"/>
  <c r="J22" i="33" s="1"/>
  <c r="G22" i="33"/>
  <c r="I21" i="33"/>
  <c r="J21" i="33" s="1"/>
  <c r="G21" i="33"/>
  <c r="I20" i="33"/>
  <c r="J20" i="33" s="1"/>
  <c r="G20" i="33"/>
  <c r="I19" i="33"/>
  <c r="J19" i="33" s="1"/>
  <c r="G19" i="33"/>
  <c r="H14" i="33"/>
  <c r="G14" i="33"/>
  <c r="J13" i="33"/>
  <c r="H13" i="33"/>
  <c r="G12" i="33"/>
  <c r="G11" i="33"/>
  <c r="G10" i="33"/>
  <c r="D3" i="33"/>
  <c r="D2" i="33"/>
  <c r="D1" i="33"/>
  <c r="C6" i="103" l="1"/>
  <c r="N6" i="103" s="1"/>
  <c r="J25" i="33"/>
  <c r="I24" i="98"/>
  <c r="J24" i="98" s="1"/>
  <c r="I19" i="95"/>
  <c r="J19" i="95" s="1"/>
  <c r="J25" i="95" s="1"/>
  <c r="I23" i="98"/>
  <c r="J23" i="98" s="1"/>
  <c r="E15" i="7"/>
  <c r="F15" i="7" s="1"/>
  <c r="E34" i="7"/>
  <c r="F34" i="7" s="1"/>
  <c r="F10" i="7"/>
  <c r="J27" i="98" l="1"/>
  <c r="J115" i="98"/>
  <c r="J159" i="98"/>
  <c r="I204" i="98"/>
  <c r="J204" i="98" s="1"/>
  <c r="J207" i="98" s="1"/>
  <c r="J225" i="98" s="1"/>
  <c r="I160" i="98"/>
  <c r="J160" i="98" s="1"/>
  <c r="I70" i="98"/>
  <c r="J70" i="98" s="1"/>
  <c r="I116" i="98"/>
  <c r="J116" i="98" s="1"/>
  <c r="J119" i="98" l="1"/>
  <c r="J73" i="98"/>
  <c r="J163" i="98"/>
  <c r="C6" i="104"/>
  <c r="N6" i="104" s="1"/>
  <c r="C6" i="51"/>
  <c r="N6" i="51" s="1"/>
  <c r="C6" i="52" l="1"/>
  <c r="N6" i="52" s="1"/>
  <c r="C6" i="54" l="1"/>
  <c r="N6" i="54" s="1"/>
  <c r="E46" i="7" l="1"/>
  <c r="F45" i="7"/>
  <c r="F44" i="7"/>
  <c r="F43" i="7"/>
  <c r="F42" i="7"/>
  <c r="H12" i="144" s="1"/>
  <c r="J12" i="144" s="1"/>
  <c r="E41" i="7"/>
  <c r="F40" i="7"/>
  <c r="H56" i="98"/>
  <c r="J56" i="98" s="1"/>
  <c r="F38" i="7"/>
  <c r="F37" i="7"/>
  <c r="E33" i="7"/>
  <c r="F33" i="7" s="1"/>
  <c r="H9" i="132" s="1"/>
  <c r="J9" i="132" s="1"/>
  <c r="J17" i="132" s="1"/>
  <c r="J45" i="132" s="1"/>
  <c r="C7" i="199" s="1"/>
  <c r="E32" i="7"/>
  <c r="F32" i="7" s="1"/>
  <c r="F29" i="7"/>
  <c r="F28" i="7"/>
  <c r="E27" i="7"/>
  <c r="F27" i="7" s="1"/>
  <c r="E26" i="7"/>
  <c r="E31" i="7" s="1"/>
  <c r="F31" i="7" s="1"/>
  <c r="F25" i="7"/>
  <c r="F24" i="7"/>
  <c r="F23" i="7"/>
  <c r="F22" i="7"/>
  <c r="E21" i="7"/>
  <c r="F21" i="7" s="1"/>
  <c r="F20" i="7"/>
  <c r="E14" i="7"/>
  <c r="F14" i="7" s="1"/>
  <c r="F13" i="7"/>
  <c r="F11" i="7"/>
  <c r="F7" i="7"/>
  <c r="B3" i="5"/>
  <c r="H72" i="5"/>
  <c r="E72" i="5"/>
  <c r="F72" i="5" s="1"/>
  <c r="I72" i="5" s="1"/>
  <c r="H61" i="5"/>
  <c r="E61" i="5"/>
  <c r="F61" i="5" s="1"/>
  <c r="I61" i="5" s="1"/>
  <c r="A55" i="5"/>
  <c r="A66" i="5" s="1"/>
  <c r="A77" i="5" s="1"/>
  <c r="H41" i="5"/>
  <c r="E41" i="5"/>
  <c r="F41" i="5" s="1"/>
  <c r="I41" i="5" s="1"/>
  <c r="H30" i="5"/>
  <c r="E30" i="5"/>
  <c r="F30" i="5" s="1"/>
  <c r="I30" i="5" s="1"/>
  <c r="H20" i="5"/>
  <c r="E20" i="5"/>
  <c r="F20" i="5" s="1"/>
  <c r="I20" i="5" s="1"/>
  <c r="B12" i="5"/>
  <c r="I30" i="192" l="1"/>
  <c r="I30" i="196"/>
  <c r="I30" i="193"/>
  <c r="I30" i="197"/>
  <c r="J30" i="197" s="1"/>
  <c r="J34" i="197" s="1"/>
  <c r="I30" i="165"/>
  <c r="I30" i="194"/>
  <c r="J30" i="194" s="1"/>
  <c r="J34" i="194" s="1"/>
  <c r="I30" i="198"/>
  <c r="I30" i="195"/>
  <c r="J30" i="195" s="1"/>
  <c r="J34" i="195" s="1"/>
  <c r="I30" i="107"/>
  <c r="J30" i="107" s="1"/>
  <c r="J34" i="107" s="1"/>
  <c r="I31" i="106"/>
  <c r="J31" i="106" s="1"/>
  <c r="J35" i="106" s="1"/>
  <c r="H10" i="197"/>
  <c r="J10" i="197" s="1"/>
  <c r="H10" i="194"/>
  <c r="J10" i="194" s="1"/>
  <c r="H10" i="195"/>
  <c r="J10" i="195" s="1"/>
  <c r="H10" i="198"/>
  <c r="J10" i="198" s="1"/>
  <c r="H10" i="196"/>
  <c r="J10" i="196" s="1"/>
  <c r="H10" i="193"/>
  <c r="J10" i="193" s="1"/>
  <c r="H10" i="165"/>
  <c r="J10" i="165" s="1"/>
  <c r="H11" i="197"/>
  <c r="J11" i="197" s="1"/>
  <c r="H11" i="194"/>
  <c r="J11" i="194" s="1"/>
  <c r="H11" i="198"/>
  <c r="J11" i="198" s="1"/>
  <c r="H11" i="196"/>
  <c r="J11" i="196" s="1"/>
  <c r="H11" i="195"/>
  <c r="J11" i="195" s="1"/>
  <c r="H11" i="193"/>
  <c r="J11" i="193" s="1"/>
  <c r="H11" i="192"/>
  <c r="J11" i="192" s="1"/>
  <c r="E86" i="2"/>
  <c r="F86" i="2" s="1"/>
  <c r="F85" i="2" s="1"/>
  <c r="J30" i="192"/>
  <c r="J34" i="192" s="1"/>
  <c r="J30" i="196"/>
  <c r="J34" i="196" s="1"/>
  <c r="J30" i="193"/>
  <c r="J34" i="193" s="1"/>
  <c r="I41" i="176"/>
  <c r="J41" i="176" s="1"/>
  <c r="J45" i="176" s="1"/>
  <c r="J30" i="198"/>
  <c r="J34" i="198" s="1"/>
  <c r="J30" i="165"/>
  <c r="J34" i="165" s="1"/>
  <c r="H10" i="192"/>
  <c r="J10" i="192" s="1"/>
  <c r="H10" i="106"/>
  <c r="J10" i="106" s="1"/>
  <c r="H10" i="107"/>
  <c r="J10" i="107" s="1"/>
  <c r="S10" i="96"/>
  <c r="U10" i="96" s="1"/>
  <c r="S10" i="95"/>
  <c r="U10" i="95" s="1"/>
  <c r="H10" i="124"/>
  <c r="J10" i="124" s="1"/>
  <c r="D60" i="5"/>
  <c r="D80" i="5"/>
  <c r="D82" i="5"/>
  <c r="D81" i="5"/>
  <c r="H10" i="144"/>
  <c r="J10" i="144" s="1"/>
  <c r="H11" i="107"/>
  <c r="J11" i="107" s="1"/>
  <c r="H11" i="106"/>
  <c r="J11" i="106" s="1"/>
  <c r="H10" i="99"/>
  <c r="J10" i="99" s="1"/>
  <c r="H10" i="95"/>
  <c r="J10" i="95" s="1"/>
  <c r="H10" i="96"/>
  <c r="J10" i="96" s="1"/>
  <c r="H11" i="33"/>
  <c r="J11" i="33" s="1"/>
  <c r="H12" i="33"/>
  <c r="J12" i="33" s="1"/>
  <c r="C17" i="5"/>
  <c r="H17" i="5" s="1"/>
  <c r="F26" i="7"/>
  <c r="H10" i="33" s="1"/>
  <c r="J10" i="33" s="1"/>
  <c r="D19" i="5"/>
  <c r="E19" i="5" s="1"/>
  <c r="F19" i="5" s="1"/>
  <c r="I19" i="5" s="1"/>
  <c r="C93" i="5" s="1"/>
  <c r="D69" i="5"/>
  <c r="D17" i="5"/>
  <c r="D71" i="5"/>
  <c r="D39" i="5"/>
  <c r="H19" i="5"/>
  <c r="C29" i="5"/>
  <c r="H29" i="5" s="1"/>
  <c r="D29" i="5"/>
  <c r="D48" i="5"/>
  <c r="D59" i="5"/>
  <c r="D27" i="5"/>
  <c r="D18" i="5"/>
  <c r="D38" i="5"/>
  <c r="D40" i="5"/>
  <c r="D70" i="5"/>
  <c r="D28" i="5"/>
  <c r="D47" i="5"/>
  <c r="D49" i="5"/>
  <c r="D58" i="5"/>
  <c r="J15" i="193" l="1"/>
  <c r="J15" i="192"/>
  <c r="J15" i="195"/>
  <c r="J15" i="194"/>
  <c r="J15" i="196"/>
  <c r="J15" i="198"/>
  <c r="J15" i="197"/>
  <c r="R37" i="95"/>
  <c r="U37" i="95" s="1"/>
  <c r="U41" i="95" s="1"/>
  <c r="R41" i="126"/>
  <c r="U41" i="126" s="1"/>
  <c r="U9" i="126" s="1"/>
  <c r="U15" i="126" s="1"/>
  <c r="R38" i="36"/>
  <c r="U38" i="36" s="1"/>
  <c r="R38" i="96"/>
  <c r="U38" i="96" s="1"/>
  <c r="G41" i="169"/>
  <c r="J41" i="169" s="1"/>
  <c r="J9" i="169" s="1"/>
  <c r="J15" i="169" s="1"/>
  <c r="G38" i="166"/>
  <c r="J38" i="166" s="1"/>
  <c r="G38" i="167"/>
  <c r="J38" i="167" s="1"/>
  <c r="G41" i="170"/>
  <c r="J41" i="170" s="1"/>
  <c r="G264" i="98"/>
  <c r="J264" i="98" s="1"/>
  <c r="G41" i="98"/>
  <c r="J41" i="98" s="1"/>
  <c r="G87" i="98"/>
  <c r="J87" i="98" s="1"/>
  <c r="J177" i="98"/>
  <c r="G133" i="98"/>
  <c r="J133" i="98" s="1"/>
  <c r="G38" i="129"/>
  <c r="J38" i="129" s="1"/>
  <c r="G41" i="126"/>
  <c r="J41" i="126" s="1"/>
  <c r="J9" i="126" s="1"/>
  <c r="G39" i="144"/>
  <c r="J39" i="144" s="1"/>
  <c r="G38" i="163"/>
  <c r="J38" i="163" s="1"/>
  <c r="G37" i="123"/>
  <c r="J37" i="123" s="1"/>
  <c r="G41" i="97"/>
  <c r="J41" i="97" s="1"/>
  <c r="G42" i="158"/>
  <c r="J42" i="158" s="1"/>
  <c r="G38" i="161"/>
  <c r="J38" i="161" s="1"/>
  <c r="G38" i="36"/>
  <c r="J38" i="36" s="1"/>
  <c r="G38" i="148"/>
  <c r="J38" i="148" s="1"/>
  <c r="G38" i="124"/>
  <c r="J38" i="124" s="1"/>
  <c r="G39" i="107"/>
  <c r="J39" i="107" s="1"/>
  <c r="G40" i="106"/>
  <c r="J40" i="106" s="1"/>
  <c r="G38" i="99"/>
  <c r="J38" i="99" s="1"/>
  <c r="G38" i="96"/>
  <c r="J38" i="96" s="1"/>
  <c r="G37" i="95"/>
  <c r="J37" i="95" s="1"/>
  <c r="J41" i="95" s="1"/>
  <c r="J9" i="95" s="1"/>
  <c r="J15" i="95" s="1"/>
  <c r="J43" i="95" s="1"/>
  <c r="C27" i="5"/>
  <c r="H27" i="5" s="1"/>
  <c r="E17" i="5"/>
  <c r="F17" i="5" s="1"/>
  <c r="I17" i="5" s="1"/>
  <c r="H18" i="5"/>
  <c r="H21" i="5" s="1"/>
  <c r="E14" i="5" s="1"/>
  <c r="C28" i="5"/>
  <c r="E28" i="5" s="1"/>
  <c r="F28" i="5" s="1"/>
  <c r="I28" i="5" s="1"/>
  <c r="E18" i="5"/>
  <c r="F18" i="5" s="1"/>
  <c r="I18" i="5" s="1"/>
  <c r="C91" i="5" s="1"/>
  <c r="C40" i="5"/>
  <c r="H40" i="5" s="1"/>
  <c r="E29" i="5"/>
  <c r="F29" i="5" s="1"/>
  <c r="I29" i="5" s="1"/>
  <c r="G132" i="98" l="1"/>
  <c r="J132" i="98" s="1"/>
  <c r="R37" i="36"/>
  <c r="U37" i="36" s="1"/>
  <c r="U41" i="36" s="1"/>
  <c r="U9" i="36" s="1"/>
  <c r="U15" i="36" s="1"/>
  <c r="U43" i="36" s="1"/>
  <c r="G12" i="2" s="1"/>
  <c r="H12" i="2" s="1"/>
  <c r="R37" i="96"/>
  <c r="U37" i="96" s="1"/>
  <c r="U41" i="96" s="1"/>
  <c r="R40" i="126"/>
  <c r="U40" i="126" s="1"/>
  <c r="U9" i="95"/>
  <c r="U15" i="95" s="1"/>
  <c r="U43" i="95" s="1"/>
  <c r="G13" i="2" s="1"/>
  <c r="H13" i="2" s="1"/>
  <c r="E13" i="2"/>
  <c r="F13" i="2" s="1"/>
  <c r="G38" i="33"/>
  <c r="J38" i="33" s="1"/>
  <c r="J176" i="98"/>
  <c r="G263" i="98"/>
  <c r="J263" i="98" s="1"/>
  <c r="J267" i="98" s="1"/>
  <c r="J235" i="98" s="1"/>
  <c r="J241" i="98" s="1"/>
  <c r="J269" i="98" s="1"/>
  <c r="I20" i="144" s="1"/>
  <c r="G40" i="169"/>
  <c r="J40" i="169" s="1"/>
  <c r="G37" i="167"/>
  <c r="J37" i="167" s="1"/>
  <c r="J41" i="167" s="1"/>
  <c r="J9" i="167" s="1"/>
  <c r="J15" i="167" s="1"/>
  <c r="G37" i="166"/>
  <c r="J37" i="166" s="1"/>
  <c r="G40" i="170"/>
  <c r="J40" i="170" s="1"/>
  <c r="G86" i="98"/>
  <c r="J86" i="98" s="1"/>
  <c r="G37" i="129"/>
  <c r="J37" i="129" s="1"/>
  <c r="G37" i="163"/>
  <c r="J37" i="163" s="1"/>
  <c r="J41" i="163" s="1"/>
  <c r="G38" i="123"/>
  <c r="J38" i="123" s="1"/>
  <c r="J41" i="123" s="1"/>
  <c r="J9" i="123" s="1"/>
  <c r="J15" i="123" s="1"/>
  <c r="G40" i="97"/>
  <c r="J40" i="97" s="1"/>
  <c r="G38" i="144"/>
  <c r="J38" i="144" s="1"/>
  <c r="G40" i="98"/>
  <c r="J40" i="98" s="1"/>
  <c r="G40" i="126"/>
  <c r="J40" i="126" s="1"/>
  <c r="C90" i="5"/>
  <c r="G37" i="161"/>
  <c r="J37" i="161" s="1"/>
  <c r="J41" i="161" s="1"/>
  <c r="I21" i="5"/>
  <c r="F14" i="5" s="1"/>
  <c r="G14" i="5" s="1"/>
  <c r="C99" i="5" s="1"/>
  <c r="E27" i="5"/>
  <c r="F27" i="5" s="1"/>
  <c r="I27" i="5" s="1"/>
  <c r="C87" i="5" s="1"/>
  <c r="R39" i="126" s="1"/>
  <c r="U39" i="126" s="1"/>
  <c r="C38" i="5"/>
  <c r="H38" i="5" s="1"/>
  <c r="G37" i="36"/>
  <c r="J37" i="36" s="1"/>
  <c r="J41" i="36" s="1"/>
  <c r="J9" i="36" s="1"/>
  <c r="J15" i="36" s="1"/>
  <c r="J43" i="36" s="1"/>
  <c r="E12" i="2" s="1"/>
  <c r="I21" i="176" s="1"/>
  <c r="J21" i="176" s="1"/>
  <c r="G37" i="148"/>
  <c r="J37" i="148" s="1"/>
  <c r="J41" i="148" s="1"/>
  <c r="G37" i="124"/>
  <c r="J37" i="124" s="1"/>
  <c r="J41" i="124" s="1"/>
  <c r="J9" i="124" s="1"/>
  <c r="J15" i="124" s="1"/>
  <c r="J43" i="124" s="1"/>
  <c r="E47" i="2" s="1"/>
  <c r="F47" i="2" s="1"/>
  <c r="G39" i="126"/>
  <c r="J39" i="126" s="1"/>
  <c r="G38" i="107"/>
  <c r="J38" i="107" s="1"/>
  <c r="J42" i="107" s="1"/>
  <c r="J9" i="107" s="1"/>
  <c r="J14" i="107" s="1"/>
  <c r="G39" i="106"/>
  <c r="J39" i="106" s="1"/>
  <c r="J43" i="106" s="1"/>
  <c r="J9" i="106" s="1"/>
  <c r="J15" i="106" s="1"/>
  <c r="G37" i="99"/>
  <c r="J37" i="99" s="1"/>
  <c r="J41" i="99" s="1"/>
  <c r="J9" i="99" s="1"/>
  <c r="J15" i="99" s="1"/>
  <c r="J43" i="99" s="1"/>
  <c r="E15" i="2" s="1"/>
  <c r="G37" i="96"/>
  <c r="J37" i="96" s="1"/>
  <c r="J41" i="96" s="1"/>
  <c r="J9" i="96" s="1"/>
  <c r="J15" i="96" s="1"/>
  <c r="J43" i="96" s="1"/>
  <c r="E14" i="2" s="1"/>
  <c r="G37" i="33"/>
  <c r="J37" i="33" s="1"/>
  <c r="C49" i="5"/>
  <c r="E40" i="5"/>
  <c r="F40" i="5" s="1"/>
  <c r="I40" i="5" s="1"/>
  <c r="C39" i="5"/>
  <c r="C59" i="5" s="1"/>
  <c r="H28" i="5"/>
  <c r="H31" i="5" s="1"/>
  <c r="E24" i="5" s="1"/>
  <c r="I31" i="5"/>
  <c r="I19" i="189" l="1"/>
  <c r="J19" i="189" s="1"/>
  <c r="J25" i="189" s="1"/>
  <c r="J43" i="189" s="1"/>
  <c r="I29" i="176"/>
  <c r="J29" i="176" s="1"/>
  <c r="I28" i="176"/>
  <c r="J28" i="176" s="1"/>
  <c r="I19" i="165"/>
  <c r="J19" i="165" s="1"/>
  <c r="I19" i="193"/>
  <c r="J19" i="193" s="1"/>
  <c r="I19" i="198"/>
  <c r="J19" i="198" s="1"/>
  <c r="I19" i="192"/>
  <c r="J19" i="192" s="1"/>
  <c r="I19" i="195"/>
  <c r="J19" i="195" s="1"/>
  <c r="I19" i="194"/>
  <c r="J19" i="194" s="1"/>
  <c r="I19" i="197"/>
  <c r="J19" i="197" s="1"/>
  <c r="I19" i="196"/>
  <c r="J19" i="196" s="1"/>
  <c r="T20" i="123"/>
  <c r="U20" i="123" s="1"/>
  <c r="U19" i="123" s="1"/>
  <c r="U25" i="123" s="1"/>
  <c r="U43" i="123" s="1"/>
  <c r="G43" i="2" s="1"/>
  <c r="H43" i="2" s="1"/>
  <c r="I19" i="167"/>
  <c r="J19" i="167" s="1"/>
  <c r="J25" i="167" s="1"/>
  <c r="J43" i="167" s="1"/>
  <c r="E63" i="2" s="1"/>
  <c r="F63" i="2" s="1"/>
  <c r="F15" i="2"/>
  <c r="J41" i="33"/>
  <c r="U43" i="126"/>
  <c r="U45" i="126" s="1"/>
  <c r="U9" i="96"/>
  <c r="U15" i="96" s="1"/>
  <c r="U43" i="96" s="1"/>
  <c r="G14" i="2" s="1"/>
  <c r="H14" i="2" s="1"/>
  <c r="H11" i="2" s="1"/>
  <c r="F14" i="2"/>
  <c r="E38" i="5"/>
  <c r="F38" i="5" s="1"/>
  <c r="I38" i="5" s="1"/>
  <c r="J20" i="144"/>
  <c r="J25" i="144" s="1"/>
  <c r="I22" i="107"/>
  <c r="J22" i="107" s="1"/>
  <c r="I23" i="106"/>
  <c r="J23" i="106" s="1"/>
  <c r="C58" i="5"/>
  <c r="C69" i="5" s="1"/>
  <c r="C80" i="5" s="1"/>
  <c r="G39" i="98"/>
  <c r="J39" i="98" s="1"/>
  <c r="J43" i="98" s="1"/>
  <c r="J9" i="98" s="1"/>
  <c r="J17" i="98" s="1"/>
  <c r="J45" i="98" s="1"/>
  <c r="G39" i="169"/>
  <c r="J39" i="169" s="1"/>
  <c r="J43" i="169" s="1"/>
  <c r="G36" i="166"/>
  <c r="J36" i="166" s="1"/>
  <c r="J40" i="166" s="1"/>
  <c r="J9" i="166" s="1"/>
  <c r="J15" i="166" s="1"/>
  <c r="G39" i="170"/>
  <c r="J39" i="170" s="1"/>
  <c r="J43" i="170" s="1"/>
  <c r="J175" i="98"/>
  <c r="J179" i="98" s="1"/>
  <c r="J147" i="98" s="1"/>
  <c r="J153" i="98" s="1"/>
  <c r="J181" i="98" s="1"/>
  <c r="I19" i="171" s="1"/>
  <c r="G37" i="144"/>
  <c r="J37" i="144" s="1"/>
  <c r="J41" i="144" s="1"/>
  <c r="J9" i="144" s="1"/>
  <c r="J15" i="144" s="1"/>
  <c r="G85" i="98"/>
  <c r="J85" i="98" s="1"/>
  <c r="J89" i="98" s="1"/>
  <c r="J55" i="98" s="1"/>
  <c r="J63" i="98" s="1"/>
  <c r="J91" i="98" s="1"/>
  <c r="G36" i="129"/>
  <c r="J36" i="129" s="1"/>
  <c r="J40" i="129" s="1"/>
  <c r="J9" i="129" s="1"/>
  <c r="J15" i="129" s="1"/>
  <c r="G131" i="98"/>
  <c r="J131" i="98" s="1"/>
  <c r="J135" i="98" s="1"/>
  <c r="J101" i="98" s="1"/>
  <c r="J109" i="98" s="1"/>
  <c r="J137" i="98" s="1"/>
  <c r="J9" i="163"/>
  <c r="J15" i="163" s="1"/>
  <c r="J43" i="163" s="1"/>
  <c r="E48" i="2" s="1"/>
  <c r="F48" i="2" s="1"/>
  <c r="J43" i="126"/>
  <c r="J15" i="126" s="1"/>
  <c r="J9" i="161"/>
  <c r="J15" i="161" s="1"/>
  <c r="J43" i="161" s="1"/>
  <c r="E39" i="2" s="1"/>
  <c r="F39" i="2" s="1"/>
  <c r="F12" i="2"/>
  <c r="I18" i="107"/>
  <c r="I19" i="106"/>
  <c r="J19" i="106" s="1"/>
  <c r="J9" i="148"/>
  <c r="J15" i="148" s="1"/>
  <c r="J43" i="148" s="1"/>
  <c r="J25" i="123"/>
  <c r="J43" i="123" s="1"/>
  <c r="E43" i="2" s="1"/>
  <c r="F43" i="2" s="1"/>
  <c r="H49" i="5"/>
  <c r="C48" i="5"/>
  <c r="C47" i="5"/>
  <c r="J9" i="33"/>
  <c r="J15" i="33" s="1"/>
  <c r="J43" i="33" s="1"/>
  <c r="E52" i="2" s="1"/>
  <c r="F52" i="2" s="1"/>
  <c r="C60" i="5"/>
  <c r="E60" i="5" s="1"/>
  <c r="F60" i="5" s="1"/>
  <c r="I60" i="5" s="1"/>
  <c r="E49" i="5"/>
  <c r="F49" i="5" s="1"/>
  <c r="I49" i="5" s="1"/>
  <c r="C96" i="5" s="1"/>
  <c r="H39" i="5"/>
  <c r="H42" i="5" s="1"/>
  <c r="E35" i="5" s="1"/>
  <c r="E39" i="5"/>
  <c r="F39" i="5" s="1"/>
  <c r="I39" i="5" s="1"/>
  <c r="F24" i="5"/>
  <c r="G24" i="5" s="1"/>
  <c r="C70" i="5"/>
  <c r="C81" i="5" s="1"/>
  <c r="H59" i="5"/>
  <c r="E59" i="5"/>
  <c r="F59" i="5" s="1"/>
  <c r="I59" i="5" s="1"/>
  <c r="E44" i="2" l="1"/>
  <c r="F44" i="2" s="1"/>
  <c r="I20" i="198"/>
  <c r="I20" i="197"/>
  <c r="I20" i="196"/>
  <c r="J20" i="196" s="1"/>
  <c r="I20" i="195"/>
  <c r="J20" i="195" s="1"/>
  <c r="I20" i="193"/>
  <c r="J20" i="193" s="1"/>
  <c r="I20" i="192"/>
  <c r="J20" i="192" s="1"/>
  <c r="I20" i="165"/>
  <c r="J20" i="165" s="1"/>
  <c r="I20" i="194"/>
  <c r="J20" i="194" s="1"/>
  <c r="I21" i="126"/>
  <c r="J21" i="126" s="1"/>
  <c r="J27" i="126" s="1"/>
  <c r="I21" i="192"/>
  <c r="I21" i="198"/>
  <c r="J21" i="198" s="1"/>
  <c r="I21" i="193"/>
  <c r="J21" i="193" s="1"/>
  <c r="I21" i="197"/>
  <c r="J21" i="197" s="1"/>
  <c r="I21" i="196"/>
  <c r="J21" i="196" s="1"/>
  <c r="I21" i="195"/>
  <c r="J21" i="195" s="1"/>
  <c r="I21" i="194"/>
  <c r="J21" i="194" s="1"/>
  <c r="J45" i="126"/>
  <c r="E49" i="2" s="1"/>
  <c r="F49" i="2" s="1"/>
  <c r="I31" i="176"/>
  <c r="J31" i="176" s="1"/>
  <c r="I30" i="176"/>
  <c r="I19" i="129"/>
  <c r="J19" i="129" s="1"/>
  <c r="J24" i="129" s="1"/>
  <c r="J42" i="129" s="1"/>
  <c r="E50" i="2" s="1"/>
  <c r="I24" i="176"/>
  <c r="J24" i="176" s="1"/>
  <c r="I25" i="176"/>
  <c r="J25" i="176" s="1"/>
  <c r="J20" i="198"/>
  <c r="J20" i="197"/>
  <c r="J21" i="192"/>
  <c r="I21" i="165"/>
  <c r="J21" i="165" s="1"/>
  <c r="G49" i="2"/>
  <c r="H49" i="2" s="1"/>
  <c r="H42" i="2" s="1"/>
  <c r="I21" i="169"/>
  <c r="J21" i="169" s="1"/>
  <c r="J27" i="169" s="1"/>
  <c r="J45" i="169" s="1"/>
  <c r="E66" i="2" s="1"/>
  <c r="I19" i="166"/>
  <c r="J19" i="166" s="1"/>
  <c r="J24" i="166" s="1"/>
  <c r="J42" i="166" s="1"/>
  <c r="E64" i="2" s="1"/>
  <c r="F64" i="2" s="1"/>
  <c r="J19" i="171"/>
  <c r="I42" i="5"/>
  <c r="E58" i="5"/>
  <c r="F58" i="5" s="1"/>
  <c r="I58" i="5" s="1"/>
  <c r="T20" i="106"/>
  <c r="U20" i="106" s="1"/>
  <c r="U27" i="106" s="1"/>
  <c r="U45" i="106" s="1"/>
  <c r="G23" i="2" s="1"/>
  <c r="H23" i="2" s="1"/>
  <c r="H16" i="2" s="1"/>
  <c r="H69" i="5"/>
  <c r="E69" i="5"/>
  <c r="F69" i="5" s="1"/>
  <c r="I69" i="5" s="1"/>
  <c r="H58" i="5"/>
  <c r="F11" i="2"/>
  <c r="J43" i="144"/>
  <c r="E46" i="2" s="1"/>
  <c r="F46" i="2" s="1"/>
  <c r="E81" i="5"/>
  <c r="F81" i="5" s="1"/>
  <c r="H81" i="5"/>
  <c r="H80" i="5"/>
  <c r="E80" i="5"/>
  <c r="F80" i="5" s="1"/>
  <c r="J9" i="170"/>
  <c r="J17" i="170" s="1"/>
  <c r="J45" i="170" s="1"/>
  <c r="E67" i="2" s="1"/>
  <c r="E54" i="2"/>
  <c r="F54" i="2" s="1"/>
  <c r="I19" i="107"/>
  <c r="J19" i="107" s="1"/>
  <c r="I20" i="106"/>
  <c r="J20" i="106" s="1"/>
  <c r="J27" i="106" s="1"/>
  <c r="J45" i="106" s="1"/>
  <c r="E23" i="2" s="1"/>
  <c r="J18" i="107"/>
  <c r="E48" i="5"/>
  <c r="F48" i="5" s="1"/>
  <c r="I48" i="5" s="1"/>
  <c r="C95" i="5" s="1"/>
  <c r="H48" i="5"/>
  <c r="C71" i="5"/>
  <c r="E47" i="5"/>
  <c r="F47" i="5" s="1"/>
  <c r="I47" i="5" s="1"/>
  <c r="C94" i="5" s="1"/>
  <c r="H60" i="5"/>
  <c r="H47" i="5"/>
  <c r="F35" i="5"/>
  <c r="G35" i="5" s="1"/>
  <c r="C98" i="5" s="1"/>
  <c r="I62" i="5"/>
  <c r="H70" i="5"/>
  <c r="E70" i="5"/>
  <c r="F70" i="5" s="1"/>
  <c r="I70" i="5" s="1"/>
  <c r="J25" i="171" l="1"/>
  <c r="J43" i="171" s="1"/>
  <c r="F66" i="2"/>
  <c r="J26" i="197"/>
  <c r="J44" i="197" s="1"/>
  <c r="E61" i="2" s="1"/>
  <c r="F61" i="2" s="1"/>
  <c r="J30" i="176"/>
  <c r="J37" i="176" s="1"/>
  <c r="J56" i="176" s="1"/>
  <c r="E72" i="2" s="1"/>
  <c r="J26" i="193"/>
  <c r="J44" i="193" s="1"/>
  <c r="E57" i="2" s="1"/>
  <c r="F57" i="2" s="1"/>
  <c r="J26" i="196"/>
  <c r="J44" i="196" s="1"/>
  <c r="E60" i="2" s="1"/>
  <c r="F60" i="2" s="1"/>
  <c r="J26" i="195"/>
  <c r="J44" i="195" s="1"/>
  <c r="E59" i="2" s="1"/>
  <c r="F59" i="2" s="1"/>
  <c r="J26" i="198"/>
  <c r="J44" i="198" s="1"/>
  <c r="E62" i="2" s="1"/>
  <c r="F62" i="2" s="1"/>
  <c r="J26" i="192"/>
  <c r="J26" i="194"/>
  <c r="J44" i="194" s="1"/>
  <c r="E58" i="2" s="1"/>
  <c r="F58" i="2" s="1"/>
  <c r="J26" i="165"/>
  <c r="G37" i="160"/>
  <c r="J37" i="160" s="1"/>
  <c r="J41" i="160" s="1"/>
  <c r="J9" i="160" s="1"/>
  <c r="J15" i="160" s="1"/>
  <c r="J43" i="160" s="1"/>
  <c r="E37" i="2" s="1"/>
  <c r="F37" i="2" s="1"/>
  <c r="R37" i="160"/>
  <c r="U37" i="160" s="1"/>
  <c r="U41" i="160" s="1"/>
  <c r="R37" i="104"/>
  <c r="U37" i="104" s="1"/>
  <c r="U41" i="104" s="1"/>
  <c r="U9" i="104" s="1"/>
  <c r="U15" i="104" s="1"/>
  <c r="U43" i="104" s="1"/>
  <c r="G38" i="2" s="1"/>
  <c r="H38" i="2" s="1"/>
  <c r="R37" i="103"/>
  <c r="U37" i="103" s="1"/>
  <c r="U41" i="103" s="1"/>
  <c r="R37" i="101"/>
  <c r="U37" i="101" s="1"/>
  <c r="U41" i="101" s="1"/>
  <c r="H62" i="5"/>
  <c r="E55" i="5" s="1"/>
  <c r="F50" i="2"/>
  <c r="I80" i="5"/>
  <c r="C88" i="5"/>
  <c r="H71" i="5"/>
  <c r="H73" i="5" s="1"/>
  <c r="E66" i="5" s="1"/>
  <c r="C82" i="5"/>
  <c r="I81" i="5"/>
  <c r="C89" i="5"/>
  <c r="C92" i="5"/>
  <c r="G41" i="158"/>
  <c r="J41" i="158" s="1"/>
  <c r="J45" i="158" s="1"/>
  <c r="G37" i="156"/>
  <c r="J37" i="156" s="1"/>
  <c r="J41" i="156" s="1"/>
  <c r="G37" i="157"/>
  <c r="J37" i="157" s="1"/>
  <c r="J41" i="157" s="1"/>
  <c r="G37" i="154"/>
  <c r="J37" i="154" s="1"/>
  <c r="J41" i="154" s="1"/>
  <c r="H51" i="5"/>
  <c r="E44" i="5" s="1"/>
  <c r="I51" i="5"/>
  <c r="J26" i="107"/>
  <c r="J44" i="107" s="1"/>
  <c r="E71" i="5"/>
  <c r="F71" i="5" s="1"/>
  <c r="I71" i="5" s="1"/>
  <c r="I73" i="5" s="1"/>
  <c r="G37" i="139"/>
  <c r="J37" i="139" s="1"/>
  <c r="J41" i="139" s="1"/>
  <c r="G37" i="104"/>
  <c r="J37" i="104" s="1"/>
  <c r="J41" i="104" s="1"/>
  <c r="G37" i="103"/>
  <c r="J37" i="103" s="1"/>
  <c r="J41" i="103" s="1"/>
  <c r="G37" i="101"/>
  <c r="J37" i="101" s="1"/>
  <c r="J41" i="101" s="1"/>
  <c r="F23" i="2"/>
  <c r="G37" i="91"/>
  <c r="J37" i="91" s="1"/>
  <c r="J41" i="91" s="1"/>
  <c r="G37" i="88"/>
  <c r="J37" i="88" s="1"/>
  <c r="J41" i="88" s="1"/>
  <c r="G37" i="54"/>
  <c r="J37" i="54" s="1"/>
  <c r="J41" i="54" s="1"/>
  <c r="G37" i="52"/>
  <c r="J37" i="52" s="1"/>
  <c r="J41" i="52" s="1"/>
  <c r="G37" i="51"/>
  <c r="J37" i="51" s="1"/>
  <c r="J41" i="51" s="1"/>
  <c r="G37" i="45"/>
  <c r="J37" i="45" s="1"/>
  <c r="J41" i="45" s="1"/>
  <c r="G37" i="44"/>
  <c r="J37" i="44" s="1"/>
  <c r="J41" i="44" s="1"/>
  <c r="G37" i="38"/>
  <c r="J37" i="38" s="1"/>
  <c r="J41" i="38" s="1"/>
  <c r="G37" i="47"/>
  <c r="J37" i="47" s="1"/>
  <c r="J41" i="47" s="1"/>
  <c r="G37" i="37"/>
  <c r="J37" i="37" s="1"/>
  <c r="J41" i="37" s="1"/>
  <c r="F55" i="5"/>
  <c r="G55" i="5" s="1"/>
  <c r="G65" i="2" l="1"/>
  <c r="H65" i="2" s="1"/>
  <c r="H53" i="2" s="1"/>
  <c r="E65" i="2"/>
  <c r="F65" i="2" s="1"/>
  <c r="J44" i="192"/>
  <c r="E56" i="2" s="1"/>
  <c r="F56" i="2" s="1"/>
  <c r="U9" i="103"/>
  <c r="U15" i="103" s="1"/>
  <c r="U43" i="103" s="1"/>
  <c r="G36" i="2" s="1"/>
  <c r="H36" i="2" s="1"/>
  <c r="U9" i="101"/>
  <c r="U15" i="101" s="1"/>
  <c r="U43" i="101"/>
  <c r="G35" i="2" s="1"/>
  <c r="H35" i="2" s="1"/>
  <c r="U9" i="160"/>
  <c r="U15" i="160" s="1"/>
  <c r="U43" i="160" s="1"/>
  <c r="G37" i="2" s="1"/>
  <c r="H37" i="2" s="1"/>
  <c r="H82" i="5"/>
  <c r="H84" i="5" s="1"/>
  <c r="E77" i="5" s="1"/>
  <c r="E82" i="5"/>
  <c r="F82" i="5" s="1"/>
  <c r="I82" i="5" s="1"/>
  <c r="I84" i="5" s="1"/>
  <c r="F77" i="5" s="1"/>
  <c r="G77" i="5" s="1"/>
  <c r="C100" i="5" s="1"/>
  <c r="F70" i="2"/>
  <c r="F69" i="2"/>
  <c r="F66" i="5"/>
  <c r="G66" i="5" s="1"/>
  <c r="C97" i="5" s="1"/>
  <c r="F44" i="5"/>
  <c r="G44" i="5" s="1"/>
  <c r="C101" i="5" s="1"/>
  <c r="J9" i="154"/>
  <c r="J15" i="154" s="1"/>
  <c r="J43" i="154" s="1"/>
  <c r="E20" i="2" s="1"/>
  <c r="F20" i="2" s="1"/>
  <c r="J9" i="157"/>
  <c r="J15" i="157" s="1"/>
  <c r="J43" i="157" s="1"/>
  <c r="E22" i="2" s="1"/>
  <c r="F22" i="2" s="1"/>
  <c r="G39" i="97"/>
  <c r="J39" i="97" s="1"/>
  <c r="J43" i="97" s="1"/>
  <c r="J9" i="97" s="1"/>
  <c r="J17" i="97" s="1"/>
  <c r="J45" i="97" s="1"/>
  <c r="F67" i="2" s="1"/>
  <c r="J9" i="156"/>
  <c r="J15" i="156" s="1"/>
  <c r="J43" i="156" s="1"/>
  <c r="E21" i="2" s="1"/>
  <c r="F21" i="2" s="1"/>
  <c r="J9" i="158"/>
  <c r="J15" i="158" s="1"/>
  <c r="J47" i="158" s="1"/>
  <c r="E41" i="2" s="1"/>
  <c r="F41" i="2" s="1"/>
  <c r="E24" i="2"/>
  <c r="J9" i="101"/>
  <c r="J15" i="101" s="1"/>
  <c r="J43" i="101" s="1"/>
  <c r="E35" i="2" s="1"/>
  <c r="J9" i="104"/>
  <c r="J15" i="104" s="1"/>
  <c r="J43" i="104" s="1"/>
  <c r="E38" i="2" s="1"/>
  <c r="F38" i="2" s="1"/>
  <c r="J9" i="103"/>
  <c r="J15" i="103" s="1"/>
  <c r="J43" i="103" s="1"/>
  <c r="E36" i="2" s="1"/>
  <c r="F36" i="2" s="1"/>
  <c r="J9" i="139"/>
  <c r="J15" i="139" s="1"/>
  <c r="J43" i="139" s="1"/>
  <c r="E19" i="2" s="1"/>
  <c r="F19" i="2" s="1"/>
  <c r="J9" i="91"/>
  <c r="J15" i="91" s="1"/>
  <c r="J43" i="91" s="1"/>
  <c r="E34" i="2" s="1"/>
  <c r="J9" i="88"/>
  <c r="J15" i="88" s="1"/>
  <c r="J43" i="88" s="1"/>
  <c r="E33" i="2" s="1"/>
  <c r="J9" i="51"/>
  <c r="J15" i="51" s="1"/>
  <c r="J43" i="51" s="1"/>
  <c r="J9" i="52"/>
  <c r="J15" i="52" s="1"/>
  <c r="J43" i="52" s="1"/>
  <c r="E30" i="2" s="1"/>
  <c r="J9" i="54"/>
  <c r="J15" i="54" s="1"/>
  <c r="J43" i="54" s="1"/>
  <c r="E31" i="2" s="1"/>
  <c r="F31" i="2" s="1"/>
  <c r="J9" i="44"/>
  <c r="J15" i="44" s="1"/>
  <c r="J43" i="44" s="1"/>
  <c r="E26" i="2" s="1"/>
  <c r="F26" i="2" s="1"/>
  <c r="J9" i="38"/>
  <c r="J15" i="38" s="1"/>
  <c r="J43" i="38" s="1"/>
  <c r="E18" i="2" s="1"/>
  <c r="J9" i="37"/>
  <c r="J15" i="37" s="1"/>
  <c r="J43" i="37" s="1"/>
  <c r="E17" i="2" s="1"/>
  <c r="J9" i="47"/>
  <c r="J15" i="47" s="1"/>
  <c r="J43" i="47" s="1"/>
  <c r="E28" i="2" s="1"/>
  <c r="F28" i="2" s="1"/>
  <c r="J9" i="45"/>
  <c r="J15" i="45" s="1"/>
  <c r="J43" i="45" s="1"/>
  <c r="E27" i="2" s="1"/>
  <c r="H32" i="2" l="1"/>
  <c r="G104" i="2" s="1"/>
  <c r="G105" i="2" s="1"/>
  <c r="F24" i="2"/>
  <c r="F76" i="2"/>
  <c r="F79" i="2"/>
  <c r="F84" i="2"/>
  <c r="F78" i="2"/>
  <c r="F74" i="2"/>
  <c r="F81" i="2"/>
  <c r="G39" i="162"/>
  <c r="J39" i="162" s="1"/>
  <c r="J43" i="162" s="1"/>
  <c r="J9" i="162" s="1"/>
  <c r="J17" i="162" s="1"/>
  <c r="J45" i="162" s="1"/>
  <c r="E40" i="2" s="1"/>
  <c r="F40" i="2" s="1"/>
  <c r="F72" i="2"/>
  <c r="G38" i="165"/>
  <c r="J38" i="165" s="1"/>
  <c r="J42" i="165" s="1"/>
  <c r="J9" i="165" s="1"/>
  <c r="J15" i="165" s="1"/>
  <c r="J44" i="165" s="1"/>
  <c r="F73" i="2"/>
  <c r="F83" i="2"/>
  <c r="F75" i="2"/>
  <c r="E51" i="2"/>
  <c r="F51" i="2" s="1"/>
  <c r="F42" i="2" s="1"/>
  <c r="F35" i="2"/>
  <c r="E29" i="2"/>
  <c r="F29" i="2" s="1"/>
  <c r="F30" i="2"/>
  <c r="F34" i="2"/>
  <c r="F33" i="2"/>
  <c r="F17" i="2"/>
  <c r="F18" i="2"/>
  <c r="F27" i="2"/>
  <c r="E55" i="2" l="1"/>
  <c r="F55" i="2" s="1"/>
  <c r="F53" i="2" s="1"/>
  <c r="F80" i="2"/>
  <c r="F71" i="2"/>
  <c r="F82" i="2"/>
  <c r="F77" i="2"/>
  <c r="F25" i="2"/>
  <c r="F16" i="2"/>
  <c r="F32" i="2"/>
  <c r="F104" i="2" l="1"/>
  <c r="F105" i="2" s="1"/>
  <c r="H105" i="2" s="1"/>
  <c r="F68" i="2"/>
  <c r="F88" i="2" l="1"/>
  <c r="F90" i="2" s="1"/>
  <c r="F106" i="2"/>
  <c r="F107" i="2" s="1"/>
  <c r="F89" i="2" l="1"/>
  <c r="F91" i="2"/>
  <c r="F108" i="2"/>
  <c r="F92" i="2" l="1"/>
  <c r="F93" i="2" s="1"/>
  <c r="F94" i="2" l="1"/>
  <c r="J21" i="186" l="1"/>
  <c r="J29" i="186"/>
  <c r="J46" i="186"/>
  <c r="J52" i="186" s="1"/>
  <c r="U23" i="186"/>
  <c r="U29" i="186" s="1"/>
  <c r="U46" i="186" s="1"/>
  <c r="G82" i="2" l="1"/>
  <c r="H82" i="2" s="1"/>
  <c r="H68" i="2" s="1"/>
  <c r="J51" i="186"/>
  <c r="G106" i="2" l="1"/>
  <c r="G107" i="2" s="1"/>
  <c r="H88" i="2"/>
  <c r="H91" i="2" l="1"/>
  <c r="H89" i="2"/>
  <c r="G108" i="2"/>
  <c r="H108" i="2" s="1"/>
  <c r="H107" i="2"/>
  <c r="H92" i="2" l="1"/>
  <c r="H93" i="2" s="1"/>
  <c r="H94"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JAM</author>
  </authors>
  <commentList>
    <comment ref="E104" authorId="0" shapeId="0" xr:uid="{00000000-0006-0000-0100-000001000000}">
      <text>
        <r>
          <rPr>
            <b/>
            <sz val="9"/>
            <color indexed="81"/>
            <rFont val="Tahoma"/>
            <family val="2"/>
          </rPr>
          <t>JAM:</t>
        </r>
        <r>
          <rPr>
            <sz val="9"/>
            <color indexed="81"/>
            <rFont val="Tahoma"/>
            <family val="2"/>
          </rPr>
          <t xml:space="preserve">
</t>
        </r>
        <r>
          <rPr>
            <sz val="14"/>
            <color indexed="81"/>
            <rFont val="Tahoma"/>
            <family val="2"/>
          </rPr>
          <t>0 - 1500 SMMLV  se asegura 200 SMMLV
1500 - 2500 SMMLV  se asegura 300 SMMLV
2500 - 5000 SMMLV  se asegura 400 SMMLV
5000 - 10000 SMMLV  se asegura 500 SMMLV
mayores a 10000 SMMLV se asegura 5% del contrato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Sertet</author>
    <author>JUAN FELIPE BOTERO GARCIA</author>
    <author>OMEN</author>
  </authors>
  <commentList>
    <comment ref="B10" authorId="0" shapeId="0" xr:uid="{00000000-0006-0000-0300-000001000000}">
      <text>
        <r>
          <rPr>
            <b/>
            <sz val="9"/>
            <color indexed="81"/>
            <rFont val="Tahoma"/>
            <family val="2"/>
          </rPr>
          <t>Sertet:</t>
        </r>
        <r>
          <rPr>
            <sz val="9"/>
            <color indexed="81"/>
            <rFont val="Tahoma"/>
            <family val="2"/>
          </rPr>
          <t xml:space="preserve">
Incluye gasolina y transporte de Equipo</t>
        </r>
      </text>
    </comment>
    <comment ref="S10" authorId="1" shapeId="0" xr:uid="{00000000-0006-0000-0300-000002000000}">
      <text>
        <r>
          <rPr>
            <b/>
            <sz val="9"/>
            <color indexed="81"/>
            <rFont val="Tahoma"/>
            <family val="2"/>
          </rPr>
          <t>1:</t>
        </r>
        <r>
          <rPr>
            <sz val="9"/>
            <color indexed="81"/>
            <rFont val="Tahoma"/>
            <family val="2"/>
          </rPr>
          <t xml:space="preserve">
$79.000</t>
        </r>
      </text>
    </comment>
    <comment ref="Q19" authorId="2" shapeId="0" xr:uid="{00000000-0006-0000-0300-000003000000}">
      <text>
        <r>
          <rPr>
            <b/>
            <sz val="9"/>
            <color indexed="81"/>
            <rFont val="Tahoma"/>
            <family val="2"/>
          </rPr>
          <t>Validado con rendimiendo base de datos gobernación</t>
        </r>
      </text>
    </comment>
    <comment ref="I29" authorId="0" shapeId="0" xr:uid="{00000000-0006-0000-0300-000004000000}">
      <text>
        <r>
          <rPr>
            <b/>
            <sz val="9"/>
            <color indexed="81"/>
            <rFont val="Tahoma"/>
            <family val="2"/>
          </rPr>
          <t>Sertet:</t>
        </r>
        <r>
          <rPr>
            <sz val="9"/>
            <color indexed="81"/>
            <rFont val="Tahoma"/>
            <family val="2"/>
          </rPr>
          <t xml:space="preserve">
Los valores de acarreo deben corresponder en todos los apu donde se relacione el material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OMEN</author>
    <author>JUAN FELIPE BOTERO GARCIA</author>
  </authors>
  <commentList>
    <comment ref="Q20" authorId="0" shapeId="0" xr:uid="{00000000-0006-0000-0400-000001000000}">
      <text>
        <r>
          <rPr>
            <b/>
            <sz val="9"/>
            <color indexed="81"/>
            <rFont val="Tahoma"/>
            <family val="2"/>
          </rPr>
          <t>Validado con rendimiendo base de datos gobernación</t>
        </r>
      </text>
    </comment>
    <comment ref="S38" authorId="1" shapeId="0" xr:uid="{00000000-0006-0000-0400-000002000000}">
      <text>
        <r>
          <rPr>
            <b/>
            <sz val="9"/>
            <color indexed="81"/>
            <rFont val="Tahoma"/>
            <family val="2"/>
          </rPr>
          <t>1:</t>
        </r>
        <r>
          <rPr>
            <sz val="9"/>
            <color indexed="81"/>
            <rFont val="Tahoma"/>
            <family val="2"/>
          </rPr>
          <t xml:space="preserve">
Solo se requiere un ayudante para ejecutar esta actividad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Sertet</author>
  </authors>
  <commentList>
    <comment ref="F21" authorId="0" shapeId="0" xr:uid="{00000000-0006-0000-1B00-000001000000}">
      <text>
        <r>
          <rPr>
            <b/>
            <sz val="9"/>
            <color indexed="81"/>
            <rFont val="Tahoma"/>
            <family val="2"/>
          </rPr>
          <t>Sertet:</t>
        </r>
        <r>
          <rPr>
            <sz val="9"/>
            <color indexed="81"/>
            <rFont val="Tahoma"/>
            <family val="2"/>
          </rPr>
          <t xml:space="preserve">
Incluyen los traslapos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OMEN</author>
  </authors>
  <commentList>
    <comment ref="M20" authorId="0" shapeId="0" xr:uid="{00000000-0006-0000-2100-000001000000}">
      <text>
        <r>
          <rPr>
            <b/>
            <sz val="9"/>
            <color indexed="81"/>
            <rFont val="Tahoma"/>
            <family val="2"/>
          </rPr>
          <t xml:space="preserve">De acuerdo a base de datos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OMEN</author>
  </authors>
  <commentList>
    <comment ref="Q19" authorId="0" shapeId="0" xr:uid="{00000000-0006-0000-2200-000001000000}">
      <text>
        <r>
          <rPr>
            <b/>
            <sz val="9"/>
            <color indexed="81"/>
            <rFont val="Tahoma"/>
            <family val="2"/>
          </rPr>
          <t>De acuerdo a base de datos gobernación</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OMEN</author>
  </authors>
  <commentList>
    <comment ref="T38" authorId="0" shapeId="0" xr:uid="{00000000-0006-0000-2600-000001000000}">
      <text>
        <r>
          <rPr>
            <b/>
            <sz val="9"/>
            <color indexed="81"/>
            <rFont val="Tahoma"/>
            <family val="2"/>
          </rPr>
          <t xml:space="preserve">Realizando una perforación cada 30 minutos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Jesús Castro</author>
  </authors>
  <commentList>
    <comment ref="H39" authorId="0" shapeId="0" xr:uid="{00000000-0006-0000-2800-000001000000}">
      <text>
        <r>
          <rPr>
            <sz val="9"/>
            <color indexed="81"/>
            <rFont val="Tahoma"/>
            <family val="2"/>
          </rPr>
          <t>Un oficial de herrería y otro para la mezcla</t>
        </r>
      </text>
    </comment>
    <comment ref="H40" authorId="0" shapeId="0" xr:uid="{00000000-0006-0000-2800-000002000000}">
      <text>
        <r>
          <rPr>
            <b/>
            <sz val="9"/>
            <color indexed="81"/>
            <rFont val="Tahoma"/>
            <family val="2"/>
          </rPr>
          <t xml:space="preserve">Personal para pilotes:
</t>
        </r>
        <r>
          <rPr>
            <sz val="9"/>
            <color indexed="81"/>
            <rFont val="Tahoma"/>
            <family val="2"/>
          </rPr>
          <t xml:space="preserve">
2 Figurado
3 Excavación
3 Retiro</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Jesús Castro</author>
  </authors>
  <commentList>
    <comment ref="F21" authorId="0" shapeId="0" xr:uid="{00000000-0006-0000-3800-000001000000}">
      <text>
        <r>
          <rPr>
            <sz val="9"/>
            <color indexed="81"/>
            <rFont val="Tahoma"/>
            <family val="2"/>
          </rPr>
          <t>Área de la caseta por una profundidad de escavación de 0.60 m (30 cm de viga más 30 cm de mejoramiento y 3 cm de solado)</t>
        </r>
      </text>
    </comment>
    <comment ref="F22" authorId="0" shapeId="0" xr:uid="{00000000-0006-0000-3800-000002000000}">
      <text>
        <r>
          <rPr>
            <sz val="9"/>
            <color indexed="81"/>
            <rFont val="Tahoma"/>
            <family val="2"/>
          </rPr>
          <t>Volumen de mejoramiento para un espesor de 30 cm para vigas y losa.</t>
        </r>
      </text>
    </comment>
    <comment ref="B35" authorId="0" shapeId="0" xr:uid="{00000000-0006-0000-3800-000003000000}">
      <text>
        <r>
          <rPr>
            <sz val="9"/>
            <color indexed="81"/>
            <rFont val="Tahoma"/>
            <family val="2"/>
          </rPr>
          <t xml:space="preserve">Listones para soporte de la losa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Sertet</author>
  </authors>
  <commentList>
    <comment ref="B21" authorId="0" shapeId="0" xr:uid="{00000000-0006-0000-4600-000001000000}">
      <text>
        <r>
          <rPr>
            <b/>
            <sz val="9"/>
            <color indexed="81"/>
            <rFont val="Tahoma"/>
            <family val="2"/>
          </rPr>
          <t>Quitar el agua y distribuir los 16800.</t>
        </r>
      </text>
    </comment>
  </commentList>
</comments>
</file>

<file path=xl/sharedStrings.xml><?xml version="1.0" encoding="utf-8"?>
<sst xmlns="http://schemas.openxmlformats.org/spreadsheetml/2006/main" count="8765" uniqueCount="768">
  <si>
    <t>REPUBLICA DE COLOMBIA</t>
  </si>
  <si>
    <t>DEPARTAMENTO DE ANTIOQUIA</t>
  </si>
  <si>
    <t>MUNICIPIO DE ARBOLETES</t>
  </si>
  <si>
    <t>Nº</t>
  </si>
  <si>
    <t>DESCRIPCIÓN</t>
  </si>
  <si>
    <t>UNID.</t>
  </si>
  <si>
    <t>CANT.</t>
  </si>
  <si>
    <r>
      <t>m</t>
    </r>
    <r>
      <rPr>
        <vertAlign val="superscript"/>
        <sz val="11"/>
        <color theme="1"/>
        <rFont val="Times New Roman"/>
        <family val="1"/>
      </rPr>
      <t>3</t>
    </r>
  </si>
  <si>
    <r>
      <t>m</t>
    </r>
    <r>
      <rPr>
        <vertAlign val="superscript"/>
        <sz val="11"/>
        <color theme="1"/>
        <rFont val="Times New Roman"/>
        <family val="1"/>
      </rPr>
      <t>2</t>
    </r>
  </si>
  <si>
    <t>und</t>
  </si>
  <si>
    <t>VALOR UNITARIO</t>
  </si>
  <si>
    <t>VALOR TOTAL</t>
  </si>
  <si>
    <t>TOTAL COSTO OBRA CIVIL</t>
  </si>
  <si>
    <t>TOTAL COSTOS DIRECTOS</t>
  </si>
  <si>
    <t>ADMINISTRACIÓN</t>
  </si>
  <si>
    <t>IMPREVISTOS</t>
  </si>
  <si>
    <t>UTILIDAD</t>
  </si>
  <si>
    <t>TOTAL COSTOS INDIRECTOS</t>
  </si>
  <si>
    <t>Concreto de Resistencia 2000 PSI  para solado de estructura e=0.05m</t>
  </si>
  <si>
    <t>CANTIDAD</t>
  </si>
  <si>
    <t>ANALISIS DE PRECIOS UNITARIOS</t>
  </si>
  <si>
    <t>I</t>
  </si>
  <si>
    <t>ÍTEM</t>
  </si>
  <si>
    <t>Unidad</t>
  </si>
  <si>
    <t>Equipo</t>
  </si>
  <si>
    <t>DESCRIPCIÓN EQUIPO</t>
  </si>
  <si>
    <t>TIPO</t>
  </si>
  <si>
    <t>TARIFA/DIA</t>
  </si>
  <si>
    <t>RENDIMIENTO</t>
  </si>
  <si>
    <t>VALOR PARCIAL</t>
  </si>
  <si>
    <t>HERRAMIENTAS MENORES</t>
  </si>
  <si>
    <t>Subtotal Equipo :</t>
  </si>
  <si>
    <t>Materiales</t>
  </si>
  <si>
    <t>DESCRIPCIÓN MATERIAL</t>
  </si>
  <si>
    <t>UNIDAD</t>
  </si>
  <si>
    <t>DESPERDICIO (%)</t>
  </si>
  <si>
    <t>VALOR  UNITARIO</t>
  </si>
  <si>
    <t>Subtotal Materiales :</t>
  </si>
  <si>
    <t>Transporte</t>
  </si>
  <si>
    <t>TARIFA</t>
  </si>
  <si>
    <t>Subtotal Transporte :</t>
  </si>
  <si>
    <t>Mano de Obra</t>
  </si>
  <si>
    <t>Subtotal Mano de Obra :</t>
  </si>
  <si>
    <t>Total Costo Directo Item :</t>
  </si>
  <si>
    <t xml:space="preserve">RETROEXCAVADORA </t>
  </si>
  <si>
    <t>MOTOBOMBA</t>
  </si>
  <si>
    <t>Brist-stat</t>
  </si>
  <si>
    <t>FORMALETA METÀLICA PARA MH</t>
  </si>
  <si>
    <t>METALICA</t>
  </si>
  <si>
    <t>Kg</t>
  </si>
  <si>
    <t>CUADRILLA A.G.</t>
  </si>
  <si>
    <t>VALOR          INTEGRAL / DIA</t>
  </si>
  <si>
    <t>ANÁLISIS BÁSICO DE CUADRILLAS</t>
  </si>
  <si>
    <t>Porcentaje Prestaciones, sociales + aportes parafiscales</t>
  </si>
  <si>
    <t>Liquidación</t>
  </si>
  <si>
    <t>AFP</t>
  </si>
  <si>
    <t>Eps</t>
  </si>
  <si>
    <t>ARL</t>
  </si>
  <si>
    <t>SENA, ICBF Y PARAFISCALES</t>
  </si>
  <si>
    <t>CUADRILLA ALBAÑILERIA ACABADOS</t>
  </si>
  <si>
    <t>CUADRILLA A.A.</t>
  </si>
  <si>
    <t>PERSONAL</t>
  </si>
  <si>
    <t xml:space="preserve">SALARIO BASICO/DIA </t>
  </si>
  <si>
    <t>% PRESTACIONES SOCIALES + APORTES PARAFISCALES</t>
  </si>
  <si>
    <t>VALOR PRESTACIONES SOCIALES + APORTES PARAFISCALES</t>
  </si>
  <si>
    <t>SALARIO INTEGRAL / DIA</t>
  </si>
  <si>
    <t>SALARIOS BASICO / DIA</t>
  </si>
  <si>
    <t>SALARIOS INTEGRAL / DIA</t>
  </si>
  <si>
    <t>MAESTRO</t>
  </si>
  <si>
    <t>OFICIAL ALBAÑILERIA DE ACABADOS</t>
  </si>
  <si>
    <t>AYUDANTE ALBAÑILERIA DE ACABADOS</t>
  </si>
  <si>
    <t>TOTAL:</t>
  </si>
  <si>
    <t>CUADRILLA ALBAÑILERIA GENERAL</t>
  </si>
  <si>
    <t>CUADRILLA INSTALACIONES SANITARIAS</t>
  </si>
  <si>
    <t>CUADRILLA I.S.</t>
  </si>
  <si>
    <t>FONTANERO</t>
  </si>
  <si>
    <t>OFICIAL INSTALACIONES SANITARIAS</t>
  </si>
  <si>
    <t>AYUDANTE INSTALACIONES SANITARIAS</t>
  </si>
  <si>
    <t>CUADRILLA COMISIÓN TOPOGRAFÍA</t>
  </si>
  <si>
    <t>CUADRILLA C.T</t>
  </si>
  <si>
    <t>TOPOGRÁFO</t>
  </si>
  <si>
    <t>CADENERO PRIMERO</t>
  </si>
  <si>
    <t>CADENERO SEGUNDO</t>
  </si>
  <si>
    <t>SMLMV + Transporte</t>
  </si>
  <si>
    <t>LISTADO DE EQUIPOS</t>
  </si>
  <si>
    <t>#</t>
  </si>
  <si>
    <t>TARIFA/ HORA</t>
  </si>
  <si>
    <t>TARIFA/ DÍA</t>
  </si>
  <si>
    <t>CARGADOR</t>
  </si>
  <si>
    <t>LLANTAS</t>
  </si>
  <si>
    <t>CARROTANQUE</t>
  </si>
  <si>
    <t>8000 LT</t>
  </si>
  <si>
    <t>CERCHAS</t>
  </si>
  <si>
    <t>METALICOS</t>
  </si>
  <si>
    <t>CORTADORA PARA PAVIMENTO</t>
  </si>
  <si>
    <t>GATOS</t>
  </si>
  <si>
    <t>MOTONIVELADORA</t>
  </si>
  <si>
    <t>REGLA VIBRATORIA</t>
  </si>
  <si>
    <t>RIELES METALICOS</t>
  </si>
  <si>
    <t>TABLEROS</t>
  </si>
  <si>
    <t>MADERA</t>
  </si>
  <si>
    <t>TALADRO</t>
  </si>
  <si>
    <t>TIJERAS</t>
  </si>
  <si>
    <t>LARGAS</t>
  </si>
  <si>
    <t>TRACTOR TIPO ORUGA</t>
  </si>
  <si>
    <t>U-TILTDOZER</t>
  </si>
  <si>
    <t>BULLDOZER</t>
  </si>
  <si>
    <t>VIBRADOR MECÁNICO</t>
  </si>
  <si>
    <t>GASOLINA</t>
  </si>
  <si>
    <t>VIBROCOMPACTADOR 10 TON.</t>
  </si>
  <si>
    <t>COMPACTADOR MANUAL TIPO CANGURO (SALTARÍN) con motor de 6 HP</t>
  </si>
  <si>
    <t>EQUIPO DE TOPOGRAFIA</t>
  </si>
  <si>
    <t>DIGITAL</t>
  </si>
  <si>
    <t>MEZCLADORA DE CONCRETO</t>
  </si>
  <si>
    <t>PULIDORA</t>
  </si>
  <si>
    <t>ELECTRICA</t>
  </si>
  <si>
    <t>Bulldozer o Bobcat</t>
  </si>
  <si>
    <t>EQUIPO DE SOLDADURA</t>
  </si>
  <si>
    <t>PAJARITA</t>
  </si>
  <si>
    <t>MINICARGADOR BALDE DE 1.90 DE ANCHO</t>
  </si>
  <si>
    <t>OFICIAL</t>
  </si>
  <si>
    <t>AYUDANTE</t>
  </si>
  <si>
    <t>1 M, 1 O, 4A</t>
  </si>
  <si>
    <t>1 M</t>
  </si>
  <si>
    <t>1 O</t>
  </si>
  <si>
    <t>1 A</t>
  </si>
  <si>
    <t>1 M, 1 O, 3A</t>
  </si>
  <si>
    <t>1 M, 1 O, 1A</t>
  </si>
  <si>
    <t>1 T</t>
  </si>
  <si>
    <t>1 C1</t>
  </si>
  <si>
    <t>1 C2</t>
  </si>
  <si>
    <t>1 T, 1 C1, 1 C2</t>
  </si>
  <si>
    <t>Km</t>
  </si>
  <si>
    <t>M3-Ton</t>
  </si>
  <si>
    <t>Und</t>
  </si>
  <si>
    <t>ml</t>
  </si>
  <si>
    <t>Vibrador mecánico</t>
  </si>
  <si>
    <t>Gasolina</t>
  </si>
  <si>
    <t>Oruga</t>
  </si>
  <si>
    <t>Automática</t>
  </si>
  <si>
    <t>Rodillo</t>
  </si>
  <si>
    <t>Derecho de Explotación y/o disposición de materiales</t>
  </si>
  <si>
    <t>Item</t>
  </si>
  <si>
    <t>Descripción</t>
  </si>
  <si>
    <t>Valor</t>
  </si>
  <si>
    <t>Listón 2" x 4" x 4.5 metros</t>
  </si>
  <si>
    <t>Geocelda 30/150</t>
  </si>
  <si>
    <t>Agua</t>
  </si>
  <si>
    <t>Lt</t>
  </si>
  <si>
    <t>Material de sub-base clase C (NT3) gradación SBG-50</t>
  </si>
  <si>
    <t>Material de afirmado CBR ≥ 15%</t>
  </si>
  <si>
    <t>Transporte de material afirmado</t>
  </si>
  <si>
    <t>Aspersor Manual de 20 Litros</t>
  </si>
  <si>
    <t>Compresor (barrido y soplado)</t>
  </si>
  <si>
    <t>Formaleta o rieles para pavimento</t>
  </si>
  <si>
    <t>Metálico</t>
  </si>
  <si>
    <t>Sello de poliuretano en cinta para juntas en pavimentos de concreto hidraulico.</t>
  </si>
  <si>
    <t>Sello de silicona o sellador autonivelante</t>
  </si>
  <si>
    <t>Emulsion acuosa de parafina para curado de concreto, que evite la pérdida prematura de humedad de concretos y morteros</t>
  </si>
  <si>
    <t>Aditivo acelerante para concreto 5kg</t>
  </si>
  <si>
    <t>Triturado mediano</t>
  </si>
  <si>
    <t>Arena mixta</t>
  </si>
  <si>
    <t>Cemento Uso Estructural</t>
  </si>
  <si>
    <t>II</t>
  </si>
  <si>
    <t>Subdrenaje ancho 0.60m</t>
  </si>
  <si>
    <t>SISTEMA SANITARIO</t>
  </si>
  <si>
    <t>Excavación manual de material común</t>
  </si>
  <si>
    <t>Relleno con material mixto para cimentación de tubería</t>
  </si>
  <si>
    <t>Relleno con material seleccionado de excavación</t>
  </si>
  <si>
    <t>S/I Tubería Sanitaria Ø 4" PVC-S</t>
  </si>
  <si>
    <t>S/I Tubería Sanitaria Corrugada Ø 160mm PVC-S8</t>
  </si>
  <si>
    <t>SISTEMA HIDRÁULICO</t>
  </si>
  <si>
    <t>S/I Tubería Presión PVC-P Ø 1 1/2" RDE 21</t>
  </si>
  <si>
    <t>S/I Tubería Presión PVC-P Ø 1 1/4" RDE 21</t>
  </si>
  <si>
    <t>S/I Tubería Presión PVC-P Ø 3/4" RDE 21</t>
  </si>
  <si>
    <t>S/I Codo 90° PVC-P Ø 1 1/4"</t>
  </si>
  <si>
    <t>S/I Codo 90° PVC-P Ø 3/4"</t>
  </si>
  <si>
    <t>SISTEMA DE DRENAJE</t>
  </si>
  <si>
    <t>S/I Codo 45° Ø 6" PVC - S</t>
  </si>
  <si>
    <t>S/I Codo 45° Ø 4" PVC - S</t>
  </si>
  <si>
    <t>Acero de refuerzo fy 420 MPa</t>
  </si>
  <si>
    <t>kg</t>
  </si>
  <si>
    <t>Relleno con subbase granular</t>
  </si>
  <si>
    <t>Relleno con material seleccionado tipo afirmado</t>
  </si>
  <si>
    <t>Concreto Ciclopeo de Resistencia de 3000 PSI para cimentación</t>
  </si>
  <si>
    <t>COMPONENTE ELÉCTRICO</t>
  </si>
  <si>
    <t>RETIRO DE MATERIAL SOBRANTE</t>
  </si>
  <si>
    <t>PGIO 2%</t>
  </si>
  <si>
    <t>MOVIMIENTOS DE TIERRA</t>
  </si>
  <si>
    <t xml:space="preserve">m </t>
  </si>
  <si>
    <t>m</t>
  </si>
  <si>
    <t>Tubería Sanitaria Ø 4" PVC-S</t>
  </si>
  <si>
    <t>Soldadura PVC x 1/4 GL</t>
  </si>
  <si>
    <t>Limpiador PVC x 1/4 GL</t>
  </si>
  <si>
    <t>Tubería Sanitaria Ø 6" PVC-S</t>
  </si>
  <si>
    <t>Tubería Sanitaria Corrugada Ø 110mm PVC-S8</t>
  </si>
  <si>
    <t>Lubricante x 500 gr</t>
  </si>
  <si>
    <t>Tubería Sanitaria Corrugada Ø 160mm PVC-S8</t>
  </si>
  <si>
    <t>Tubería Sanitaria Corrugada Ø 200mm PVC-S8</t>
  </si>
  <si>
    <t>.</t>
  </si>
  <si>
    <t>Tubería Presión PVC-P Ø 2 1/2" RDE 21</t>
  </si>
  <si>
    <t>Tubería Presión PVC-P Ø 2" RDE 21</t>
  </si>
  <si>
    <t>Tubería Presión PVC-P Ø 1 1/2" RDE 21</t>
  </si>
  <si>
    <t>Tubería Presión PVC-P Ø 1 1/4" RDE 21</t>
  </si>
  <si>
    <t>Tubería Presión PVC-P Ø 1" RDE 21</t>
  </si>
  <si>
    <t>Tubería Presión PVC-P Ø 3/4" RDE 21</t>
  </si>
  <si>
    <t>Tubería Presión PVC-P Ø 1/2" RDE 13.5</t>
  </si>
  <si>
    <t>Codo 90° PVC-P Ø 2 1/2"</t>
  </si>
  <si>
    <t>Codo 90° PVC-P Ø 1 1/2"</t>
  </si>
  <si>
    <t>Codo 90° PVC-P Ø 1"</t>
  </si>
  <si>
    <t>Codo 90° PVC-P Ø 1 1/4"</t>
  </si>
  <si>
    <t>Codo 90° PVC-P Ø 3/4"</t>
  </si>
  <si>
    <t>Codo 90° PVC-P Ø 1/2"</t>
  </si>
  <si>
    <t>Tee PVC Presión Ø3/4" x 1/2"</t>
  </si>
  <si>
    <t>S/I Codo 90° PVC-P Ø 1 1/2"</t>
  </si>
  <si>
    <t>Codo 90° PVC-P Ø 2</t>
  </si>
  <si>
    <t>Codo 90° HG Ø 3"</t>
  </si>
  <si>
    <t>Tee PVC-P Ø 2 1/2"</t>
  </si>
  <si>
    <t>Tee PVC-P Ø 2"</t>
  </si>
  <si>
    <t>Tee PVC-P Ø 1 1/2"</t>
  </si>
  <si>
    <t>Tee PVC-P Ø 1 1/4"</t>
  </si>
  <si>
    <t>Tee PVC-P Ø 1"</t>
  </si>
  <si>
    <t>Tee PVC-P Ø 3/4"</t>
  </si>
  <si>
    <t>Tee PVC-P Ø 1/2"</t>
  </si>
  <si>
    <t>Tee HG Ø 3"</t>
  </si>
  <si>
    <t>Tee PVC Presión Ø1" x 1/2"</t>
  </si>
  <si>
    <t>Tee PVC Presión Ø1" x 3/4"</t>
  </si>
  <si>
    <t>Bujee PVC-P Ø 2 1/2" x 2"</t>
  </si>
  <si>
    <t>Bujee PVC-P Ø 2 1/2" x 1 1/2"</t>
  </si>
  <si>
    <t>Bujee PVC-P Ø 2 1/2" x 1 1/4"</t>
  </si>
  <si>
    <t>Bujee PVC-P Ø 2 1/2" x 1"</t>
  </si>
  <si>
    <t>Bujee PVC-P Ø 2 1/2" x 1/2"</t>
  </si>
  <si>
    <t xml:space="preserve">Bujee PVC-P Ø 2" x 1 1/2" </t>
  </si>
  <si>
    <t xml:space="preserve">Bujee PVC-P Ø 2" x 1 1/4" </t>
  </si>
  <si>
    <t xml:space="preserve">Bujee PVC-P Ø 1 1/2" x 1 1/4" </t>
  </si>
  <si>
    <t xml:space="preserve">Bujee PVC-P Ø 1 1/2" x 1" </t>
  </si>
  <si>
    <t xml:space="preserve">Bujee PVC-P Ø 1 1/4" x 1" </t>
  </si>
  <si>
    <t xml:space="preserve">Bujee PVC-P Ø 1 1/4" x 3/4" </t>
  </si>
  <si>
    <t xml:space="preserve">Bujee PVC-P Ø 1 1/4" x 1/2" </t>
  </si>
  <si>
    <t xml:space="preserve">Bujee PVC-P Ø 1" x 3/4" </t>
  </si>
  <si>
    <t xml:space="preserve">Bujee PVC-P Ø 1" x 1/2" </t>
  </si>
  <si>
    <t xml:space="preserve">Bujee PVC-P Ø 3/4" x 1/2" </t>
  </si>
  <si>
    <t>Tubería Polietileno Ø 32 mm PE 100 PN 16</t>
  </si>
  <si>
    <t>Equipo de termofusion</t>
  </si>
  <si>
    <t>Unión rápida Ø 32 mm</t>
  </si>
  <si>
    <t>Unión universal Ø 32 mm</t>
  </si>
  <si>
    <t>Tubería Sanitaria Corrugada Ø 250mm PVC-S8</t>
  </si>
  <si>
    <t>Yee Sanitaria Ø 4" x 4" PVC - S</t>
  </si>
  <si>
    <t xml:space="preserve">OBRAS CIVILES DE ESTRUCTURAS EN MADERA </t>
  </si>
  <si>
    <t>Transporte de material de arena mixta</t>
  </si>
  <si>
    <t>Acero de Refuerzo Fy:4200 Kg/cm2</t>
  </si>
  <si>
    <t>Alambre Negro #18</t>
  </si>
  <si>
    <t>Yee Sanitaria Ø 6" x 4" PVC - S</t>
  </si>
  <si>
    <t>Caja de registro en concreto reforzado de resistencia 28 Mpa de seción hidráulica interna de 0.30m x 0.30m x 0.80m, incluye tapa, refuerzo, mortero impermeabilizante, excavacion y relleno</t>
  </si>
  <si>
    <t>Caja de registro en concreto reforzado de resistencia 28 Mpa de seción hidráulica interna de 0.50m x 0.50m x 0.90m, incluye tapa, refuerzo, mortero impermeabilizante, excavacion y relleno</t>
  </si>
  <si>
    <t>Tubería Sanitaria Corrugada Ø 315mm PVC-S8</t>
  </si>
  <si>
    <t>Codo 45° Ø 6" PVC - S</t>
  </si>
  <si>
    <t>Codo 45° Ø 4" PVC - S</t>
  </si>
  <si>
    <t>Bujee Ø 6" x 4" PVC-S</t>
  </si>
  <si>
    <t>Formaleta</t>
  </si>
  <si>
    <t>Mezcladora de concreto</t>
  </si>
  <si>
    <t>m3</t>
  </si>
  <si>
    <t>Transporte de agregados</t>
  </si>
  <si>
    <t>Mortero 1:4</t>
  </si>
  <si>
    <t>Arena Fina</t>
  </si>
  <si>
    <t>Material Tipo Piedra Rajón</t>
  </si>
  <si>
    <t>Concreto Clase C 28 Mpa (4000 PSI)</t>
  </si>
  <si>
    <t xml:space="preserve">Aditivo Impermeabilizante </t>
  </si>
  <si>
    <t>Ángulo de 2" x 1/8"</t>
  </si>
  <si>
    <t>Madera para Formaleta</t>
  </si>
  <si>
    <t xml:space="preserve">Válvula de Cheque Ø 2 1/2" </t>
  </si>
  <si>
    <t>Válvula de Compuerta Liviana Ø 2 1/2"</t>
  </si>
  <si>
    <t xml:space="preserve">Adaptador macho Ø 2 1/2" </t>
  </si>
  <si>
    <t>Cinta Teflón 1/2" x 13 m</t>
  </si>
  <si>
    <t>Válvula de Compuerta Liviana Ø 2"</t>
  </si>
  <si>
    <t>Válvula de Compuerta Liviana Ø 1 1/2"</t>
  </si>
  <si>
    <t>Adaptador macho Ø 1 1/2"</t>
  </si>
  <si>
    <t>Adaptador macho Ø 2"</t>
  </si>
  <si>
    <t>Válvula de Compuerta Liviana Ø 1 1/4"</t>
  </si>
  <si>
    <t>Adaptador macho Ø 1 1/4"</t>
  </si>
  <si>
    <t>Válvula de Compuerta Liviana Ø 1"</t>
  </si>
  <si>
    <t>Adaptador macho Ø 1"</t>
  </si>
  <si>
    <t>Válvula de Compuerta Liviana Ø 3/4"</t>
  </si>
  <si>
    <t>Adaptador macho Ø 3/4"</t>
  </si>
  <si>
    <t>Válvula de Compuerta Liviana Ø 1/2"</t>
  </si>
  <si>
    <t>Adaptador macho Ø 1/2"</t>
  </si>
  <si>
    <t xml:space="preserve">Válvula Ventosa Ø 25 mm </t>
  </si>
  <si>
    <t>Tee partida Ø 32 mm en H.D.</t>
  </si>
  <si>
    <t>Codo 22.5° Ø 32 mm</t>
  </si>
  <si>
    <t>Yee Sanitaria Ø 1 1/2" x 1 1/2" PVC - S</t>
  </si>
  <si>
    <t>Medidor de acueducto (Incluye marco, tapa y herrajes)</t>
  </si>
  <si>
    <t xml:space="preserve">Válvula de Cheque Ø 1 1/2" </t>
  </si>
  <si>
    <t>Cascajo sucio para infiltración e: 0.15 m</t>
  </si>
  <si>
    <t>Tee partida Ø 25 mm en H.D.</t>
  </si>
  <si>
    <t>Concreto Clase C 21 Mpa (3000 PSI)</t>
  </si>
  <si>
    <t>Bloque estructural (9cm x 19cm x 39cm)</t>
  </si>
  <si>
    <t>Tapa con orificios para ventilación en acero inoxidable</t>
  </si>
  <si>
    <t>Guadañadora</t>
  </si>
  <si>
    <t>Martillo</t>
  </si>
  <si>
    <t xml:space="preserve">Compresor Portatil </t>
  </si>
  <si>
    <t>Máquina de perforación</t>
  </si>
  <si>
    <t>Hoyadora mecánica</t>
  </si>
  <si>
    <t>Material monogranular según especificaciones técnicas</t>
  </si>
  <si>
    <t>Geomalla Biaxial</t>
  </si>
  <si>
    <t>Concreto clase G 17 MPa  (CICLOPEO)</t>
  </si>
  <si>
    <t>Concretera Eléctrica con capacidad de amasado de 160 Lt</t>
  </si>
  <si>
    <t>Eléctrica</t>
  </si>
  <si>
    <t>Agregado grueso homogenizado (Tamaño máximo 25 mm)</t>
  </si>
  <si>
    <t>VOLQUETA (VIAJE 6M3 Max. 15 KM)</t>
  </si>
  <si>
    <t>Volqueta (viaje 6m3 max. 15 Km)</t>
  </si>
  <si>
    <t>LISTA DE MATERIALES</t>
  </si>
  <si>
    <t>Tapón Roscado PVC-P Ø1¼"</t>
  </si>
  <si>
    <t>Codo 45° PVC-S Ø3"</t>
  </si>
  <si>
    <t>Yee Sanitaria reducida PVC-S Ø4" x Ø3"</t>
  </si>
  <si>
    <t>S/I Tubería Sanitaria Ø 2" PVC-S</t>
  </si>
  <si>
    <t>S/I Tubería Sanitaria Ø 3" PVC-S</t>
  </si>
  <si>
    <t>Tubería Sanitaria Ø 2" PVC-S</t>
  </si>
  <si>
    <t>Tubería Sanitaria Ø 3" PVC-S</t>
  </si>
  <si>
    <t xml:space="preserve">Adaptador macho Ø 1 1/2" </t>
  </si>
  <si>
    <t xml:space="preserve">Bujee PVC-P Ø 2" x 1/2" </t>
  </si>
  <si>
    <t>Válvula de Compuerta Liviana Ø 3"</t>
  </si>
  <si>
    <t>Transporte de material sobrante proveniente de excavación, escombros, agregados sueltos y capa orgánica a 10.5 km</t>
  </si>
  <si>
    <t>Concreto de Resistencia 5000 PSI para cimentación</t>
  </si>
  <si>
    <t>Desarenador Prefabricado</t>
  </si>
  <si>
    <t>Relleno con material triturado para cimentación</t>
  </si>
  <si>
    <t>Tubería Perforada Ø 4" PVC-S</t>
  </si>
  <si>
    <t>Codo 90° PVC-S Ø4"</t>
  </si>
  <si>
    <t>Adaptador de Limpieza Sanitario 90° PVC-S Ø4"</t>
  </si>
  <si>
    <t>CONSTRUCCION DE OBRAS CIVILES COMPLEMENTARIAS PARA EL CORRECTO FUNCIONAMIENTO DEL PROYECTO DENOMINADO “PARQUE GEOLÓGICO, NATURAL, AMBIENTAL, CULTURAL Y TURÍSTICO, VOLCÁN DE LODO DE ARBOLETES”, QUE SE LLEVARÁ A CABO EN EL MUNICIPIO DE ARBOLETES-ANTIOQUIA</t>
  </si>
  <si>
    <t>Codo 90° PVC-S Ø2"</t>
  </si>
  <si>
    <t>Codo 90° PVC-S Ø3"</t>
  </si>
  <si>
    <t>S/I Codo 90° PVC-S Ø2"</t>
  </si>
  <si>
    <t>S/I Codo 90° PVC-S Ø3"</t>
  </si>
  <si>
    <t>S/I Codo 90° PVC-S Ø4"</t>
  </si>
  <si>
    <t>Transporte de material de excavación</t>
  </si>
  <si>
    <t>Herrajes para marco y tapa de caja 0.30 x 0.30</t>
  </si>
  <si>
    <t>Herrajes para marco y tapa de caja 0.50 x 0.50</t>
  </si>
  <si>
    <t>III</t>
  </si>
  <si>
    <t>S/I Tubería Sanitaria descolgada Ø 4" PVC-S (Incluye codos 90° PVC-S 4", pintura color verde olivo semimate y abrazaderas metálicas 4")</t>
  </si>
  <si>
    <t>IV</t>
  </si>
  <si>
    <t>Abrazadera metálica 4"</t>
  </si>
  <si>
    <t>Pintura verde Olivo semimate Uso Exterior x 1/4 Galón</t>
  </si>
  <si>
    <t>OFICIAL DE PINTURA</t>
  </si>
  <si>
    <t>1 O PINTURA</t>
  </si>
  <si>
    <t>S/I Codo 90° Ø 4" PVC - S</t>
  </si>
  <si>
    <t>Relleno con material tipo filtrante para drenaje francés</t>
  </si>
  <si>
    <t>Geotextil no tejido para drenaje francés (NT-2500)</t>
  </si>
  <si>
    <t>Transporte de agregado</t>
  </si>
  <si>
    <t>Geotextil No tejido para separación de materiales (Tejido NT-2500)</t>
  </si>
  <si>
    <t>Levante en mampostería estructural en bloque de concreto de 20 cm x 20 cm x 40 cm (Incluye mortero 1:4 y relleno tipo Grouting)</t>
  </si>
  <si>
    <t>Coralina en retal con especificaciones según planos arquitectónicos</t>
  </si>
  <si>
    <t>Bloque estructural (20cm x 20cm x 40cm)</t>
  </si>
  <si>
    <t>Transporte de material</t>
  </si>
  <si>
    <t xml:space="preserve">Madera para Formaleta - Tabla Caracolí cepillada 0.30 m x 3.00 m			</t>
  </si>
  <si>
    <t xml:space="preserve">Largueros </t>
  </si>
  <si>
    <t xml:space="preserve">Epoxico de Anclaje </t>
  </si>
  <si>
    <t xml:space="preserve">ESTRUCTURA DE ACCESO AL VOLCAN </t>
  </si>
  <si>
    <t>Mortero 1:4 para adherencia de zapata con cimentación</t>
  </si>
  <si>
    <t>Concreto Ciclopeo de Resistencia de 5000 PSI para cimentación</t>
  </si>
  <si>
    <t>S/I Yee Sanitaria CC 4" x 4" PVC - S</t>
  </si>
  <si>
    <t>Anclaje en acero en estructuras de cimentación (Incluye perforación y epóxico para fijar acero de refuerzo en concreto endurecido)</t>
  </si>
  <si>
    <t>VI</t>
  </si>
  <si>
    <t>Motobomba</t>
  </si>
  <si>
    <t>Concreto 5000 PSI</t>
  </si>
  <si>
    <t>Excavación y perfilado manual de material común para profundidades &lt; 1 metro</t>
  </si>
  <si>
    <t>Arena fina</t>
  </si>
  <si>
    <t>V</t>
  </si>
  <si>
    <t xml:space="preserve">Suministro e Instalación de equipo de medida en poste contador electronico 3x220/127 v, 5a homologado por la empresa de energía </t>
  </si>
  <si>
    <t xml:space="preserve">Suministro, Transporte e Instalacion de postes de concreto de 12 metros x 750 kgf para iluminacion exterior  </t>
  </si>
  <si>
    <t>Suministro e Instalacion de acometida para iluminación exterior en cable 2f#6 + 1n#6 +1t#8 aluminio serie 8 mil</t>
  </si>
  <si>
    <t xml:space="preserve">Suministro e Instalacion de reflectores tipo led 200 w </t>
  </si>
  <si>
    <t xml:space="preserve">Suministro e Instalacion de led deco bolardo de 10w y  estructura de anclaje para soportar bolardo de luminaria según especificaciones en el plano eléctrico </t>
  </si>
  <si>
    <t xml:space="preserve">Suministros e Instalación de ductos en tuberia sch40 1-1/4" para alumbrado de senderos </t>
  </si>
  <si>
    <t xml:space="preserve">Suministros e Instalación de ductos en tuberia sch40 1" para alumbrado de senderos </t>
  </si>
  <si>
    <t xml:space="preserve">Suministros eInstalación de ductos en tuberia sch40 3/4" para alumbrado de senderos </t>
  </si>
  <si>
    <t>Suministro e Instalacion de cable encauchetado 3x14 thnnw incluye accesorios de fijación en poste, para alimentacion desde acometida de iluminacion exterrior hasta reflectores led de 200w</t>
  </si>
  <si>
    <t>Certificacion RETIE ( Distribución y transformacion), No incluye uso final de las instalaciones.</t>
  </si>
  <si>
    <t>Transformador de corriente para medida 2,5/5A clase 0,5s 2,5va 17,5kv 1nm 0np uso exterior</t>
  </si>
  <si>
    <t>Diagonal metalica en V 1 1/2" x 1 1/2" x 3/16" 42"</t>
  </si>
  <si>
    <t>Cable de cobre 12awg monopolar aislado XLPE 600v 90°c negro</t>
  </si>
  <si>
    <t>Tornillo de maquina hexagonal acero galvaniado 5/8" x 1-1/2"</t>
  </si>
  <si>
    <t>Cable aaac 77,4kcmil ames monopolar cubierto xlpe/hdpe 15 kv 90° negro/gris</t>
  </si>
  <si>
    <t>Accesorios de fijación y conexión</t>
  </si>
  <si>
    <t>Transformador de potencial para medida 13.2kv/v3 120v/v3 clase 0.5 5va 17.5kv 1nm 0np uso exterior</t>
  </si>
  <si>
    <t>CUADRILLA ELÉCTRICA</t>
  </si>
  <si>
    <t>ELECTRICISTA</t>
  </si>
  <si>
    <t>AYUDANTE ELECTRICISTA</t>
  </si>
  <si>
    <t>1 S, 1 E, 1AE</t>
  </si>
  <si>
    <t>1 A E</t>
  </si>
  <si>
    <t>1 E</t>
  </si>
  <si>
    <t>1 S E</t>
  </si>
  <si>
    <t>SUPERVISOR ELÉCTRICO</t>
  </si>
  <si>
    <t>Camión Pequeño (1 a 5 TON)</t>
  </si>
  <si>
    <t>Tractomula</t>
  </si>
  <si>
    <t>Transformador Monofásico en Aceite con Retorno por Tierra (MRT) 1F 75KVA 7620V -240-120V convencional</t>
  </si>
  <si>
    <t>Caja para medidor y transformadores de corriente</t>
  </si>
  <si>
    <t>Bloque de pruebas</t>
  </si>
  <si>
    <t>Cable encauchetado 4xNo 12 awg</t>
  </si>
  <si>
    <t>Cable encauchetado 6xNo 12 awg</t>
  </si>
  <si>
    <t>Coraza 1"</t>
  </si>
  <si>
    <t>Terminal recto de 1"</t>
  </si>
  <si>
    <t>Bornera para conexión de medidores energia</t>
  </si>
  <si>
    <t xml:space="preserve">Gabinete metalico medidor energia 120-240v ip44 exterior sin corte ikos </t>
  </si>
  <si>
    <t>Poste de concreto de 12x750kgf</t>
  </si>
  <si>
    <t>Medidor energia electronico 58...240v 1(10)a 3f4h clase 0.5s/clase 2 base multifuncional monocuerpo (5)</t>
  </si>
  <si>
    <t>Camión Grua</t>
  </si>
  <si>
    <t xml:space="preserve">Cable aluminio serie 8000 # 6 </t>
  </si>
  <si>
    <t>Cable aluminio serie 8000 # 8</t>
  </si>
  <si>
    <t>Terminal tipo resorte 18-8</t>
  </si>
  <si>
    <t>Accesorios</t>
  </si>
  <si>
    <t>Reflector led de 200 w</t>
  </si>
  <si>
    <t>Accesorios de montaje para reflector led</t>
  </si>
  <si>
    <t>suministro e instalacion de cajas de paso de 10cm x 10cm  para distribución y empalmes de conductores</t>
  </si>
  <si>
    <t>Suministro e Instalacion de de gabinete principal tipo interior incluye: 1 totalizador de 250 amp , 2 totalizadores de 40 amp, 2 totalizadores de 40amp, 3 totalizadores de 50amp, 2 totalizadores de 80 amp , 5 reservas equipadas, barraje de 300 amp cableado y certificado</t>
  </si>
  <si>
    <t xml:space="preserve">Construcción de cuarto electrico de 3mx3m para encerramiento y ubicación de gabinete general, tablero de distribución y rack de comunicaciones </t>
  </si>
  <si>
    <t xml:space="preserve">Suministro e Instalación de tablero mb de 24 ctos monofásico con puerta </t>
  </si>
  <si>
    <t xml:space="preserve">Suministro e Instalación de tablero mb de 18 ctos monofásico con puerta </t>
  </si>
  <si>
    <t xml:space="preserve">Suministro e Instalación breakers enchufables monopolares de 1x20 amp </t>
  </si>
  <si>
    <t xml:space="preserve">Suministro e instalacion de cajas de paso de 10cm x 10cm  para distribución y empalmes de conductores </t>
  </si>
  <si>
    <t xml:space="preserve">Tablero general de protecciones, según diagrama unifilar </t>
  </si>
  <si>
    <t>Tornillos de fijacion</t>
  </si>
  <si>
    <t>otros elementos para tablero</t>
  </si>
  <si>
    <t>Tablero Multibreaker de 24 circuitos monofasico con puerta</t>
  </si>
  <si>
    <t>Tablero Multibreaker de 18 circuitos monofasico con puerta</t>
  </si>
  <si>
    <t>Breaker enchufable de 1x20</t>
  </si>
  <si>
    <t>Obra civil cuarto eléctrico, incluye excavaciónes, viga de cimentación, relleno en material seleccionado, levante de muro en bloque semi-estructural 15x20x40cm, dovelas de refuerzo, grafil de refuerzo, losa en concreto 3000PSI, placa superior en concreto 3000 PSI, puerta de acceso.</t>
  </si>
  <si>
    <t>Tubo sch40 de 1-1/4"</t>
  </si>
  <si>
    <t>Accesorios de tubería SCH 40 de 1 1/4"</t>
  </si>
  <si>
    <t>Tubo sch40 de 1"</t>
  </si>
  <si>
    <t>Accesorios de tubería SCH 40 de 1"</t>
  </si>
  <si>
    <t>Tubo sch40 de 3/4"</t>
  </si>
  <si>
    <t>Accesorios de tubería SCH 40 de 3/4"</t>
  </si>
  <si>
    <t>Cable encauchetado 3x14 thhn</t>
  </si>
  <si>
    <t>Accesorios y elementos de fijacion para Cable Encauchetado</t>
  </si>
  <si>
    <t>Certificación RETIE</t>
  </si>
  <si>
    <t xml:space="preserve">Cemento </t>
  </si>
  <si>
    <t>m2</t>
  </si>
  <si>
    <t>PRESUPUESTO</t>
  </si>
  <si>
    <t>CONSORCIO VOLCÁN</t>
  </si>
  <si>
    <t>INTERVENTORÍA</t>
  </si>
  <si>
    <t>CONTRATISTA</t>
  </si>
  <si>
    <t>DIFERENCIA</t>
  </si>
  <si>
    <t>OBRA CIVIL</t>
  </si>
  <si>
    <t>Costo directo</t>
  </si>
  <si>
    <t>AU incluido</t>
  </si>
  <si>
    <t>ELECTRICO</t>
  </si>
  <si>
    <t>TOTAL</t>
  </si>
  <si>
    <t xml:space="preserve">CONCEPTO INVERVENTORÍA </t>
  </si>
  <si>
    <t>OK</t>
  </si>
  <si>
    <t>N/A</t>
  </si>
  <si>
    <t>NOTA:  SE RESPECTA EL VALOR DEL HERRAJE SEGÚN COTIZACIONES, PERO SE REALIZAN CALCULOS DE LAS CANTIDADES,</t>
  </si>
  <si>
    <t>NOTA: Es indispensable tener certeza que esta actividad contenga todo lo necesario y este de acuerdo acuerdo al detalle hidráulico, incluir accesorios faltantes como rejilla cupula y yee, entre otros</t>
  </si>
  <si>
    <t>Perforación para anclaje en acero en estructuras de cimentación (Incluye perforación y epóxico para fijar acero de refuerzo en concreto endurecido)</t>
  </si>
  <si>
    <t>NOTA: Esta actividad es unicamente realizar la perforación y aplicar el epoxico, Deben tener en cuenta que si bien el epoxico es costoso se deben validar los rendimientos</t>
  </si>
  <si>
    <t>UN</t>
  </si>
  <si>
    <t>Adhesivo Epóxico tipo Sika Anchorfix4 x 600 cc o similar</t>
  </si>
  <si>
    <r>
      <t>NOTA: Se recomienda que sea especificado por tramos, además es muy importante en esta actividad  incluir la contención a profundidad, como se va a realizar, esto evitará a futuro inconvenientes respecto a</t>
    </r>
    <r>
      <rPr>
        <b/>
        <sz val="10"/>
        <color rgb="FFFF0000"/>
        <rFont val="Times New Roman"/>
        <family val="1"/>
      </rPr>
      <t xml:space="preserve"> cobros adicionales </t>
    </r>
    <r>
      <rPr>
        <sz val="10"/>
        <color theme="1"/>
        <rFont val="Times New Roman"/>
        <family val="1"/>
      </rPr>
      <t xml:space="preserve">por no especificarse todos los materiales de manera clara y completa  </t>
    </r>
  </si>
  <si>
    <t xml:space="preserve">NOTA: Desde la interventoría se respeta el uso del cemento estructural, pero desde el contratista se debe asegurar que cada que realice actividades en referencia al mortero sea este el tipo de cemento utilizado </t>
  </si>
  <si>
    <t xml:space="preserve">INTERVENTORIA </t>
  </si>
  <si>
    <t xml:space="preserve">OBSERVACIONES INTERVENTORIA </t>
  </si>
  <si>
    <t>VII</t>
  </si>
  <si>
    <t xml:space="preserve">OK </t>
  </si>
  <si>
    <t>cable encauchetado 4xNo 12 awg</t>
  </si>
  <si>
    <t>cable encauchetado 6xNo 12 awg</t>
  </si>
  <si>
    <t>coraza 1"</t>
  </si>
  <si>
    <t>terminal recto de 1"</t>
  </si>
  <si>
    <t>Transporte de materiales eléctricos</t>
  </si>
  <si>
    <t>CUADRILLA LINIERO</t>
  </si>
  <si>
    <t>INCIIALMENTE</t>
  </si>
  <si>
    <t>INTERVENTORIA</t>
  </si>
  <si>
    <t>ACTUAL</t>
  </si>
  <si>
    <t>RESPUESTA CONTRATISTA</t>
  </si>
  <si>
    <t>Este es el valor del tablero con iva incluido, ya verificado en el mercado actual</t>
  </si>
  <si>
    <t>Otros elementos para tablero</t>
  </si>
  <si>
    <t>Transporte material eléctrico</t>
  </si>
  <si>
    <t xml:space="preserve">SE ADJUNTA EL TRANSPORTE DEL MATERIAL </t>
  </si>
  <si>
    <t>SE MANTIENE EL RENDIMIENTO INICIALMENTE DEBIDO A QUE EL VALOR DE MANO DE OBRA SUGERIDO EN EL MERCADO ES SIMILAR AL PRESUPUESTADO</t>
  </si>
  <si>
    <t>INCIALMENTE</t>
  </si>
  <si>
    <t xml:space="preserve">OK VALOR SI EL TABLERO ES CON ESPACIO PARA TOTALIZADOR </t>
  </si>
  <si>
    <t>SE INCLUYE LA DESCRIPCIÓN DEL ESPACIO PARA EL TOTALIZADOR, DEBIDO A QUE FU EL QUE INICIALMENTE SE COTIZÓ</t>
  </si>
  <si>
    <t>OFICIAL ELECTRICISTA</t>
  </si>
  <si>
    <t>SE AJUSTA RENDIMIENTO</t>
  </si>
  <si>
    <t>SE AJUSTA CANTIDAD Y RENDIMIENTO</t>
  </si>
  <si>
    <t>Tablero Multibreaker de 18 circuitos monofasico con espacio para totalizador</t>
  </si>
  <si>
    <t>SE AJUSTA CANTIDAD</t>
  </si>
  <si>
    <t>Poste de concreto de 12x750kgf, + Incada + Cimentación</t>
  </si>
  <si>
    <t xml:space="preserve">SE AJUSTA VALOR DEL POSTE </t>
  </si>
  <si>
    <t>Transporte y Descargue</t>
  </si>
  <si>
    <t>Reflector Exterior Led Ip65, 200w</t>
  </si>
  <si>
    <t xml:space="preserve">SE ANEXA LA REFERENCIA DEL REFLECTOR </t>
  </si>
  <si>
    <t>REFLECTOR LED DECO BOLARDO 10W IP65</t>
  </si>
  <si>
    <t>SE AJUSTA EL VALOR Y LA CANTIDAD</t>
  </si>
  <si>
    <t>SE AJUSTA EL VALOR DEL CABLE</t>
  </si>
  <si>
    <t xml:space="preserve">Para que es la actividad ? </t>
  </si>
  <si>
    <t xml:space="preserve">Concreto 5000 PSI </t>
  </si>
  <si>
    <t>Es la misma excavación de material comun, mencionada en el primer capitulo +</t>
  </si>
  <si>
    <t xml:space="preserve">Esta actividad debe ser independientes de 0-2, 2-4, 4-6 y asi sucesivamente hasta llegar a la produnfidad deseada. Igualmente se deben indicar los diametros </t>
  </si>
  <si>
    <t>Motero 1:4</t>
  </si>
  <si>
    <t>xxx</t>
  </si>
  <si>
    <t>Concreto 2000 PSI</t>
  </si>
  <si>
    <t>XX</t>
  </si>
  <si>
    <t/>
  </si>
  <si>
    <t>Tablero Multibreaker de 24 circuitos monofasico con espacio para totalizador</t>
  </si>
  <si>
    <t>Excavación manual en material común bajo cualquier grado de humedad</t>
  </si>
  <si>
    <t>Mortero 1:4 para adherencia de Piedra Coralina</t>
  </si>
  <si>
    <t>Suministro e Instalación de piedra Coralina en retal con especificaciones según planos arquitectónicos</t>
  </si>
  <si>
    <t>Malla 15X15Cm 4.0Mm (Xx-084) 6X2.35M</t>
  </si>
  <si>
    <t>Concreto de 2000 PSI</t>
  </si>
  <si>
    <t>Madera para Formaleta - Tabla Caracolí cepillada 0.30 m x 3.00 m</t>
  </si>
  <si>
    <t>Concreto de 5000 PSI para pila</t>
  </si>
  <si>
    <t>Transporte de material sobrante de la excavación</t>
  </si>
  <si>
    <t>Suministro e instalacion de cajas de paso de 10cm x 10cm  para distribución y empalmes de conductores</t>
  </si>
  <si>
    <t>Suministro e Instalacion de de gabinete principal tipo interior incluye: 1 totalizador de 250 amp, 2 totalizadores de 40 amp, 2 totalizadores de 40amp, 3 totalizadores de 50amp, 2 totalizadores de 80 amp , 5 reservas equipadas, barraje de 300 amp cableado y certificado</t>
  </si>
  <si>
    <t>m³/km</t>
  </si>
  <si>
    <t xml:space="preserve">Concreto de 4000 PSI para anillo </t>
  </si>
  <si>
    <t>Anillo del pilote:</t>
  </si>
  <si>
    <t>Cuantificación del acero</t>
  </si>
  <si>
    <r>
      <t xml:space="preserve">Nomenclatura del acero longitudinal: </t>
    </r>
    <r>
      <rPr>
        <sz val="10"/>
        <color theme="1"/>
        <rFont val="Times New Roman"/>
        <family val="1"/>
      </rPr>
      <t>6#3 L=1.05</t>
    </r>
  </si>
  <si>
    <t>Cant. (m):</t>
  </si>
  <si>
    <t>Masa (kg):</t>
  </si>
  <si>
    <r>
      <t xml:space="preserve">Nomenclatura del acero transversal: </t>
    </r>
    <r>
      <rPr>
        <sz val="10"/>
        <color theme="1"/>
        <rFont val="Times New Roman"/>
        <family val="1"/>
      </rPr>
      <t>3#3 L=5.20</t>
    </r>
  </si>
  <si>
    <t>Pila:</t>
  </si>
  <si>
    <r>
      <t xml:space="preserve">Nomenclatura del acero longitudinal: </t>
    </r>
    <r>
      <rPr>
        <sz val="10"/>
        <color theme="1"/>
        <rFont val="Times New Roman"/>
        <family val="1"/>
      </rPr>
      <t>20#6 L=1.40</t>
    </r>
  </si>
  <si>
    <r>
      <t>Nomenclatura del acero transversal:</t>
    </r>
    <r>
      <rPr>
        <sz val="10"/>
        <color theme="1"/>
        <rFont val="Times New Roman"/>
        <family val="1"/>
      </rPr>
      <t xml:space="preserve"> 13#4 L=3.50</t>
    </r>
  </si>
  <si>
    <r>
      <t xml:space="preserve">Nomenclatura del acero longitudinal: </t>
    </r>
    <r>
      <rPr>
        <sz val="10"/>
        <color theme="1"/>
        <rFont val="Times New Roman"/>
        <family val="1"/>
      </rPr>
      <t>6#3 L=1.05</t>
    </r>
    <r>
      <rPr>
        <b/>
        <sz val="10"/>
        <color theme="1"/>
        <rFont val="Times New Roman"/>
        <family val="1"/>
      </rPr>
      <t xml:space="preserve"> + </t>
    </r>
    <r>
      <rPr>
        <sz val="10"/>
        <color theme="1"/>
        <rFont val="Times New Roman"/>
        <family val="1"/>
      </rPr>
      <t xml:space="preserve">0.42 </t>
    </r>
  </si>
  <si>
    <r>
      <t xml:space="preserve">Nomenclatura del acero longitudinal: </t>
    </r>
    <r>
      <rPr>
        <sz val="10"/>
        <color theme="1"/>
        <rFont val="Times New Roman"/>
        <family val="1"/>
      </rPr>
      <t>20#6 L=1</t>
    </r>
  </si>
  <si>
    <r>
      <t>Nomenclatura del acero transversal:</t>
    </r>
    <r>
      <rPr>
        <sz val="10"/>
        <color theme="1"/>
        <rFont val="Times New Roman"/>
        <family val="1"/>
      </rPr>
      <t xml:space="preserve"> 9#4 L=3.50</t>
    </r>
  </si>
  <si>
    <r>
      <t>Nomenclatura del acero transversal:</t>
    </r>
    <r>
      <rPr>
        <sz val="10"/>
        <color theme="1"/>
        <rFont val="Times New Roman"/>
        <family val="1"/>
      </rPr>
      <t xml:space="preserve"> 4#4 L=3.50</t>
    </r>
  </si>
  <si>
    <r>
      <t xml:space="preserve">Nomenclatura del acero longitudinal: </t>
    </r>
    <r>
      <rPr>
        <sz val="10"/>
        <color theme="1"/>
        <rFont val="Times New Roman"/>
        <family val="1"/>
      </rPr>
      <t>20#6 L=1</t>
    </r>
    <r>
      <rPr>
        <b/>
        <sz val="10"/>
        <color theme="1"/>
        <rFont val="Times New Roman"/>
        <family val="1"/>
      </rPr>
      <t>.</t>
    </r>
    <r>
      <rPr>
        <sz val="10"/>
        <color theme="1"/>
        <rFont val="Times New Roman"/>
        <family val="1"/>
      </rPr>
      <t>40</t>
    </r>
  </si>
  <si>
    <t>Tragante de 4'' PVC</t>
  </si>
  <si>
    <t>Concreto de 2000 PSI para solado</t>
  </si>
  <si>
    <t>Concreto de 3000 PSI para vigas de cimentación</t>
  </si>
  <si>
    <t>Vigas de cimentación:</t>
  </si>
  <si>
    <t>Acero longitudinal: #4</t>
  </si>
  <si>
    <t>Acero transversal: #3</t>
  </si>
  <si>
    <t>Concreto de 3000 PSI para losa de contrapiso</t>
  </si>
  <si>
    <t>Bloque en concreto 14x19x39 cm</t>
  </si>
  <si>
    <t>Laterales:</t>
  </si>
  <si>
    <t>Parte sup. e inf.:</t>
  </si>
  <si>
    <t>Muros</t>
  </si>
  <si>
    <t>Mortero 1:4 para juntas de bloque (e=1cm)</t>
  </si>
  <si>
    <t>Mortero 1:4 para dobelas</t>
  </si>
  <si>
    <t>Vol de mortero para junta</t>
  </si>
  <si>
    <t>Vol de mortero para dovela</t>
  </si>
  <si>
    <t>Área de los huecos:</t>
  </si>
  <si>
    <t>Altura:</t>
  </si>
  <si>
    <t>Cantidad de dovelas:</t>
  </si>
  <si>
    <t>Dovelas: #4</t>
  </si>
  <si>
    <t>Refuerzo de juntas: 4mm</t>
  </si>
  <si>
    <t>Refuerzo unión en L: 4mm</t>
  </si>
  <si>
    <t>Refuerzo de juntas: 3mm</t>
  </si>
  <si>
    <t>Concreto de 3000 PSI para vigas aéreas</t>
  </si>
  <si>
    <t>Concreto de 3000 PSI para losa de entrepiso</t>
  </si>
  <si>
    <t>Vigas de enlace:</t>
  </si>
  <si>
    <t>Losa de entrepiso:</t>
  </si>
  <si>
    <t>Area 1:</t>
  </si>
  <si>
    <t>En la dirección de 3.60 m:</t>
  </si>
  <si>
    <t># de barras:</t>
  </si>
  <si>
    <t>En la dirección de 3.50 m:</t>
  </si>
  <si>
    <t>L total:</t>
  </si>
  <si>
    <t>Area 2:</t>
  </si>
  <si>
    <t>En la dirección de 0.90 m:</t>
  </si>
  <si>
    <t>En la dirección de 2.55 m:</t>
  </si>
  <si>
    <t>L (m):</t>
  </si>
  <si>
    <t>Discriminación cuadrilla concreto</t>
  </si>
  <si>
    <t>Total</t>
  </si>
  <si>
    <t>Por la dificultad del terreno y las altas pendientes se requieren 2 personas por carretilla, uno delante tirando con una cuerda y otro detrás empujando.</t>
  </si>
  <si>
    <t>Malla 15X15Cm 4.5Mm (Xx-106) 6X2.35M</t>
  </si>
  <si>
    <t>Arena</t>
  </si>
  <si>
    <t>Triturado</t>
  </si>
  <si>
    <t>Cemento</t>
  </si>
  <si>
    <t>Carretilla</t>
  </si>
  <si>
    <t>Trompo</t>
  </si>
  <si>
    <t>KM</t>
  </si>
  <si>
    <t xml:space="preserve">DESCRIPCIÓN </t>
  </si>
  <si>
    <t>TARIFA DE TRANSPORTE</t>
  </si>
  <si>
    <t>TRANSPORTE DE AGREGADOS</t>
  </si>
  <si>
    <t xml:space="preserve">TRANSPORTE DE MATERIAL SOBRANTE DE LA EXCAVACIÓN </t>
  </si>
  <si>
    <t xml:space="preserve">Concreto de 4000 PSI </t>
  </si>
  <si>
    <t>uniones</t>
  </si>
  <si>
    <t>Trasporte de agregados</t>
  </si>
  <si>
    <t>Por la dificultad del terreno y las altas pendientes se requieren 1 personas por carretilla, uno delante tirando con una cuerda y otro detrás empujando.</t>
  </si>
  <si>
    <t>Aditivo Retardante EUCON WR 340 o similar</t>
  </si>
  <si>
    <t>Aditivo reductor de agua Plastol HR - DM o similar</t>
  </si>
  <si>
    <t>Construcción de pilote tipo Casisson h = 0.00 &lt; 1.00 m, diámetro interno de 1.20 m, Incluye anillo en concreto reforzado  e=10 cm (diámetro total de 1.40 m). Incluye excavación varia en material común bajo cualquier grado de humedad, transporte y disposición final de los materiales y medido en su posición original.</t>
  </si>
  <si>
    <t>Construcción de pilote tipo Casisson h = 1.00 &lt; 2.00 m, diámetro interno de 1.20 m, Incluye anillo en concreto reforzado  e=10 cm (diámetro total de 1.40 m). Incluye excavación varia en material común bajo cualquier grado de humedad, transporte y disposición final de los materiales y medido en su posición original.</t>
  </si>
  <si>
    <t>Construcción de pilote tipo Casisson h = 2.00 &lt; 3.00 m, diámetro interno de 1.20 m, Incluye anillo en concreto reforzado  e=10 cm (diámetro total de 1.40 m). Incluye excavación varia en material común bajo cualquier grado de humedad, transporte y disposición final de los materiales y medido en su posición original.</t>
  </si>
  <si>
    <t>Construcción de pilote tipo Casisson h = 3.00 &lt; 4.00 m, diámetro interno de 1.20 m, Incluye anillo en concreto reforzado  e=10 cm (diámetro total de 1.40 m). Incluye excavación varia en material común bajo cualquier grado de humedad, transporte y disposición final de los materiales y medido en su posición original.</t>
  </si>
  <si>
    <t>Construcción de pilote tipo Casisson h = 4.00 &lt; 5.00 m, diámetro interno de 1.20 m, Incluye anillo en concreto reforzado  e=10 cm (diámetro total de 1.40 m). Incluye excavación varia en material común bajo cualquier grado de humedad, transporte y disposición final de los materiales y medido en su posición original.</t>
  </si>
  <si>
    <t>Construcción de pilote tipo Casisson h = 5.00 &lt; 6.00 m, diámetro interno de 1.20 m, Incluye anillo en concreto reforzado  e=10 cm (diámetro total de 1.40 m). Incluye excavación varia en material común bajo cualquier grado de humedad, transporte y disposición final de los materiales y medido en su posición original.</t>
  </si>
  <si>
    <t>Construcción de pilote tipo Casisson h = 6.00 &lt; 7.00 m, diámetro interno de 1.20 m, Incluye anillo en concreto reforzado  e=10 cm (diámetro total de 1.40 m). Incluye excavación varia en material común bajo cualquier grado de humedad, transporte y disposición final de los materiales y medido en su posición original.</t>
  </si>
  <si>
    <t>Construcción de pilote tipo Casisson h = 7.00 &lt; 8.00 m, diámetro interno de 1.20 m, Incluye anillo en concreto reforzado  e=10 cm (diámetro total de 1.40 m). Incluye excavación varia en material común bajo cualquier grado de humedad, transporte y disposición final de los materiales y medido en su posición original.</t>
  </si>
  <si>
    <t>Malla Electrosoldada Ref XX84 o similar 15x15 cm</t>
  </si>
  <si>
    <t>EMPRESA DE DESARROLLO URBANO DE LA CEJA</t>
  </si>
  <si>
    <t>AU - PGIO</t>
  </si>
  <si>
    <t>COSTO DIRECTO  DE OBRA (CD)</t>
  </si>
  <si>
    <t>TERMINO  DE EJECUCIÓN DE OBRA ( MESES )</t>
  </si>
  <si>
    <t>A. ADMINISTRACIÓN</t>
  </si>
  <si>
    <t xml:space="preserve">DESCRIPCION DEL CARGO </t>
  </si>
  <si>
    <t>DEDICACIÓN MES</t>
  </si>
  <si>
    <t xml:space="preserve"> SALARIO MENSUAL </t>
  </si>
  <si>
    <t>FACTOR PRESTACIONAL</t>
  </si>
  <si>
    <t>PLAZO CONSTRUCCION</t>
  </si>
  <si>
    <t>CANTIDAD DE PERSONAL / DEDICACION/SALARIO / PLAZO/FACTOR PRESTACIONAL</t>
  </si>
  <si>
    <t>A</t>
  </si>
  <si>
    <t>C</t>
  </si>
  <si>
    <t>D</t>
  </si>
  <si>
    <t>E</t>
  </si>
  <si>
    <t>F = A * B * C * D * E</t>
  </si>
  <si>
    <t xml:space="preserve">1.1 PERSONAL PROFESIONAL Y ESPECIALISTAS </t>
  </si>
  <si>
    <t>Director de Obra</t>
  </si>
  <si>
    <t>Funciones:</t>
  </si>
  <si>
    <t>(Dirigir, coordinar, verificar la ejecución de todas las actividades de obras en los plazos requeridos por el contratante. Esto incluye la coordinación de todas las áreas técnicas, así como las solicitudes provenientes de la parte administrativa, jurídica, legal y social en los que hubiere necesidad de su participación. Producción de informes de acuerdo a las solicitudes de la entidad contratante. Participación en comités. Entrega de productos, y seguimiento del plan de calidad de la empresa). Debe ser un Profesional de la Ingeniería (o Arquitectura), con los conocimientos técnicos mínimos necesarios para velar por la adecuada ejecución de la obra en concordancia con los Planos de Proyecto, con las normas Técnicas de Construcción vigentes, con la Planificación estipulada para la ejecución y, en general, con las condiciones acordadas legalmente con el Contratante de la obra.)</t>
  </si>
  <si>
    <t>Residente de Obra</t>
  </si>
  <si>
    <t>(Planear, coordinar, verificar la correcta ejecución de todas las actividades de obras en los plazos requeridos por el contratante, de acuerdo con lo establecido en los terminos de referencia, dejar constancia de la correcta ejecución de las obras mediante registro fotográfico. Estará bajo la supervisión del Director de Obra. Debe ser un Profesional de la Ingeniería (o Arquitectura), con los conocimientos técnicos mínimos necesarios para velar por la adecuada ejecución de la obra en concordancia con los Planos de Proyecto, con las normas Técnicas de Construcción vigentes, con la Planificación estipulada para la ejecución y, en general, con las condiciones acordadas legalmente con el Contratante de la obra.)</t>
  </si>
  <si>
    <t xml:space="preserve">Residente de Obra - Saneamiento Básico </t>
  </si>
  <si>
    <t>Profesional Ambiental</t>
  </si>
  <si>
    <t>(Profesional con capacidad de identificar, comprender, proponer, planificar e implementar medidas para prevenir, controlar o mitigar los peligros y/o impactos ambientales que se generen durante el desarrollo de la obra. Debe ser un profesional ambiental y/o sanitario, con los conocimientos técnico mínimos para velar por la adecuada ejecución de la obra en concordancia con los planos del proyecto, con las normas técnicas ambientales y de construcción vigente , con la planificación estipulada para la ejecución, y en general, con las condiciones acordadas legalmente con el contratante de la obra.</t>
  </si>
  <si>
    <t>Inspector de Obra</t>
  </si>
  <si>
    <t>Apoyo al Residente de Obra en todas las funciones que este y/o el Director Designe  (verificar la correcta ejecución de todas las actividades de obras en los plazos requeridos por el contratante, de acuerdo con lo establecido en los terminos de referencia, dejar constancia de la correcta ejecución de las obras mediante registro fotográfico. Debe ser un Tecnico en Construccion con experiencia acreditada, Profesional de la Ingeniería (o Arquitectura) con los conocimientos técnicos mínimos necesarios para velar por la adecuada ejecución de la obra en concordancia con los Planos de Proyecto, con las normas Técnicas de Construcción vigentes, con la Planificación estipulada para la ejecución y, en general, con las condiciones acordadas legalmente con el Contratante de la obra.)</t>
  </si>
  <si>
    <t>Especialista en estructuras</t>
  </si>
  <si>
    <t>(Verificar la correcta ejecución de actividades correspondientes a las obras relacionadas con estructuras, esto incluye asesorar y tomar decisiones en cuanto a procesos constructivos, modificaciones a planos, planeación de actividades, formulación de ensayos. Estará bajo la supervisión del Director de Obra. Debe ser un Profesional de la Ingeniería especializado en el área de estructuras, con los conocimientos técnicos mínimos necesarios para velar por la adecuada ejecución de la obra en concordancia con los Planos de Proyecto, con las normas Técnicas de Construcción vigentes, en general, con las condiciones acordadas legalmente con el Contratante de la obra.)</t>
  </si>
  <si>
    <t>Ingeniero Residente electrico</t>
  </si>
  <si>
    <t>Obras civiles</t>
  </si>
  <si>
    <t>(Planear, coordinar, verificar la correcta ejecución de todas las actividades de obras en los plazos requeridos por el contratante, de acuerdo con lo establecido en los terminos de referencia, dejar constancia de la correcta ejecución de las obras mediante registro fotográfico. Estará bajo la supervisión del Ingeniero electrico. Debe ser un Profesional de la Ingeniería electrica, con los conocimientos técnicos mínimos necesarios para velar por la adecuada ejecución de la obra en concordancia con los Planos de Proyecto, con las normas Técnicas de Construcción vigentes, con la Planificación estipulada para la ejecución y, en general, con las condiciones acordadas legalmente con el Contratante de la obra.)</t>
  </si>
  <si>
    <t>Redes Electricas</t>
  </si>
  <si>
    <t>Ingeniero esp. Hidraulico</t>
  </si>
  <si>
    <t>Saneamiento Ambiental</t>
  </si>
  <si>
    <t>(Verificar la correcta ejecución de actividades correspondientes a las obras relacionadas con las instalaciones hidraulicas, esto incluye asesorar y tomar decisiones en cuanto a procesos constructivos, modificaciones a planos, planeación de actividades, formulación de ensayos. Estará bajo la supervisión del Director de Obra. Debe ser un Profesional de la Ingeniería hidraulica, con los conocimientos técnicos mínimos necesarios para velar por la adecuada ejecución de la obra en concordancia con los Planos de Proyecto, con las normas Técnicas de Construcción vigentes, en general, con las condiciones acordadas legalmente con el Contratante de la obra.)</t>
  </si>
  <si>
    <t>Ingeniero Geotecnico</t>
  </si>
  <si>
    <t>(Verificar la correcta ejecución de actividades correspondientes a las obras relacionadas a las cimentaciones o cualquier modificacion en el proyecto que afecte a las bases y suelos donde se realizará la obra, esto incluye asesorar y tomar decisiones en cuanto a procesos constructivos, modificaciones a planos, planeación de actividades, formulación de ensayos. Estará bajo la supervisión del Director de Obra. Debe ser un Profesional de la Ingeniería civil con especializacion, maestria o doctorado en Geotecnia, con los conocimientos técnicos mínimos necesarios para velar por la adecuada ejecución de la obra en concordancia con los Planos de Proyecto, con las normas Técnicas de Construcción vigentes, en general, con las condiciones acordadas legalmente con el Contratante de la obra.)</t>
  </si>
  <si>
    <t>Ingeniero Ambiental</t>
  </si>
  <si>
    <t>(Verificar la correcta ejecución de actividades correspondientes a las obras relacionadas con el tratamiento de agua potable y residuales, esto incluye asesorar y tomar decisiones en cuanto a procesos constructivos, modificaciones a planos, planeación de actividades, formulación de ensayos. Estará bajo la supervisión del Director de Obra. Debe ser un Profesional de la Ingeniería especializado en el área ambiental, con los conocimientos técnicos mínimos necesarios para velar por la adecuada ejecución de la obra en concordancia con los Planos de Proyecto, con las normas Técnicas de Construcción vigentes, en general, con las condiciones acordadas legalmente con el Contratante de la obra.)</t>
  </si>
  <si>
    <t>Ingeniero Forestal</t>
  </si>
  <si>
    <t>(Verificar la correcta ejecución de actividades correspondientes a las obras relacionadas con el componente forestal, esto incluye asesorar y tomar decisiones en cuanto a procesos constructivos, modificaciones a planos, planeación de actividades, formulación de ensayos. Estará bajo la supervisión del Director de Obra. Debe ser un Profesional de la Ingeniería Forestal, con los conocimientos técnicos mínimos necesarios para velar por la adecuada ejecución de la obra en concordancia con los Planos de Proyecto, con las normas Técnicas de Construcción vigentes, en general, con las condiciones acordadas legalmente con el Contratante de la obra.)</t>
  </si>
  <si>
    <t>Trabajador(a) Social</t>
  </si>
  <si>
    <t>(Interactuar, comunicar, dirigir, mediar, y todas las demás funciones requeridas para servir de canal de comunicación entre las personas y la entidad contratante. Se encargará de formular, diseñar e implementar el plan de gestión social de acuerdo a los lineamientos establecidos por la entidad contratante. Estará bajo la supervisión del Director de Obra. Debe ser un Profesional de la Sicología o Trabajo Social, con las condiciones acordadas legalmente con el Contratante de la obra.)</t>
  </si>
  <si>
    <t>COORDINADOR SST  (Profesional SST)</t>
  </si>
  <si>
    <t>(Velar por el cumplimiento de los protoclos y normatividad SST y Ambiental de la entidad contratante y de la firma constratista, esto incluye asesorar y tomar decisiones en cuanto a procesos constructivos, modificaciones a planos, planeación de actividades, formulación de ensayos, capacitaciones, control de materiales, residuos, y todo lo relacionado con la seguridad industrial y el impacto ambiental que genere la obra. Estará bajo la supervisión del Director de Obra. Debe ser un Profesional de la Ingeniería ambiental o forestal o especilista en gestion HSEQ, con los conocimientos técnicos mínimos necesarios para velar por la adecuada ejecución de la obra en concordancia con los Planos de Proyecto, con las normas Técnicas de Construcción vigentes, en general, con las condiciones acordadas legalmente con el Contratante de la obra. Adicionalmente, deberá formular e implementar dentro de obra los protocolos de bioseguridad que contenga las medidas necesarias para prevención de la propagación del virus COVID-19  en los trabajadores.)</t>
  </si>
  <si>
    <t>1.2 PERSONAL TÉCNICO Y PERSONAL AUXILIAR TÉCNICO</t>
  </si>
  <si>
    <t xml:space="preserve">TOPOGRAFO </t>
  </si>
  <si>
    <t>CADENEROS</t>
  </si>
  <si>
    <t>MAESTRO GENERAL</t>
  </si>
  <si>
    <t>ALMACENISTA</t>
  </si>
  <si>
    <t>AUXILIAR ALMACENISTA</t>
  </si>
  <si>
    <t>PERSONAL DE SERVICIOS DE VIGILANCIA</t>
  </si>
  <si>
    <t>1.3 PERSONAL ADMINISTRATIVO</t>
  </si>
  <si>
    <t>Secretaria</t>
  </si>
  <si>
    <t>Auxiliar SST</t>
  </si>
  <si>
    <t xml:space="preserve">Abogado </t>
  </si>
  <si>
    <t>Auxiliar Contable</t>
  </si>
  <si>
    <t>Conductor</t>
  </si>
  <si>
    <t>Secretaria oficina principal</t>
  </si>
  <si>
    <t>Mensajero</t>
  </si>
  <si>
    <t>SUBTOTAL COSTOS  DE PERSONAL</t>
  </si>
  <si>
    <t xml:space="preserve">2. GASTOS OPERACIONALES </t>
  </si>
  <si>
    <t>CAMPAMENTO</t>
  </si>
  <si>
    <t>DESCRIPCION</t>
  </si>
  <si>
    <t>AREA (M2)</t>
  </si>
  <si>
    <t>COSTO ($/M2.MES)</t>
  </si>
  <si>
    <t>COSTO MES</t>
  </si>
  <si>
    <t>DURACION MESES</t>
  </si>
  <si>
    <t>VALOR ($)</t>
  </si>
  <si>
    <t>Campamento de obra para depósito de materiales, equipos, personal, exclusivo para obra</t>
  </si>
  <si>
    <t>Campamento oficina para personal y atención al público, incluye servicios públicos provisionales</t>
  </si>
  <si>
    <t>OTROS GASTOS</t>
  </si>
  <si>
    <t>CANTIDAD/ DEDICACION</t>
  </si>
  <si>
    <t>Toma de Muestras, Ensayos de Laboratorio, resultados</t>
  </si>
  <si>
    <t>Mantenimientos, Equipos, Herramientas</t>
  </si>
  <si>
    <t>Registro Fotografico, Videos, Informes</t>
  </si>
  <si>
    <t>Registro y elaboracion planos record</t>
  </si>
  <si>
    <t>Elaboracion Manuales operación y mantenimiento</t>
  </si>
  <si>
    <t>Gastos de mobiliario, papelería, fotocopias, etc</t>
  </si>
  <si>
    <t>Sotfware/Hardware para obra</t>
  </si>
  <si>
    <t>Vehiculo Campero 4x2 min 2000cc</t>
  </si>
  <si>
    <t xml:space="preserve">Equipo de topografia </t>
  </si>
  <si>
    <t>SUBTOTAL GASTOS OPERACIONALES MENSUALES</t>
  </si>
  <si>
    <t>TOTAL COSTOS PERSONAL + GASTOS OPERACIONALES POR EL TÉRMINO DE EJECUCIÓN</t>
  </si>
  <si>
    <t>TOTAL COSTOS PERSONAL + GASTOS OPERACIONALES POR EL TÉRMINO DE EJECUCIÓN EN PORCENTAJE DEL COSTO DIRECTO</t>
  </si>
  <si>
    <t>2. IMPUESTOS Y GARANTÍAS</t>
  </si>
  <si>
    <t>2.1 IMPUESTOS</t>
  </si>
  <si>
    <t>VR. BASE</t>
  </si>
  <si>
    <t>IMPUESTO %</t>
  </si>
  <si>
    <t>RETENCIÓN ICA.</t>
  </si>
  <si>
    <t>ESTAMPILLA PROADULTO MAYOR</t>
  </si>
  <si>
    <t>ESTAMPILLA PRODESARROLLO</t>
  </si>
  <si>
    <t>ESTAMPILLA UNIVERSIDAD DE ENVIAGO</t>
  </si>
  <si>
    <t>TASA PRODEPORTE</t>
  </si>
  <si>
    <t>ESTAMPILLA PROHOSPITAL</t>
  </si>
  <si>
    <t>ESTAMPILLA POLITÉCNICO</t>
  </si>
  <si>
    <t>ESTAMPILLA UNIVERSIDAD DIGITAL</t>
  </si>
  <si>
    <t>CONTRIBUCIÓN DE OBRA</t>
  </si>
  <si>
    <t>RTE FUENTE OBRA</t>
  </si>
  <si>
    <t>SUBTOTAL IMPUESTOS</t>
  </si>
  <si>
    <t>2.2 GARANTIAS</t>
  </si>
  <si>
    <t>% ASEGURADO</t>
  </si>
  <si>
    <t>VR. ASEGURADO</t>
  </si>
  <si>
    <t>VALOR TOTAL ($)</t>
  </si>
  <si>
    <t>G.UNICA</t>
  </si>
  <si>
    <t>CUMPLIMIENTO</t>
  </si>
  <si>
    <t>SALARIOS Y PRESTACIONES SOCIALES</t>
  </si>
  <si>
    <t>ESTABILIDAD Y CALIDAD DE LA OBRA</t>
  </si>
  <si>
    <t>GASTOS DE EXPEDICION PAGO DE LOS PERJUICIOS DERIVADOS DEL INCUMPLIMIENTO DE LAS OBLIGACIONES</t>
  </si>
  <si>
    <t>IVA DEL TOTAL DEL PAGO DE LOS PERJUICIOS DERIVADOS DEL INCUMPLIMIENTO DE LAS OBLIGACIONES</t>
  </si>
  <si>
    <t>RESPONSABILIDAD CIVIL EXTRACONTRACTUAL</t>
  </si>
  <si>
    <t>GASTOS DE EXPEDICION (RESPONSABILIDAD CIVIL EXTRACONTRACTUAL)</t>
  </si>
  <si>
    <t>IVA DEL TOTAL (RESPONSABILIDAD CIVIL EXTRACONTRACTUAL)</t>
  </si>
  <si>
    <t>SUBTOTAL GARANTÍAS</t>
  </si>
  <si>
    <t>TOTAL IMPUESTOS Y GARANTÍAS</t>
  </si>
  <si>
    <t>TOTAL IMPUESTOS Y GARANTÍAS EN PORCENTAJE DEL COSTO DIRECTO</t>
  </si>
  <si>
    <t>A. ADMINISTRACIÓN (1 + 2)</t>
  </si>
  <si>
    <t>I. IMPREVISTOS</t>
  </si>
  <si>
    <t xml:space="preserve">I. IMPREVISTOS </t>
  </si>
  <si>
    <t>U. UTILIDAD</t>
  </si>
  <si>
    <t>A..I.U. (ADMINISTRACIÓN, IMPREVISTOS Y UTILIDAD)</t>
  </si>
  <si>
    <t>SUMATORIA DE (A+U)</t>
  </si>
  <si>
    <t>P. PROGRAMA DE IMPLEMENTACION DEL PLAN DE GESTION INTEGRAL DE OBRA (PGIO)</t>
  </si>
  <si>
    <t>1. IMPLEMETACIÓN PGIO - EJE SST</t>
  </si>
  <si>
    <t>Kit Elementos de protección
El kit incluye: elementos de protección personal básicos por persona - personal operativo de los frentes de obra (incluye casco de seguridad, guantes de carnaza o guantes de caucho, botas de seguridad.)</t>
  </si>
  <si>
    <t>Kit de Emergencias
El Kit incluye: extintor de 10 lbs, camilla rígida, reflectivos y botiquín con elementos necesarios.  Para los anteriores elementos se debe contar con señalización en acrílico de 22 cm x 15 cm. (2 Unidad)</t>
  </si>
  <si>
    <t>MES</t>
  </si>
  <si>
    <t>Kit para trabajos con soldadura
Careta para soldar fabricada en material termoplástico portavidrio levantable - guantes - overol especial.</t>
  </si>
  <si>
    <t>Kit señalización SST
El kit incluye: señal uso de EPP, sustancias peligrosas, ruta de evacuación, punto de encuentro (2 Unidad)</t>
  </si>
  <si>
    <t>Examen médico ocupacional de ingreso y egreso
Examen de ingreso y egreso que incluye: agudeza visual, talla y peso, tensión arterial, serología para todo el personal excepto personal de trabajo en alturas.</t>
  </si>
  <si>
    <t>Generación de informes, impresión de información, adquisición de información, capacitaciones y mantenimiento del plan de implementación de PGIO eje de segurIdad industrial y salud ocupacional.</t>
  </si>
  <si>
    <t>TOTAL IMPLEMETACIÓN PGIO - EJE S&amp;SO POR EL TÉRMINO DE EJECUCIÓN</t>
  </si>
  <si>
    <t>TOTAL IMPLEMETACIÓN PGIO - EJE S&amp;SO POR EL TÉRMINO DE EJECUCIÓN EN PORCENTAJE DEL COSTO DIRECTO</t>
  </si>
  <si>
    <t>2. IMPLEMETACION PGIO - EJE AMBIENTAL</t>
  </si>
  <si>
    <t>Kit señalización Ambiental
El kit incluye: señal de 15 x 15 cm - reciclable, señal de 15 x15 cm- orgánico, señal de 15 x 15 cm - sustancias peligrosas. (4 Unidades)</t>
  </si>
  <si>
    <t>Protección Sumideros
Polisombra azul para sumideros rollo de 0,6 x 1 m</t>
  </si>
  <si>
    <t>MS</t>
  </si>
  <si>
    <t>Kit para residuos sólidos
Incluye tres (3) canecas para de 65 litros, compuesta de dos piezas (tapa y contenedor) resistente a la interperie, de facil limpieza y cargue, en polietileno de alta densidad, redonda - bolsas para basura color negra (24 mensuales), rojo (4 mensuales) y verde (4 mensuales) de material plástico de alta densidad, calibre de 2", de 65 x 85 cm. (4 unidades)</t>
  </si>
  <si>
    <t>Lavado de Herramientas
Caneca para lavado de herramientas con capacidad para 55 galones, redonda, con tapa, material; polietileno. Irrompible, alta densidad, resistente a carga estática, resistente a la exposición a la intemperie. Color: de acuerdo con la disponibilidad con la que se cuente. (4 unidades)</t>
  </si>
  <si>
    <t>Cubrimiento de Materiales Granulares
Cubrimiento de materiales granulares (bases, subbase, arena, con plástico calibre 6 de 3 m de ancho x 10m de longitud para 30m2 por frente de obra.</t>
  </si>
  <si>
    <t>Cubrimiento de escombros
Cubrimiento de escombros tela verde para cerramiento de 2,10m de ancho x 15 de longitud para 30m2 por frente de obra.</t>
  </si>
  <si>
    <t>Alquiler baño portatil
Suministro de baño portatil</t>
  </si>
  <si>
    <t>Alquiler baño de la zona
Alquiler baño existente en la zona</t>
  </si>
  <si>
    <t>Kit aseo Edificación
El kit de aseo consta de pica, pala con mango, escoba, balde plastico 25 lt.</t>
  </si>
  <si>
    <t>Kit aseo Infraestructura
El kit consta de pala con mango, carretilla (tipo boggy con llanta neumatica), como mínimo de H:45cm, balde plástico de 25 lt, cepillo de casquillo de 37 x 7</t>
  </si>
  <si>
    <t>Brigada de aseo
Suministro de brigada de aseo necesaria para la implementacion y mantenimiento del PGIO. Incluye el factor prestacional (1 persona)</t>
  </si>
  <si>
    <t>Kit de derrames pequeños (Kit antiderrames)
El kit consta de pala antichispa, barreras de contención, paños oleofilicos, almohadillas absorbentes y desengrasante biodegradable. (2 Unidades)</t>
  </si>
  <si>
    <t>Generación de informes, impresión de información, adquisición de información, capacitaciones y mantenimiento del plan de implementación de PGIO eje ambiental.</t>
  </si>
  <si>
    <t>TOTAL IMPLEMETACIÓN PGIO - EJE AMBIENTAL POR EL TÉRMINO DE EJECUCIÓN</t>
  </si>
  <si>
    <t>TOTAL IMPLEMETACIÓN PGIO - EJE AMBIENTAL POR EL TÉRMINO DE EJECUCIÓN EN PORCENTAJE DEL COSTO DIRECTO</t>
  </si>
  <si>
    <t>3. IMPLEMETACION PGIO - EJE DE SEGURIDAD Y/O OBRA</t>
  </si>
  <si>
    <t>Suministro e instalación de valla informativa del proyecto</t>
  </si>
  <si>
    <t>UND</t>
  </si>
  <si>
    <t>Cerramiento Tipo 1: Consta de Señalizadores tubulares plasticos, norma ministerio de transporte, separados entre si como maximo 5m. Entre señalizadores debe disponerse de triple de cinta de demarcacion de peligro,calibre 4, con franjas amarillas.</t>
  </si>
  <si>
    <t>ML/MES</t>
  </si>
  <si>
    <t>Cerramiento Tipo 2: Consta de Señalizadores tubulares plasticos, norma ministerio de transporte, separados entre si como maximo 5m. Entre señalizadores debe disponerse de triple de cinta de demarcacion de peligro,calibre 4, con franjas amarillas.Adicionalmente entre señalizadores  debe disponerse de tela verde para cerramientos  con altural igual a la del señalizador tubular.</t>
  </si>
  <si>
    <t>Cerrmiento tipo 3: consta de postes de madera rolliza de 2m de altura libre,enterrados como minimo 0,3m, entre los postes debe haber doble cinta  de demarcacion de peligro calibre 4.con franjas amarillas y negras y con el texto "peligro". Adicionalmente entre postes debe disponerse de tela verde para cerramiento con una altura igual al poste.Separacion entre postes maximo de 5m.</t>
  </si>
  <si>
    <t>Cerramiento tipo 4 con postes de madera con durmientes y teja de zinc para cubierta de sendero de 0,9 m de ancho y 2,1 de alto, puntilla, polisombra.</t>
  </si>
  <si>
    <t>Cerramiento tipo 5, consta de barra corredor 3",vara clavo 4",durmiente, puntilla con cabeza,polisombra, mano de obra.</t>
  </si>
  <si>
    <t>M2</t>
  </si>
  <si>
    <t>TOTAL IMPLEMETACIÓN PGIO -EJE DE SEGURIDAD Y/O OBRA POR EL TÉRMINO DE EJECUCIÓN</t>
  </si>
  <si>
    <t>TOTAL IMPLEMETACIÓN PGIO -EJE DE SEGURIDAD Y/O OBRA POR EL TÉRMINO DE EJECUCIÓN EN PORCENTAJE DEL COSTO DIRECTO</t>
  </si>
  <si>
    <t>3. IMPLEMETACION PGIO - EJE MANEJO DE TRAFICO</t>
  </si>
  <si>
    <t>KIT SEÑALES PREVENTIVAS (Trabajos en la Vía, Maquinaria en la Vía, Auxiliar de Tránsito, Angostamiento de Vía) (4 Unidades)</t>
  </si>
  <si>
    <t>KIT SEÑALES REGLAMENTARIAS(Pare/Siga, Vía Cerrada, Uno a Uno) (4 Unidades)</t>
  </si>
  <si>
    <t>KIT SEÑALES INFORMATIVAS (Fin de Obra, Inicio de Obra, Desvio a XXX M, Fin Desvio)  (4 Unidades)</t>
  </si>
  <si>
    <t>CANECAS PLASTICAS DE FORMA CILINDRICA CON DIMENSIONES MINIMAS DE 80 CM DE ALTURA Y 40 CM DE DIAMETRO ,SU COLOR SERA ANARANJADO Y DEBERAN CONTENER COMO MINIMO DOS FRANJAS BLANCAS DE LAMINA REFLECTIVA TIPO III DE 15CM DE ANCHO CON LUCES PERMANENTES DE ADVERTENCIA</t>
  </si>
  <si>
    <t>LUCES DE IDENTIFICACION DE PELIGRO DE TIPO INTERMITENTE, CON LUZ AMARILLA, CON UNA LENTE MINIMA DE 20 CM DE DIAMETRO</t>
  </si>
  <si>
    <t>Barrera o Maletín Plástico 2x1x0,5mt (6 UNIDADES)</t>
  </si>
  <si>
    <t>Radios Intercomunicadores</t>
  </si>
  <si>
    <t>PALETERO CON DOTACION MAS PRESTACIONES (2 Personas)</t>
  </si>
  <si>
    <t>TOTAL IMPLEMETACIÓN PGIO - EJE MANEJO DE TRAFICO POR EL TÉRMINO DE EJECUCIÓN</t>
  </si>
  <si>
    <t>TOTAL IMPLEMETACIÓN PGIO - EJE MANEJO DE TRAFICO POR EL TÉRMINO DE EJECUCIÓN EN PORCENTAJE DEL COSTO DIRECTO</t>
  </si>
  <si>
    <t>P. PROGRAMA DE IMPLEMENTACION DEL PLAN DE GESTION INTEGRAL DE OBRA (PGIO) (1 + 2 + 3)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</si>
</sst>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240A]\ #,##0.00"/>
    <numFmt numFmtId="166" formatCode="_-&quot;$&quot;* #,##0.00_-;\-&quot;$&quot;* #,##0.00_-;_-&quot;$&quot;* &quot;-&quot;??_-;_-@_-"/>
    <numFmt numFmtId="167" formatCode="_-&quot;$&quot;* #,##0_-;\-&quot;$&quot;* #,##0_-;_-&quot;$&quot;* &quot;-&quot;??_-;_-@_-"/>
    <numFmt numFmtId="168" formatCode="#,##0.0"/>
    <numFmt numFmtId="169" formatCode="[$$-240A]\ #,##0"/>
    <numFmt numFmtId="170" formatCode="_(&quot;$&quot;* #,##0.00_);_(&quot;$&quot;* \(#,##0.00\);_(&quot;$&quot;* &quot;-&quot;??_);_(@_)"/>
    <numFmt numFmtId="171" formatCode="0.0000%"/>
    <numFmt numFmtId="172" formatCode="_(&quot;$&quot;\ * #,##0.00_);_(&quot;$&quot;\ * \(#,##0.00\);_(&quot;$&quot;\ * &quot;-&quot;??_);_(@_)"/>
    <numFmt numFmtId="173" formatCode="_(* #,##0.00_);_(* \(#,##0.00\);_(* &quot;-&quot;??_);_(@_)"/>
    <numFmt numFmtId="174" formatCode="_-* #,##0.00\ _€_-;\-* #,##0.00\ _€_-;_-* &quot;-&quot;??\ _€_-;_-@_-"/>
    <numFmt numFmtId="175" formatCode="_-* #,##0.00\ &quot;€&quot;_-;\-* #,##0.00\ &quot;€&quot;_-;_-* &quot;-&quot;??\ &quot;€&quot;_-;_-@_-"/>
    <numFmt numFmtId="176" formatCode="_-* #,##0.00\ _P_t_s_-;\-* #,##0.00\ _P_t_s_-;_-* &quot;-&quot;??\ _P_t_s_-;_-@_-"/>
    <numFmt numFmtId="177" formatCode="0.000"/>
    <numFmt numFmtId="178" formatCode="&quot;$&quot;\ #,##0.00"/>
    <numFmt numFmtId="179" formatCode="0.00000"/>
    <numFmt numFmtId="180" formatCode="0.000000"/>
    <numFmt numFmtId="181" formatCode="[$$-240A]#,##0;[Red]\([$$-240A]#,##0\)"/>
    <numFmt numFmtId="182" formatCode="[$$-240A]\ #,##0.00;[Red][$$-240A]\ #,##0.00"/>
    <numFmt numFmtId="183" formatCode="0.00000%"/>
    <numFmt numFmtId="184" formatCode="0.000%"/>
    <numFmt numFmtId="185" formatCode="0.0000"/>
    <numFmt numFmtId="186" formatCode="#,##0;[Red]#,##0"/>
    <numFmt numFmtId="187" formatCode="&quot;$&quot;\ #,##0"/>
    <numFmt numFmtId="188" formatCode="[$$-240A]\ #,##0.0000_);[Red]\([$$-240A]\ #,##0.0000\)"/>
    <numFmt numFmtId="189" formatCode="#,##0.0000"/>
    <numFmt numFmtId="190" formatCode="_-&quot;$&quot;\ * #,##0.00_-;\-&quot;$&quot;\ * #,##0.00_-;_-&quot;$&quot;\ * &quot;-&quot;_-;_-@_-"/>
    <numFmt numFmtId="191" formatCode="#,##0.00;[Red]#,##0.00"/>
    <numFmt numFmtId="192" formatCode="[$$-240A]#,##0.00;[Red]\([$$-240A]#,##0.00\)"/>
    <numFmt numFmtId="193" formatCode="0.0"/>
    <numFmt numFmtId="194" formatCode="_-&quot;$&quot;\ * #,##0.000_-;\-&quot;$&quot;\ * #,##0.000_-;_-&quot;$&quot;\ * &quot;-&quot;???_-;_-@_-"/>
    <numFmt numFmtId="195" formatCode="0.0%"/>
    <numFmt numFmtId="196" formatCode="[$$-240A]\ #,##0.00000;[Red][$$-240A]\ #,##0.00000"/>
    <numFmt numFmtId="197" formatCode="[$$-240A]\ #,##0.000000;[Red][$$-240A]\ #,##0.000000"/>
    <numFmt numFmtId="198" formatCode="[$$-240A]#,##0.00;[Red][$$-240A]#,##0.00"/>
  </numFmts>
  <fonts count="49" x14ac:knownFonts="1">
    <font>
      <sz val="11"/>
      <color theme="1"/>
      <name val="Calibri"/>
      <family val="2"/>
      <scheme val="minor"/>
    </font>
    <font>
      <sz val="11"/>
      <color theme="1"/>
      <name val="Calibri"/>
      <family val="2"/>
      <scheme val="minor"/>
    </font>
    <font>
      <sz val="10"/>
      <color theme="1"/>
      <name val="Times New Roman"/>
      <family val="1"/>
    </font>
    <font>
      <b/>
      <sz val="10"/>
      <color theme="1"/>
      <name val="Times New Roman"/>
      <family val="1"/>
    </font>
    <font>
      <sz val="10"/>
      <name val="Arial"/>
      <family val="2"/>
    </font>
    <font>
      <b/>
      <sz val="10"/>
      <name val="Times New Roman"/>
      <family val="1"/>
    </font>
    <font>
      <sz val="11"/>
      <color theme="1"/>
      <name val="Times New Roman"/>
      <family val="1"/>
    </font>
    <font>
      <vertAlign val="superscript"/>
      <sz val="11"/>
      <color theme="1"/>
      <name val="Times New Roman"/>
      <family val="1"/>
    </font>
    <font>
      <sz val="10"/>
      <name val="Times New Roman"/>
      <family val="1"/>
    </font>
    <font>
      <sz val="11"/>
      <name val="Times New Roman"/>
      <family val="1"/>
    </font>
    <font>
      <sz val="12"/>
      <color theme="1"/>
      <name val="Calibri"/>
      <family val="2"/>
      <scheme val="minor"/>
    </font>
    <font>
      <b/>
      <sz val="11"/>
      <color theme="1"/>
      <name val="Times New Roman"/>
      <family val="1"/>
    </font>
    <font>
      <sz val="11"/>
      <name val="Gill Sans MT"/>
      <family val="2"/>
    </font>
    <font>
      <sz val="9"/>
      <name val="Times New Roman"/>
      <family val="1"/>
    </font>
    <font>
      <b/>
      <sz val="18"/>
      <name val="Times New Roman"/>
      <family val="1"/>
    </font>
    <font>
      <b/>
      <sz val="12"/>
      <name val="Times New Roman"/>
      <family val="1"/>
    </font>
    <font>
      <b/>
      <sz val="13"/>
      <name val="Times New Roman"/>
      <family val="1"/>
    </font>
    <font>
      <sz val="12"/>
      <color rgb="FF393939"/>
      <name val="Times New Roman"/>
      <family val="1"/>
    </font>
    <font>
      <b/>
      <sz val="10"/>
      <color rgb="FFFF0000"/>
      <name val="Times New Roman"/>
      <family val="1"/>
    </font>
    <font>
      <sz val="12"/>
      <name val="Times New Roman"/>
      <family val="1"/>
    </font>
    <font>
      <b/>
      <sz val="10"/>
      <color rgb="FF000000"/>
      <name val="Times New Roman"/>
      <family val="1"/>
    </font>
    <font>
      <sz val="10"/>
      <color rgb="FF000000"/>
      <name val="Times New Roman"/>
      <family val="1"/>
    </font>
    <font>
      <sz val="8"/>
      <name val="Calibri"/>
      <family val="2"/>
      <scheme val="minor"/>
    </font>
    <font>
      <sz val="11"/>
      <color indexed="8"/>
      <name val="Calibri"/>
      <family val="2"/>
    </font>
    <font>
      <u/>
      <sz val="11"/>
      <color theme="10"/>
      <name val="Calibri"/>
      <family val="2"/>
      <scheme val="minor"/>
    </font>
    <font>
      <u/>
      <sz val="11"/>
      <color theme="10"/>
      <name val="Times New Roman"/>
      <family val="1"/>
    </font>
    <font>
      <sz val="9"/>
      <color indexed="81"/>
      <name val="Tahoma"/>
      <family val="2"/>
    </font>
    <font>
      <b/>
      <sz val="9"/>
      <color indexed="81"/>
      <name val="Tahoma"/>
      <family val="2"/>
    </font>
    <font>
      <sz val="9"/>
      <color theme="1"/>
      <name val="Times New Roman"/>
      <family val="1"/>
    </font>
    <font>
      <b/>
      <sz val="11"/>
      <color theme="1"/>
      <name val="Calibri"/>
      <family val="2"/>
      <scheme val="minor"/>
    </font>
    <font>
      <b/>
      <sz val="14"/>
      <color rgb="FF002060"/>
      <name val="Times New Roman"/>
      <family val="1"/>
    </font>
    <font>
      <b/>
      <sz val="36"/>
      <name val="Times New Roman"/>
      <family val="1"/>
    </font>
    <font>
      <b/>
      <sz val="11"/>
      <name val="Times New Roman"/>
      <family val="1"/>
    </font>
    <font>
      <b/>
      <sz val="11"/>
      <color rgb="FFFF0000"/>
      <name val="Times New Roman"/>
      <family val="1"/>
    </font>
    <font>
      <sz val="8"/>
      <name val="Times New Roman"/>
      <family val="1"/>
    </font>
    <font>
      <sz val="12"/>
      <color indexed="8"/>
      <name val="Times New Roman"/>
      <family val="1"/>
    </font>
    <font>
      <sz val="12"/>
      <color theme="1"/>
      <name val="Times New Roman"/>
      <family val="1"/>
    </font>
    <font>
      <b/>
      <sz val="14"/>
      <color rgb="FFFF0000"/>
      <name val="Times New Roman"/>
      <family val="1"/>
    </font>
    <font>
      <sz val="11"/>
      <color rgb="FFFF0000"/>
      <name val="Times New Roman"/>
      <family val="1"/>
    </font>
    <font>
      <b/>
      <sz val="14"/>
      <color theme="0"/>
      <name val="Times New Roman"/>
      <family val="1"/>
    </font>
    <font>
      <b/>
      <sz val="14"/>
      <color theme="0" tint="-0.249977111117893"/>
      <name val="Times New Roman"/>
      <family val="1"/>
    </font>
    <font>
      <sz val="11"/>
      <color theme="0" tint="-0.249977111117893"/>
      <name val="Times New Roman"/>
      <family val="1"/>
    </font>
    <font>
      <sz val="14"/>
      <color rgb="FF002060"/>
      <name val="Times New Roman"/>
      <family val="1"/>
    </font>
    <font>
      <b/>
      <sz val="11"/>
      <color rgb="FFC00000"/>
      <name val="Times New Roman"/>
      <family val="1"/>
    </font>
    <font>
      <b/>
      <sz val="14"/>
      <color theme="9" tint="-0.499984740745262"/>
      <name val="Times New Roman"/>
      <family val="1"/>
    </font>
    <font>
      <b/>
      <sz val="16"/>
      <name val="Times New Roman"/>
      <family val="1"/>
    </font>
    <font>
      <sz val="11"/>
      <color indexed="10"/>
      <name val="Times New Roman"/>
      <family val="1"/>
    </font>
    <font>
      <b/>
      <sz val="16"/>
      <color rgb="FF0070C0"/>
      <name val="Times New Roman"/>
      <family val="1"/>
    </font>
    <font>
      <sz val="14"/>
      <color indexed="81"/>
      <name val="Tahoma"/>
      <family val="2"/>
    </font>
  </fonts>
  <fills count="14">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FFFF00"/>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66FF33"/>
        <bgColor indexed="64"/>
      </patternFill>
    </fill>
    <fill>
      <patternFill patternType="solid">
        <fgColor rgb="FFFFC000"/>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2" tint="-0.249977111117893"/>
        <bgColor indexed="64"/>
      </patternFill>
    </fill>
  </fills>
  <borders count="12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medium">
        <color theme="1" tint="0.499984740745262"/>
      </left>
      <right style="thin">
        <color theme="1" tint="0.499984740745262"/>
      </right>
      <top style="medium">
        <color theme="1" tint="0.499984740745262"/>
      </top>
      <bottom style="medium">
        <color theme="1" tint="0.499984740745262"/>
      </bottom>
      <diagonal/>
    </border>
    <border>
      <left style="thin">
        <color theme="1" tint="0.499984740745262"/>
      </left>
      <right style="thin">
        <color theme="1" tint="0.499984740745262"/>
      </right>
      <top style="medium">
        <color theme="1" tint="0.499984740745262"/>
      </top>
      <bottom style="medium">
        <color theme="1" tint="0.499984740745262"/>
      </bottom>
      <diagonal/>
    </border>
    <border>
      <left style="thin">
        <color theme="1" tint="0.499984740745262"/>
      </left>
      <right style="medium">
        <color theme="1" tint="0.499984740745262"/>
      </right>
      <top style="medium">
        <color theme="1" tint="0.499984740745262"/>
      </top>
      <bottom style="medium">
        <color theme="1" tint="0.499984740745262"/>
      </bottom>
      <diagonal/>
    </border>
    <border>
      <left style="medium">
        <color theme="1" tint="0.499984740745262"/>
      </left>
      <right style="thin">
        <color theme="1" tint="0.499984740745262"/>
      </right>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style="medium">
        <color theme="1" tint="0.499984740745262"/>
      </right>
      <top/>
      <bottom style="thin">
        <color theme="1" tint="0.499984740745262"/>
      </bottom>
      <diagonal/>
    </border>
    <border>
      <left style="medium">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medium">
        <color theme="1" tint="0.499984740745262"/>
      </right>
      <top style="thin">
        <color theme="1" tint="0.499984740745262"/>
      </top>
      <bottom style="thin">
        <color theme="1" tint="0.499984740745262"/>
      </bottom>
      <diagonal/>
    </border>
    <border>
      <left style="medium">
        <color theme="1" tint="0.499984740745262"/>
      </left>
      <right style="thin">
        <color theme="1" tint="0.499984740745262"/>
      </right>
      <top style="thin">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medium">
        <color theme="1" tint="0.499984740745262"/>
      </right>
      <top style="thin">
        <color theme="1" tint="0.499984740745262"/>
      </top>
      <bottom/>
      <diagonal/>
    </border>
    <border>
      <left style="medium">
        <color theme="1" tint="0.34998626667073579"/>
      </left>
      <right style="thin">
        <color theme="1" tint="0.34998626667073579"/>
      </right>
      <top style="medium">
        <color theme="1" tint="0.34998626667073579"/>
      </top>
      <bottom style="medium">
        <color theme="1" tint="0.34998626667073579"/>
      </bottom>
      <diagonal/>
    </border>
    <border>
      <left style="thin">
        <color theme="1" tint="0.34998626667073579"/>
      </left>
      <right style="thin">
        <color theme="1" tint="0.34998626667073579"/>
      </right>
      <top style="medium">
        <color theme="1" tint="0.34998626667073579"/>
      </top>
      <bottom style="medium">
        <color theme="1" tint="0.34998626667073579"/>
      </bottom>
      <diagonal/>
    </border>
    <border>
      <left style="thin">
        <color theme="1" tint="0.34998626667073579"/>
      </left>
      <right style="medium">
        <color theme="1" tint="0.34998626667073579"/>
      </right>
      <top style="medium">
        <color theme="1" tint="0.34998626667073579"/>
      </top>
      <bottom style="medium">
        <color theme="1" tint="0.34998626667073579"/>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style="double">
        <color auto="1"/>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style="double">
        <color auto="1"/>
      </right>
      <top/>
      <bottom style="double">
        <color auto="1"/>
      </bottom>
      <diagonal/>
    </border>
    <border>
      <left style="medium">
        <color indexed="64"/>
      </left>
      <right/>
      <top/>
      <bottom style="hair">
        <color indexed="8"/>
      </bottom>
      <diagonal/>
    </border>
    <border>
      <left/>
      <right/>
      <top/>
      <bottom style="hair">
        <color indexed="8"/>
      </bottom>
      <diagonal/>
    </border>
    <border>
      <left/>
      <right style="medium">
        <color indexed="64"/>
      </right>
      <top/>
      <bottom style="hair">
        <color indexed="8"/>
      </bottom>
      <diagonal/>
    </border>
    <border>
      <left style="medium">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medium">
        <color indexed="64"/>
      </right>
      <top style="hair">
        <color indexed="8"/>
      </top>
      <bottom style="hair">
        <color indexed="8"/>
      </bottom>
      <diagonal/>
    </border>
    <border>
      <left style="medium">
        <color indexed="64"/>
      </left>
      <right/>
      <top style="hair">
        <color indexed="8"/>
      </top>
      <bottom style="hair">
        <color indexed="8"/>
      </bottom>
      <diagonal/>
    </border>
    <border>
      <left/>
      <right style="hair">
        <color indexed="8"/>
      </right>
      <top style="hair">
        <color indexed="8"/>
      </top>
      <bottom style="hair">
        <color indexed="8"/>
      </bottom>
      <diagonal/>
    </border>
    <border>
      <left/>
      <right/>
      <top style="hair">
        <color indexed="8"/>
      </top>
      <bottom style="hair">
        <color indexed="8"/>
      </bottom>
      <diagonal/>
    </border>
    <border>
      <left/>
      <right style="medium">
        <color indexed="64"/>
      </right>
      <top style="hair">
        <color indexed="8"/>
      </top>
      <bottom style="hair">
        <color indexed="8"/>
      </bottom>
      <diagonal/>
    </border>
    <border>
      <left style="hair">
        <color indexed="8"/>
      </left>
      <right/>
      <top style="hair">
        <color indexed="8"/>
      </top>
      <bottom style="hair">
        <color indexed="8"/>
      </bottom>
      <diagonal/>
    </border>
    <border>
      <left style="hair">
        <color indexed="8"/>
      </left>
      <right/>
      <top style="hair">
        <color indexed="8"/>
      </top>
      <bottom/>
      <diagonal/>
    </border>
    <border>
      <left/>
      <right/>
      <top style="hair">
        <color indexed="8"/>
      </top>
      <bottom/>
      <diagonal/>
    </border>
    <border>
      <left style="hair">
        <color indexed="64"/>
      </left>
      <right style="hair">
        <color indexed="64"/>
      </right>
      <top style="hair">
        <color indexed="64"/>
      </top>
      <bottom style="hair">
        <color indexed="64"/>
      </bottom>
      <diagonal/>
    </border>
    <border>
      <left style="hair">
        <color indexed="8"/>
      </left>
      <right/>
      <top/>
      <bottom style="hair">
        <color indexed="8"/>
      </bottom>
      <diagonal/>
    </border>
    <border>
      <left style="medium">
        <color indexed="64"/>
      </left>
      <right style="hair">
        <color indexed="8"/>
      </right>
      <top style="hair">
        <color indexed="8"/>
      </top>
      <bottom/>
      <diagonal/>
    </border>
    <border>
      <left style="medium">
        <color indexed="64"/>
      </left>
      <right style="hair">
        <color indexed="8"/>
      </right>
      <top/>
      <bottom/>
      <diagonal/>
    </border>
    <border>
      <left style="medium">
        <color indexed="64"/>
      </left>
      <right style="hair">
        <color indexed="8"/>
      </right>
      <top/>
      <bottom style="hair">
        <color indexed="8"/>
      </bottom>
      <diagonal/>
    </border>
    <border>
      <left style="double">
        <color indexed="8"/>
      </left>
      <right style="medium">
        <color indexed="64"/>
      </right>
      <top style="double">
        <color indexed="8"/>
      </top>
      <bottom style="double">
        <color indexed="8"/>
      </bottom>
      <diagonal/>
    </border>
    <border>
      <left/>
      <right style="hair">
        <color indexed="8"/>
      </right>
      <top/>
      <bottom style="hair">
        <color indexed="8"/>
      </bottom>
      <diagonal/>
    </border>
    <border>
      <left style="hair">
        <color indexed="8"/>
      </left>
      <right style="medium">
        <color indexed="64"/>
      </right>
      <top/>
      <bottom style="hair">
        <color indexed="8"/>
      </bottom>
      <diagonal/>
    </border>
    <border>
      <left style="medium">
        <color indexed="64"/>
      </left>
      <right/>
      <top style="hair">
        <color indexed="8"/>
      </top>
      <bottom/>
      <diagonal/>
    </border>
    <border>
      <left/>
      <right style="medium">
        <color indexed="64"/>
      </right>
      <top style="hair">
        <color indexed="8"/>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8"/>
      </bottom>
      <diagonal/>
    </border>
    <border>
      <left/>
      <right style="hair">
        <color indexed="8"/>
      </right>
      <top style="hair">
        <color indexed="64"/>
      </top>
      <bottom style="hair">
        <color indexed="8"/>
      </bottom>
      <diagonal/>
    </border>
    <border>
      <left style="hair">
        <color indexed="8"/>
      </left>
      <right style="hair">
        <color indexed="8"/>
      </right>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style="medium">
        <color indexed="64"/>
      </right>
      <top style="hair">
        <color indexed="8"/>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s>
  <cellStyleXfs count="48">
    <xf numFmtId="0" fontId="0" fillId="0" borderId="0"/>
    <xf numFmtId="0" fontId="1" fillId="0" borderId="0"/>
    <xf numFmtId="0" fontId="4" fillId="0" borderId="0"/>
    <xf numFmtId="0" fontId="4" fillId="0" borderId="0"/>
    <xf numFmtId="44" fontId="1" fillId="0" borderId="0" applyFont="0" applyFill="0" applyBorder="0" applyAlignment="0" applyProtection="0"/>
    <xf numFmtId="9" fontId="1" fillId="0" borderId="0" applyFont="0" applyFill="0" applyBorder="0" applyAlignment="0" applyProtection="0"/>
    <xf numFmtId="0" fontId="4" fillId="0" borderId="0"/>
    <xf numFmtId="164" fontId="4" fillId="0" borderId="0" applyFont="0" applyFill="0" applyBorder="0" applyAlignment="0" applyProtection="0"/>
    <xf numFmtId="0" fontId="4" fillId="0" borderId="0" applyBorder="0"/>
    <xf numFmtId="9" fontId="4" fillId="0" borderId="0" applyFont="0" applyFill="0" applyBorder="0" applyAlignment="0" applyProtection="0"/>
    <xf numFmtId="0" fontId="10" fillId="0" borderId="0"/>
    <xf numFmtId="42" fontId="1" fillId="0" borderId="0" applyFont="0" applyFill="0" applyBorder="0" applyAlignment="0" applyProtection="0"/>
    <xf numFmtId="9" fontId="4" fillId="0" borderId="0" applyFill="0" applyBorder="0" applyAlignment="0" applyProtection="0"/>
    <xf numFmtId="166" fontId="4" fillId="0" borderId="0" applyFont="0" applyFill="0" applyBorder="0" applyAlignment="0" applyProtection="0"/>
    <xf numFmtId="0" fontId="12" fillId="0" borderId="0"/>
    <xf numFmtId="0" fontId="4" fillId="0" borderId="0"/>
    <xf numFmtId="172" fontId="1" fillId="0" borderId="0" applyFont="0" applyFill="0" applyBorder="0" applyAlignment="0" applyProtection="0"/>
    <xf numFmtId="0" fontId="4" fillId="0" borderId="0"/>
    <xf numFmtId="173" fontId="1" fillId="0" borderId="0" applyFont="0" applyFill="0" applyBorder="0" applyAlignment="0" applyProtection="0"/>
    <xf numFmtId="0" fontId="24" fillId="0" borderId="0" applyNumberFormat="0" applyFill="0" applyBorder="0" applyAlignment="0" applyProtection="0"/>
    <xf numFmtId="166" fontId="10" fillId="0" borderId="0" applyFont="0" applyFill="0" applyBorder="0" applyAlignment="0" applyProtection="0"/>
    <xf numFmtId="9" fontId="10" fillId="0" borderId="0" applyFont="0" applyFill="0" applyBorder="0" applyAlignment="0" applyProtection="0"/>
    <xf numFmtId="9" fontId="1" fillId="0" borderId="0" applyFont="0" applyFill="0" applyBorder="0" applyAlignment="0" applyProtection="0"/>
    <xf numFmtId="0" fontId="1" fillId="0" borderId="0"/>
    <xf numFmtId="9" fontId="2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0" fontId="4" fillId="0" borderId="0"/>
    <xf numFmtId="0" fontId="4"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4" fillId="0" borderId="0"/>
    <xf numFmtId="174" fontId="4" fillId="0" borderId="0" applyFont="0" applyFill="0" applyBorder="0" applyAlignment="0" applyProtection="0"/>
    <xf numFmtId="175" fontId="4" fillId="0" borderId="0" applyFont="0" applyFill="0" applyBorder="0" applyAlignment="0" applyProtection="0"/>
    <xf numFmtId="176" fontId="4"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4" fillId="0" borderId="0" applyBorder="0"/>
    <xf numFmtId="0" fontId="1" fillId="0" borderId="0"/>
  </cellStyleXfs>
  <cellXfs count="869">
    <xf numFmtId="0" fontId="0" fillId="0" borderId="0" xfId="0"/>
    <xf numFmtId="0" fontId="6" fillId="0" borderId="4" xfId="0" applyFont="1" applyBorder="1" applyAlignment="1">
      <alignment horizontal="center" vertical="center"/>
    </xf>
    <xf numFmtId="0" fontId="6" fillId="0" borderId="2" xfId="0" applyFont="1" applyBorder="1" applyAlignment="1">
      <alignment vertical="center"/>
    </xf>
    <xf numFmtId="0" fontId="6" fillId="0" borderId="13"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vertical="center"/>
    </xf>
    <xf numFmtId="2" fontId="6" fillId="0" borderId="0" xfId="0" applyNumberFormat="1" applyFont="1" applyAlignment="1">
      <alignment horizontal="center" vertical="center"/>
    </xf>
    <xf numFmtId="0" fontId="5" fillId="2" borderId="20" xfId="3" applyFont="1" applyFill="1" applyBorder="1" applyAlignment="1">
      <alignment vertical="center"/>
    </xf>
    <xf numFmtId="0" fontId="5" fillId="2" borderId="21" xfId="3" applyFont="1" applyFill="1" applyBorder="1" applyAlignment="1">
      <alignment vertical="center"/>
    </xf>
    <xf numFmtId="2" fontId="6" fillId="0" borderId="2" xfId="0" applyNumberFormat="1" applyFont="1" applyBorder="1" applyAlignment="1">
      <alignment horizontal="center" vertical="center"/>
    </xf>
    <xf numFmtId="2" fontId="6" fillId="0" borderId="27" xfId="0" applyNumberFormat="1" applyFont="1" applyBorder="1" applyAlignment="1">
      <alignment horizontal="center" vertical="center"/>
    </xf>
    <xf numFmtId="44" fontId="6" fillId="0" borderId="2" xfId="4" applyFont="1" applyBorder="1" applyAlignment="1">
      <alignment horizontal="center" vertical="center"/>
    </xf>
    <xf numFmtId="44" fontId="5" fillId="2" borderId="21" xfId="4" applyFont="1" applyFill="1" applyBorder="1" applyAlignment="1">
      <alignment vertical="center"/>
    </xf>
    <xf numFmtId="44" fontId="5" fillId="2" borderId="3" xfId="4" applyFont="1" applyFill="1" applyBorder="1" applyAlignment="1">
      <alignment vertical="center"/>
    </xf>
    <xf numFmtId="44" fontId="5" fillId="2" borderId="6" xfId="3" applyNumberFormat="1" applyFont="1" applyFill="1" applyBorder="1" applyAlignment="1">
      <alignment vertical="center"/>
    </xf>
    <xf numFmtId="44" fontId="5" fillId="2" borderId="10" xfId="3" applyNumberFormat="1" applyFont="1" applyFill="1" applyBorder="1" applyAlignment="1">
      <alignment vertical="center"/>
    </xf>
    <xf numFmtId="0" fontId="2" fillId="0" borderId="0" xfId="1" applyFont="1" applyAlignment="1">
      <alignment vertical="center"/>
    </xf>
    <xf numFmtId="2" fontId="6" fillId="0" borderId="11" xfId="0" applyNumberFormat="1" applyFont="1" applyBorder="1" applyAlignment="1">
      <alignment horizontal="center" vertical="center"/>
    </xf>
    <xf numFmtId="0" fontId="6" fillId="0" borderId="36" xfId="0" applyFont="1" applyBorder="1" applyAlignment="1">
      <alignment horizontal="center" vertical="center"/>
    </xf>
    <xf numFmtId="2" fontId="6" fillId="0" borderId="35" xfId="0" applyNumberFormat="1" applyFont="1" applyBorder="1" applyAlignment="1">
      <alignment horizontal="center" vertical="center"/>
    </xf>
    <xf numFmtId="0" fontId="2" fillId="0" borderId="0" xfId="0" applyFont="1"/>
    <xf numFmtId="0" fontId="2" fillId="0" borderId="0" xfId="0" applyFont="1" applyAlignment="1">
      <alignment vertical="center"/>
    </xf>
    <xf numFmtId="0" fontId="2" fillId="0" borderId="41" xfId="0" applyFont="1" applyBorder="1"/>
    <xf numFmtId="0" fontId="2" fillId="0" borderId="42" xfId="0" applyFont="1" applyBorder="1"/>
    <xf numFmtId="44" fontId="8" fillId="0" borderId="5" xfId="4" applyFont="1" applyFill="1" applyBorder="1" applyAlignment="1">
      <alignment horizontal="center" vertical="center" wrapText="1"/>
    </xf>
    <xf numFmtId="0" fontId="3" fillId="0" borderId="0" xfId="0" applyFont="1" applyAlignment="1">
      <alignment horizontal="left" vertical="center"/>
    </xf>
    <xf numFmtId="44" fontId="8" fillId="0" borderId="42" xfId="4" applyFont="1" applyFill="1" applyBorder="1" applyAlignment="1">
      <alignment horizontal="center" vertical="center" wrapText="1"/>
    </xf>
    <xf numFmtId="0" fontId="2" fillId="0" borderId="43" xfId="0" applyFont="1" applyBorder="1"/>
    <xf numFmtId="0" fontId="2" fillId="0" borderId="5" xfId="0" applyFont="1" applyBorder="1" applyAlignment="1">
      <alignment vertical="center"/>
    </xf>
    <xf numFmtId="0" fontId="3" fillId="0" borderId="5" xfId="0" applyFont="1" applyBorder="1" applyAlignment="1">
      <alignment vertical="center"/>
    </xf>
    <xf numFmtId="0" fontId="3" fillId="0" borderId="5" xfId="0" applyFont="1" applyBorder="1" applyAlignment="1">
      <alignment horizontal="center" vertical="center"/>
    </xf>
    <xf numFmtId="0" fontId="2" fillId="0" borderId="5" xfId="0" applyFont="1" applyBorder="1" applyAlignment="1">
      <alignment horizontal="center" vertical="center"/>
    </xf>
    <xf numFmtId="0" fontId="2" fillId="0" borderId="5" xfId="0" applyFont="1" applyBorder="1" applyAlignment="1">
      <alignment horizontal="center" vertical="center" wrapText="1"/>
    </xf>
    <xf numFmtId="10" fontId="2" fillId="0" borderId="5" xfId="5" applyNumberFormat="1" applyFont="1" applyBorder="1" applyAlignment="1">
      <alignment horizontal="center" vertical="center"/>
    </xf>
    <xf numFmtId="2" fontId="2" fillId="0" borderId="5" xfId="0" applyNumberFormat="1" applyFont="1" applyBorder="1" applyAlignment="1">
      <alignment horizontal="center" vertical="center"/>
    </xf>
    <xf numFmtId="0" fontId="13" fillId="0" borderId="0" xfId="3" applyFont="1" applyAlignment="1">
      <alignment horizontal="center" vertical="center" wrapText="1"/>
    </xf>
    <xf numFmtId="0" fontId="15" fillId="0" borderId="0" xfId="3" applyFont="1" applyAlignment="1">
      <alignment horizontal="center" vertical="center" wrapText="1"/>
    </xf>
    <xf numFmtId="0" fontId="13" fillId="0" borderId="0" xfId="3" applyFont="1" applyAlignment="1">
      <alignment vertical="center" wrapText="1"/>
    </xf>
    <xf numFmtId="165" fontId="13" fillId="0" borderId="0" xfId="3" applyNumberFormat="1" applyFont="1" applyAlignment="1">
      <alignment vertical="center" wrapText="1"/>
    </xf>
    <xf numFmtId="169" fontId="13" fillId="0" borderId="0" xfId="3" applyNumberFormat="1" applyFont="1" applyAlignment="1">
      <alignment vertical="center" wrapText="1"/>
    </xf>
    <xf numFmtId="0" fontId="13" fillId="0" borderId="16" xfId="3" applyFont="1" applyBorder="1" applyAlignment="1">
      <alignment vertical="center" wrapText="1"/>
    </xf>
    <xf numFmtId="0" fontId="13" fillId="0" borderId="5" xfId="3" applyFont="1" applyBorder="1" applyAlignment="1">
      <alignment vertical="center" wrapText="1"/>
    </xf>
    <xf numFmtId="49" fontId="16" fillId="0" borderId="0" xfId="3" applyNumberFormat="1" applyFont="1" applyAlignment="1">
      <alignment horizontal="center" vertical="center" wrapText="1"/>
    </xf>
    <xf numFmtId="0" fontId="8" fillId="0" borderId="0" xfId="3" applyFont="1"/>
    <xf numFmtId="0" fontId="8" fillId="0" borderId="0" xfId="3" applyFont="1" applyAlignment="1">
      <alignment wrapText="1"/>
    </xf>
    <xf numFmtId="10" fontId="8" fillId="0" borderId="0" xfId="9" applyNumberFormat="1" applyFont="1"/>
    <xf numFmtId="166" fontId="8" fillId="0" borderId="0" xfId="13" applyFont="1" applyAlignment="1">
      <alignment horizontal="left"/>
    </xf>
    <xf numFmtId="0" fontId="8" fillId="0" borderId="0" xfId="3" applyFont="1" applyAlignment="1">
      <alignment horizontal="left"/>
    </xf>
    <xf numFmtId="0" fontId="17" fillId="0" borderId="0" xfId="3" applyFont="1"/>
    <xf numFmtId="170" fontId="8" fillId="0" borderId="0" xfId="3" applyNumberFormat="1" applyFont="1" applyAlignment="1">
      <alignment horizontal="left"/>
    </xf>
    <xf numFmtId="10" fontId="5" fillId="0" borderId="0" xfId="9" applyNumberFormat="1" applyFont="1" applyAlignment="1">
      <alignment vertical="center"/>
    </xf>
    <xf numFmtId="0" fontId="8" fillId="0" borderId="44" xfId="3" applyFont="1" applyBorder="1" applyAlignment="1">
      <alignment horizontal="center" vertical="center"/>
    </xf>
    <xf numFmtId="167" fontId="5" fillId="0" borderId="44" xfId="3" applyNumberFormat="1" applyFont="1" applyBorder="1" applyAlignment="1">
      <alignment horizontal="center" vertical="center"/>
    </xf>
    <xf numFmtId="167" fontId="18" fillId="0" borderId="44" xfId="3" applyNumberFormat="1" applyFont="1" applyBorder="1" applyAlignment="1">
      <alignment horizontal="center" vertical="center"/>
    </xf>
    <xf numFmtId="0" fontId="8" fillId="0" borderId="0" xfId="3" applyFont="1" applyAlignment="1">
      <alignment horizontal="center" vertical="center"/>
    </xf>
    <xf numFmtId="0" fontId="5" fillId="0" borderId="0" xfId="3" applyFont="1"/>
    <xf numFmtId="168" fontId="5" fillId="0" borderId="45" xfId="3" applyNumberFormat="1" applyFont="1" applyBorder="1" applyAlignment="1">
      <alignment horizontal="center" vertical="center" wrapText="1" shrinkToFit="1"/>
    </xf>
    <xf numFmtId="168" fontId="5" fillId="0" borderId="46" xfId="3" applyNumberFormat="1" applyFont="1" applyBorder="1" applyAlignment="1">
      <alignment horizontal="center" vertical="center" wrapText="1" shrinkToFit="1"/>
    </xf>
    <xf numFmtId="168" fontId="5" fillId="0" borderId="46" xfId="3" applyNumberFormat="1" applyFont="1" applyBorder="1" applyAlignment="1">
      <alignment horizontal="center" vertical="center" wrapText="1"/>
    </xf>
    <xf numFmtId="168" fontId="5" fillId="0" borderId="47" xfId="3" applyNumberFormat="1" applyFont="1" applyBorder="1" applyAlignment="1">
      <alignment horizontal="center" vertical="center" wrapText="1"/>
    </xf>
    <xf numFmtId="0" fontId="8" fillId="0" borderId="48" xfId="3" applyFont="1" applyBorder="1"/>
    <xf numFmtId="167" fontId="8" fillId="0" borderId="49" xfId="13" applyNumberFormat="1" applyFont="1" applyFill="1" applyBorder="1" applyAlignment="1">
      <alignment horizontal="center" vertical="center" wrapText="1"/>
    </xf>
    <xf numFmtId="10" fontId="8" fillId="0" borderId="49" xfId="9" applyNumberFormat="1" applyFont="1" applyFill="1" applyBorder="1" applyAlignment="1">
      <alignment horizontal="center" vertical="center" wrapText="1"/>
    </xf>
    <xf numFmtId="0" fontId="8" fillId="0" borderId="49" xfId="3" applyFont="1" applyBorder="1" applyAlignment="1">
      <alignment horizontal="center" vertical="center"/>
    </xf>
    <xf numFmtId="167" fontId="8" fillId="0" borderId="50" xfId="13" applyNumberFormat="1" applyFont="1" applyFill="1" applyBorder="1" applyAlignment="1">
      <alignment horizontal="center" vertical="center" wrapText="1"/>
    </xf>
    <xf numFmtId="0" fontId="8" fillId="0" borderId="51" xfId="3" applyFont="1" applyBorder="1"/>
    <xf numFmtId="167" fontId="8" fillId="0" borderId="52" xfId="13" applyNumberFormat="1" applyFont="1" applyFill="1" applyBorder="1" applyAlignment="1">
      <alignment horizontal="center" vertical="center" wrapText="1"/>
    </xf>
    <xf numFmtId="0" fontId="8" fillId="0" borderId="52" xfId="3" applyFont="1" applyBorder="1" applyAlignment="1">
      <alignment horizontal="center" vertical="center"/>
    </xf>
    <xf numFmtId="167" fontId="8" fillId="0" borderId="53" xfId="13" applyNumberFormat="1" applyFont="1" applyFill="1" applyBorder="1" applyAlignment="1">
      <alignment horizontal="center" vertical="center" wrapText="1"/>
    </xf>
    <xf numFmtId="0" fontId="8" fillId="0" borderId="54" xfId="3" applyFont="1" applyBorder="1"/>
    <xf numFmtId="167" fontId="8" fillId="0" borderId="55" xfId="13" applyNumberFormat="1" applyFont="1" applyFill="1" applyBorder="1" applyAlignment="1">
      <alignment horizontal="center" vertical="center" wrapText="1"/>
    </xf>
    <xf numFmtId="171" fontId="8" fillId="0" borderId="55" xfId="9" applyNumberFormat="1" applyFont="1" applyFill="1" applyBorder="1" applyAlignment="1">
      <alignment horizontal="center" vertical="center" wrapText="1"/>
    </xf>
    <xf numFmtId="0" fontId="8" fillId="0" borderId="56" xfId="3" applyFont="1" applyBorder="1" applyAlignment="1">
      <alignment horizontal="center" vertical="center"/>
    </xf>
    <xf numFmtId="167" fontId="8" fillId="0" borderId="56" xfId="13" applyNumberFormat="1" applyFont="1" applyFill="1" applyBorder="1" applyAlignment="1">
      <alignment horizontal="center" vertical="center" wrapText="1"/>
    </xf>
    <xf numFmtId="167" fontId="8" fillId="0" borderId="57" xfId="13" applyNumberFormat="1" applyFont="1" applyFill="1" applyBorder="1" applyAlignment="1">
      <alignment horizontal="center" vertical="center" wrapText="1"/>
    </xf>
    <xf numFmtId="0" fontId="5" fillId="0" borderId="58" xfId="3" applyFont="1" applyBorder="1" applyAlignment="1">
      <alignment horizontal="center" vertical="center"/>
    </xf>
    <xf numFmtId="167" fontId="5" fillId="0" borderId="59" xfId="3" applyNumberFormat="1" applyFont="1" applyBorder="1" applyAlignment="1">
      <alignment horizontal="center" vertical="center"/>
    </xf>
    <xf numFmtId="167" fontId="5" fillId="0" borderId="60" xfId="3" applyNumberFormat="1" applyFont="1" applyBorder="1" applyAlignment="1">
      <alignment horizontal="center" vertical="center"/>
    </xf>
    <xf numFmtId="0" fontId="5" fillId="0" borderId="0" xfId="3" applyFont="1" applyAlignment="1">
      <alignment horizontal="center" vertical="center"/>
    </xf>
    <xf numFmtId="167" fontId="5" fillId="0" borderId="0" xfId="3" applyNumberFormat="1" applyFont="1" applyAlignment="1">
      <alignment horizontal="center" vertical="center"/>
    </xf>
    <xf numFmtId="44" fontId="8" fillId="0" borderId="55" xfId="13" applyNumberFormat="1" applyFont="1" applyFill="1" applyBorder="1" applyAlignment="1">
      <alignment horizontal="center" vertical="center" wrapText="1"/>
    </xf>
    <xf numFmtId="165" fontId="8" fillId="0" borderId="0" xfId="3" applyNumberFormat="1" applyFont="1" applyAlignment="1">
      <alignment wrapText="1"/>
    </xf>
    <xf numFmtId="0" fontId="8" fillId="0" borderId="0" xfId="3" applyFont="1" applyAlignment="1">
      <alignment horizontal="center"/>
    </xf>
    <xf numFmtId="44" fontId="8" fillId="0" borderId="0" xfId="4" applyFont="1"/>
    <xf numFmtId="0" fontId="8" fillId="0" borderId="0" xfId="3" applyFont="1" applyAlignment="1">
      <alignment vertical="center" wrapText="1"/>
    </xf>
    <xf numFmtId="0" fontId="8" fillId="0" borderId="0" xfId="3" applyFont="1" applyAlignment="1">
      <alignment horizontal="center" vertical="center" wrapText="1"/>
    </xf>
    <xf numFmtId="0" fontId="5" fillId="0" borderId="0" xfId="3" applyFont="1" applyAlignment="1">
      <alignment horizontal="center" vertical="center" wrapText="1"/>
    </xf>
    <xf numFmtId="3" fontId="8" fillId="0" borderId="5" xfId="3" applyNumberFormat="1" applyFont="1" applyBorder="1" applyAlignment="1">
      <alignment horizontal="center" vertical="center" wrapText="1"/>
    </xf>
    <xf numFmtId="165" fontId="8" fillId="0" borderId="5" xfId="13" applyNumberFormat="1" applyFont="1" applyFill="1" applyBorder="1" applyAlignment="1">
      <alignment horizontal="center" vertical="center" wrapText="1"/>
    </xf>
    <xf numFmtId="0" fontId="8" fillId="0" borderId="5" xfId="3" applyFont="1" applyBorder="1" applyAlignment="1">
      <alignment wrapText="1"/>
    </xf>
    <xf numFmtId="3" fontId="8" fillId="0" borderId="5" xfId="15" applyNumberFormat="1" applyFont="1" applyBorder="1" applyAlignment="1">
      <alignment horizontal="center" vertical="center" wrapText="1"/>
    </xf>
    <xf numFmtId="165" fontId="8" fillId="0" borderId="5" xfId="16" applyNumberFormat="1" applyFont="1" applyFill="1" applyBorder="1" applyAlignment="1">
      <alignment horizontal="center" vertical="center" wrapText="1"/>
    </xf>
    <xf numFmtId="0" fontId="8" fillId="0" borderId="0" xfId="15" applyFont="1" applyAlignment="1">
      <alignment horizontal="left" vertical="center" wrapText="1" shrinkToFit="1"/>
    </xf>
    <xf numFmtId="3" fontId="8" fillId="0" borderId="0" xfId="15" applyNumberFormat="1" applyFont="1" applyAlignment="1">
      <alignment horizontal="center" vertical="center" wrapText="1"/>
    </xf>
    <xf numFmtId="165" fontId="8" fillId="0" borderId="0" xfId="16" applyNumberFormat="1" applyFont="1" applyFill="1" applyBorder="1" applyAlignment="1">
      <alignment horizontal="center" vertical="center" wrapText="1"/>
    </xf>
    <xf numFmtId="0" fontId="8" fillId="0" borderId="0" xfId="3" applyFont="1" applyAlignment="1">
      <alignment horizontal="left" vertical="center" wrapText="1" shrinkToFit="1"/>
    </xf>
    <xf numFmtId="3" fontId="8" fillId="0" borderId="0" xfId="3" applyNumberFormat="1" applyFont="1" applyAlignment="1">
      <alignment horizontal="center" vertical="center" wrapText="1"/>
    </xf>
    <xf numFmtId="165" fontId="8" fillId="0" borderId="0" xfId="13" applyNumberFormat="1" applyFont="1" applyFill="1" applyBorder="1" applyAlignment="1">
      <alignment horizontal="center" vertical="center" wrapText="1"/>
    </xf>
    <xf numFmtId="0" fontId="8" fillId="0" borderId="5" xfId="3" applyFont="1" applyBorder="1" applyAlignment="1">
      <alignment horizontal="center" vertical="center" wrapText="1"/>
    </xf>
    <xf numFmtId="0" fontId="8" fillId="0" borderId="40" xfId="3" applyFont="1" applyBorder="1" applyAlignment="1">
      <alignment wrapText="1"/>
    </xf>
    <xf numFmtId="168" fontId="5" fillId="0" borderId="5" xfId="3" applyNumberFormat="1" applyFont="1" applyBorder="1" applyAlignment="1">
      <alignment horizontal="center" vertical="center" wrapText="1"/>
    </xf>
    <xf numFmtId="3" fontId="5" fillId="0" borderId="5" xfId="3" applyNumberFormat="1" applyFont="1" applyBorder="1" applyAlignment="1">
      <alignment horizontal="center" vertical="center" wrapText="1"/>
    </xf>
    <xf numFmtId="0" fontId="8" fillId="0" borderId="5" xfId="3" applyFont="1" applyBorder="1"/>
    <xf numFmtId="167" fontId="8" fillId="0" borderId="5" xfId="13" applyNumberFormat="1" applyFont="1" applyFill="1" applyBorder="1" applyAlignment="1">
      <alignment horizontal="center" vertical="center" wrapText="1"/>
    </xf>
    <xf numFmtId="49" fontId="8" fillId="0" borderId="5" xfId="3" applyNumberFormat="1" applyFont="1" applyBorder="1"/>
    <xf numFmtId="167" fontId="8" fillId="0" borderId="5" xfId="3" applyNumberFormat="1" applyFont="1" applyBorder="1"/>
    <xf numFmtId="44" fontId="3" fillId="4" borderId="5" xfId="0" applyNumberFormat="1" applyFont="1" applyFill="1" applyBorder="1" applyAlignment="1">
      <alignment vertical="center"/>
    </xf>
    <xf numFmtId="9" fontId="2" fillId="0" borderId="5" xfId="5" applyFont="1" applyBorder="1" applyAlignment="1">
      <alignment horizontal="center" vertical="center"/>
    </xf>
    <xf numFmtId="0" fontId="6" fillId="0" borderId="0" xfId="0" applyFont="1" applyAlignment="1">
      <alignment horizontal="center" vertical="center" wrapText="1"/>
    </xf>
    <xf numFmtId="0" fontId="6" fillId="0" borderId="66" xfId="0" applyFont="1" applyBorder="1" applyAlignment="1">
      <alignment horizontal="center" vertical="center"/>
    </xf>
    <xf numFmtId="44" fontId="6" fillId="0" borderId="11" xfId="4" applyFont="1" applyFill="1" applyBorder="1" applyAlignment="1">
      <alignment horizontal="center" vertical="center"/>
    </xf>
    <xf numFmtId="0" fontId="6" fillId="0" borderId="13" xfId="0" applyFont="1" applyBorder="1" applyAlignment="1">
      <alignment vertical="center" wrapText="1"/>
    </xf>
    <xf numFmtId="0" fontId="5" fillId="2" borderId="62" xfId="3" applyFont="1" applyFill="1" applyBorder="1" applyAlignment="1">
      <alignment horizontal="right" vertical="center"/>
    </xf>
    <xf numFmtId="0" fontId="5" fillId="2" borderId="63" xfId="3" applyFont="1" applyFill="1" applyBorder="1" applyAlignment="1">
      <alignment horizontal="right" vertical="center"/>
    </xf>
    <xf numFmtId="0" fontId="5" fillId="2" borderId="64" xfId="3" applyFont="1" applyFill="1" applyBorder="1" applyAlignment="1">
      <alignment horizontal="right" vertical="center"/>
    </xf>
    <xf numFmtId="2" fontId="2" fillId="0" borderId="5" xfId="0" applyNumberFormat="1" applyFont="1" applyBorder="1" applyAlignment="1">
      <alignment horizontal="left" vertical="center"/>
    </xf>
    <xf numFmtId="2" fontId="24" fillId="0" borderId="5" xfId="19" applyNumberFormat="1" applyBorder="1" applyAlignment="1">
      <alignment horizontal="left" vertical="center"/>
    </xf>
    <xf numFmtId="0" fontId="3" fillId="0" borderId="0" xfId="0" applyFont="1"/>
    <xf numFmtId="2" fontId="24" fillId="0" borderId="5" xfId="19" applyNumberFormat="1" applyBorder="1" applyAlignment="1">
      <alignment horizontal="center" vertical="center"/>
    </xf>
    <xf numFmtId="0" fontId="6" fillId="0" borderId="11" xfId="0" applyFont="1" applyBorder="1" applyAlignment="1">
      <alignment horizontal="center" vertical="center"/>
    </xf>
    <xf numFmtId="0" fontId="6" fillId="0" borderId="11" xfId="0" applyFont="1" applyBorder="1" applyAlignment="1">
      <alignment vertical="center"/>
    </xf>
    <xf numFmtId="0" fontId="9" fillId="0" borderId="11" xfId="0" applyFont="1" applyBorder="1" applyAlignment="1">
      <alignment horizontal="center" vertical="center"/>
    </xf>
    <xf numFmtId="0" fontId="25" fillId="0" borderId="4" xfId="19" applyFont="1" applyBorder="1" applyAlignment="1">
      <alignment horizontal="center" vertical="center"/>
    </xf>
    <xf numFmtId="2" fontId="25" fillId="0" borderId="61" xfId="19" applyNumberFormat="1" applyFont="1" applyBorder="1" applyAlignment="1">
      <alignment horizontal="center" vertical="center"/>
    </xf>
    <xf numFmtId="0" fontId="25" fillId="0" borderId="4" xfId="19" applyFont="1" applyFill="1" applyBorder="1" applyAlignment="1">
      <alignment horizontal="center" vertical="center"/>
    </xf>
    <xf numFmtId="2" fontId="25" fillId="0" borderId="4" xfId="19" applyNumberFormat="1" applyFont="1" applyFill="1" applyBorder="1" applyAlignment="1">
      <alignment horizontal="center" vertical="center"/>
    </xf>
    <xf numFmtId="44" fontId="6" fillId="0" borderId="6" xfId="4" applyFont="1" applyBorder="1" applyAlignment="1">
      <alignment vertical="center"/>
    </xf>
    <xf numFmtId="0" fontId="6" fillId="0" borderId="8" xfId="0" applyFont="1" applyBorder="1" applyAlignment="1">
      <alignment horizontal="center" vertical="center"/>
    </xf>
    <xf numFmtId="0" fontId="11" fillId="0" borderId="12" xfId="0" applyFont="1" applyBorder="1" applyAlignment="1">
      <alignment horizontal="center" vertical="center"/>
    </xf>
    <xf numFmtId="0" fontId="11" fillId="0" borderId="13" xfId="0" applyFont="1" applyBorder="1" applyAlignment="1">
      <alignment horizontal="center" vertical="center"/>
    </xf>
    <xf numFmtId="0" fontId="11" fillId="0" borderId="68" xfId="0" applyFont="1" applyBorder="1" applyAlignment="1">
      <alignment horizontal="center" vertical="center" wrapText="1"/>
    </xf>
    <xf numFmtId="0" fontId="5" fillId="0" borderId="4" xfId="3" applyFont="1" applyBorder="1" applyAlignment="1">
      <alignment horizontal="center" vertical="center" wrapText="1"/>
    </xf>
    <xf numFmtId="3" fontId="5" fillId="0" borderId="6" xfId="3" applyNumberFormat="1" applyFont="1" applyBorder="1" applyAlignment="1">
      <alignment horizontal="center" vertical="center" wrapText="1"/>
    </xf>
    <xf numFmtId="0" fontId="8" fillId="0" borderId="4" xfId="3" applyFont="1" applyBorder="1" applyAlignment="1">
      <alignment horizontal="center" vertical="center" wrapText="1"/>
    </xf>
    <xf numFmtId="165" fontId="8" fillId="0" borderId="6" xfId="13" applyNumberFormat="1" applyFont="1" applyFill="1" applyBorder="1" applyAlignment="1">
      <alignment horizontal="center" vertical="center" wrapText="1"/>
    </xf>
    <xf numFmtId="165" fontId="8" fillId="0" borderId="6" xfId="16" applyNumberFormat="1" applyFont="1" applyFill="1" applyBorder="1" applyAlignment="1">
      <alignment horizontal="center" vertical="center" wrapText="1"/>
    </xf>
    <xf numFmtId="0" fontId="8" fillId="0" borderId="7" xfId="15" applyFont="1" applyBorder="1" applyAlignment="1">
      <alignment horizontal="center" vertical="center" wrapText="1"/>
    </xf>
    <xf numFmtId="3" fontId="8" fillId="0" borderId="8" xfId="15" applyNumberFormat="1" applyFont="1" applyBorder="1" applyAlignment="1">
      <alignment horizontal="center" vertical="center" wrapText="1"/>
    </xf>
    <xf numFmtId="165" fontId="8" fillId="0" borderId="8" xfId="16" applyNumberFormat="1" applyFont="1" applyFill="1" applyBorder="1" applyAlignment="1">
      <alignment horizontal="center" vertical="center" wrapText="1"/>
    </xf>
    <xf numFmtId="165" fontId="8" fillId="0" borderId="10" xfId="16" applyNumberFormat="1" applyFont="1" applyFill="1" applyBorder="1" applyAlignment="1">
      <alignment horizontal="center" vertical="center" wrapText="1"/>
    </xf>
    <xf numFmtId="0" fontId="5" fillId="2" borderId="37" xfId="3" applyFont="1" applyFill="1" applyBorder="1" applyAlignment="1">
      <alignment horizontal="center" vertical="center"/>
    </xf>
    <xf numFmtId="0" fontId="5" fillId="2" borderId="38" xfId="3" applyFont="1" applyFill="1" applyBorder="1" applyAlignment="1">
      <alignment vertical="center"/>
    </xf>
    <xf numFmtId="0" fontId="5" fillId="2" borderId="24" xfId="3" applyFont="1" applyFill="1" applyBorder="1" applyAlignment="1">
      <alignment vertical="center"/>
    </xf>
    <xf numFmtId="0" fontId="5" fillId="2" borderId="25" xfId="3" applyFont="1" applyFill="1" applyBorder="1" applyAlignment="1">
      <alignment vertical="center"/>
    </xf>
    <xf numFmtId="44" fontId="5" fillId="2" borderId="25" xfId="4" applyFont="1" applyFill="1" applyBorder="1" applyAlignment="1">
      <alignment vertical="center"/>
    </xf>
    <xf numFmtId="0" fontId="25" fillId="0" borderId="1" xfId="19" applyFont="1" applyFill="1" applyBorder="1" applyAlignment="1">
      <alignment horizontal="center" vertical="center"/>
    </xf>
    <xf numFmtId="0" fontId="6" fillId="0" borderId="2" xfId="0" applyFont="1" applyBorder="1" applyAlignment="1">
      <alignment horizontal="center" vertical="center"/>
    </xf>
    <xf numFmtId="44" fontId="6" fillId="0" borderId="2" xfId="4" applyFont="1" applyFill="1" applyBorder="1" applyAlignment="1">
      <alignment horizontal="center" vertical="center"/>
    </xf>
    <xf numFmtId="0" fontId="25" fillId="0" borderId="7" xfId="19" applyFont="1" applyFill="1" applyBorder="1" applyAlignment="1">
      <alignment horizontal="center" vertical="center"/>
    </xf>
    <xf numFmtId="2" fontId="6" fillId="0" borderId="8" xfId="0" applyNumberFormat="1" applyFont="1" applyBorder="1" applyAlignment="1">
      <alignment horizontal="center" vertical="center"/>
    </xf>
    <xf numFmtId="44" fontId="6" fillId="0" borderId="8" xfId="4" applyFont="1" applyFill="1" applyBorder="1" applyAlignment="1">
      <alignment horizontal="center" vertical="center"/>
    </xf>
    <xf numFmtId="0" fontId="6" fillId="0" borderId="8" xfId="0" applyFont="1" applyBorder="1" applyAlignment="1">
      <alignment vertical="center"/>
    </xf>
    <xf numFmtId="0" fontId="5" fillId="2" borderId="36" xfId="3" applyFont="1" applyFill="1" applyBorder="1" applyAlignment="1">
      <alignment horizontal="center" vertical="center"/>
    </xf>
    <xf numFmtId="44" fontId="6" fillId="0" borderId="11" xfId="4" applyFont="1" applyBorder="1" applyAlignment="1">
      <alignment horizontal="center" vertical="center"/>
    </xf>
    <xf numFmtId="0" fontId="24" fillId="0" borderId="5" xfId="19" applyFill="1" applyBorder="1" applyAlignment="1">
      <alignment horizontal="left" vertical="center"/>
    </xf>
    <xf numFmtId="0" fontId="25" fillId="0" borderId="1" xfId="19" applyFont="1" applyBorder="1" applyAlignment="1">
      <alignment horizontal="center" vertical="center"/>
    </xf>
    <xf numFmtId="0" fontId="25" fillId="0" borderId="61" xfId="19" applyFont="1" applyBorder="1" applyAlignment="1">
      <alignment horizontal="center" vertical="center"/>
    </xf>
    <xf numFmtId="0" fontId="6" fillId="0" borderId="70" xfId="0" applyFont="1" applyBorder="1" applyAlignment="1">
      <alignment horizontal="left" vertical="center"/>
    </xf>
    <xf numFmtId="0" fontId="6" fillId="0" borderId="70" xfId="0" applyFont="1" applyBorder="1" applyAlignment="1">
      <alignment horizontal="center" vertical="center"/>
    </xf>
    <xf numFmtId="44" fontId="6" fillId="0" borderId="71" xfId="4" applyFont="1" applyBorder="1" applyAlignment="1">
      <alignment vertical="center"/>
    </xf>
    <xf numFmtId="0" fontId="6" fillId="0" borderId="1" xfId="0" applyFont="1" applyBorder="1" applyAlignment="1">
      <alignment horizontal="center" vertical="center"/>
    </xf>
    <xf numFmtId="0" fontId="6" fillId="0" borderId="2" xfId="0" applyFont="1" applyBorder="1" applyAlignment="1">
      <alignment horizontal="left" vertical="center"/>
    </xf>
    <xf numFmtId="44" fontId="6" fillId="0" borderId="3" xfId="4" applyFont="1" applyBorder="1" applyAlignment="1">
      <alignment vertical="center"/>
    </xf>
    <xf numFmtId="44" fontId="2" fillId="0" borderId="0" xfId="0" applyNumberFormat="1" applyFont="1"/>
    <xf numFmtId="0" fontId="9" fillId="0" borderId="70" xfId="0" applyFont="1" applyBorder="1" applyAlignment="1">
      <alignment vertical="center" wrapText="1"/>
    </xf>
    <xf numFmtId="2" fontId="25" fillId="0" borderId="5" xfId="19" applyNumberFormat="1" applyFont="1" applyBorder="1" applyAlignment="1">
      <alignment horizontal="left" vertical="center"/>
    </xf>
    <xf numFmtId="0" fontId="25" fillId="0" borderId="12" xfId="19" applyFont="1" applyBorder="1" applyAlignment="1">
      <alignment horizontal="center" vertical="center"/>
    </xf>
    <xf numFmtId="2" fontId="6" fillId="0" borderId="70" xfId="0" applyNumberFormat="1" applyFont="1" applyBorder="1" applyAlignment="1">
      <alignment horizontal="center" vertical="center"/>
    </xf>
    <xf numFmtId="44" fontId="6" fillId="0" borderId="70" xfId="4" applyFont="1" applyFill="1" applyBorder="1" applyAlignment="1">
      <alignment horizontal="center" vertical="center"/>
    </xf>
    <xf numFmtId="0" fontId="6" fillId="0" borderId="72" xfId="0" applyFont="1" applyBorder="1" applyAlignment="1">
      <alignment horizontal="left" vertical="center"/>
    </xf>
    <xf numFmtId="0" fontId="6" fillId="0" borderId="72" xfId="0" applyFont="1" applyBorder="1" applyAlignment="1">
      <alignment horizontal="center" vertical="center"/>
    </xf>
    <xf numFmtId="167" fontId="8" fillId="0" borderId="0" xfId="3" applyNumberFormat="1" applyFont="1" applyAlignment="1">
      <alignment horizontal="center" vertical="center"/>
    </xf>
    <xf numFmtId="0" fontId="6" fillId="0" borderId="74" xfId="0" applyFont="1" applyBorder="1" applyAlignment="1">
      <alignment horizontal="center" vertical="center"/>
    </xf>
    <xf numFmtId="0" fontId="8" fillId="0" borderId="72" xfId="3" applyFont="1" applyBorder="1"/>
    <xf numFmtId="167" fontId="8" fillId="0" borderId="72" xfId="13" applyNumberFormat="1" applyFont="1" applyFill="1" applyBorder="1" applyAlignment="1">
      <alignment horizontal="center" vertical="center" wrapText="1"/>
    </xf>
    <xf numFmtId="0" fontId="6" fillId="0" borderId="72" xfId="0" applyFont="1" applyBorder="1" applyAlignment="1">
      <alignment vertical="center"/>
    </xf>
    <xf numFmtId="2" fontId="6" fillId="0" borderId="72" xfId="0" applyNumberFormat="1" applyFont="1" applyBorder="1" applyAlignment="1">
      <alignment horizontal="center" vertical="center"/>
    </xf>
    <xf numFmtId="44" fontId="6" fillId="0" borderId="72" xfId="4" applyFont="1" applyFill="1" applyBorder="1" applyAlignment="1">
      <alignment horizontal="center" vertical="center"/>
    </xf>
    <xf numFmtId="0" fontId="6" fillId="0" borderId="8" xfId="0" applyFont="1" applyBorder="1" applyAlignment="1">
      <alignment vertical="center" wrapText="1"/>
    </xf>
    <xf numFmtId="0" fontId="6" fillId="0" borderId="70" xfId="0" applyFont="1" applyBorder="1" applyAlignment="1">
      <alignment vertical="center"/>
    </xf>
    <xf numFmtId="2" fontId="2" fillId="0" borderId="72" xfId="0" applyNumberFormat="1" applyFont="1" applyBorder="1" applyAlignment="1">
      <alignment horizontal="center" vertical="center"/>
    </xf>
    <xf numFmtId="44" fontId="8" fillId="0" borderId="72" xfId="4" applyFont="1" applyFill="1" applyBorder="1" applyAlignment="1">
      <alignment horizontal="center" vertical="center" wrapText="1"/>
    </xf>
    <xf numFmtId="2" fontId="25" fillId="0" borderId="23" xfId="19" applyNumberFormat="1" applyFont="1" applyBorder="1" applyAlignment="1">
      <alignment horizontal="center" vertical="center"/>
    </xf>
    <xf numFmtId="0" fontId="6" fillId="0" borderId="2" xfId="0" applyFont="1" applyBorder="1" applyAlignment="1">
      <alignment vertical="center" wrapText="1"/>
    </xf>
    <xf numFmtId="0" fontId="6" fillId="0" borderId="11" xfId="0" applyFont="1" applyBorder="1" applyAlignment="1">
      <alignment vertical="center" wrapText="1"/>
    </xf>
    <xf numFmtId="2" fontId="25" fillId="0" borderId="77" xfId="19" applyNumberFormat="1" applyFont="1" applyBorder="1" applyAlignment="1">
      <alignment horizontal="center" vertical="center"/>
    </xf>
    <xf numFmtId="0" fontId="9" fillId="0" borderId="34" xfId="0" applyFont="1" applyBorder="1" applyAlignment="1">
      <alignment horizontal="center" vertical="center"/>
    </xf>
    <xf numFmtId="2" fontId="9" fillId="0" borderId="70" xfId="0" applyNumberFormat="1" applyFont="1" applyBorder="1" applyAlignment="1">
      <alignment horizontal="center" vertical="center"/>
    </xf>
    <xf numFmtId="44" fontId="9" fillId="0" borderId="70" xfId="4" applyFont="1" applyFill="1" applyBorder="1" applyAlignment="1">
      <alignment horizontal="center" vertical="center"/>
    </xf>
    <xf numFmtId="0" fontId="9" fillId="0" borderId="15" xfId="0" applyFont="1" applyBorder="1" applyAlignment="1">
      <alignment horizontal="center" vertical="center"/>
    </xf>
    <xf numFmtId="0" fontId="6" fillId="0" borderId="70" xfId="0" applyFont="1" applyBorder="1" applyAlignment="1">
      <alignment vertical="center" wrapText="1"/>
    </xf>
    <xf numFmtId="167" fontId="8" fillId="0" borderId="72" xfId="3" applyNumberFormat="1" applyFont="1" applyBorder="1"/>
    <xf numFmtId="3" fontId="8" fillId="0" borderId="72" xfId="3" applyNumberFormat="1" applyFont="1" applyBorder="1" applyAlignment="1">
      <alignment horizontal="center" vertical="center" wrapText="1"/>
    </xf>
    <xf numFmtId="165" fontId="8" fillId="0" borderId="72" xfId="13" applyNumberFormat="1" applyFont="1" applyFill="1" applyBorder="1" applyAlignment="1">
      <alignment horizontal="center" vertical="center" wrapText="1"/>
    </xf>
    <xf numFmtId="2" fontId="9" fillId="0" borderId="72" xfId="0" applyNumberFormat="1" applyFont="1" applyBorder="1" applyAlignment="1">
      <alignment horizontal="center" vertical="center"/>
    </xf>
    <xf numFmtId="0" fontId="6" fillId="0" borderId="72" xfId="0" applyFont="1" applyBorder="1" applyAlignment="1">
      <alignment horizontal="left" vertical="center" wrapText="1"/>
    </xf>
    <xf numFmtId="44" fontId="9" fillId="0" borderId="72" xfId="4" applyFont="1" applyFill="1" applyBorder="1" applyAlignment="1">
      <alignment horizontal="center" vertical="center"/>
    </xf>
    <xf numFmtId="44" fontId="6" fillId="0" borderId="13" xfId="4" applyFont="1" applyFill="1" applyBorder="1" applyAlignment="1">
      <alignment horizontal="center" vertical="center"/>
    </xf>
    <xf numFmtId="0" fontId="9" fillId="0" borderId="8" xfId="0" applyFont="1" applyBorder="1" applyAlignment="1">
      <alignment vertical="center" wrapText="1"/>
    </xf>
    <xf numFmtId="0" fontId="2" fillId="0" borderId="5" xfId="0" applyFont="1" applyBorder="1" applyAlignment="1">
      <alignment horizontal="center"/>
    </xf>
    <xf numFmtId="0" fontId="3" fillId="0" borderId="5" xfId="0" applyFont="1" applyBorder="1" applyAlignment="1">
      <alignment horizontal="center"/>
    </xf>
    <xf numFmtId="0" fontId="3" fillId="0" borderId="5" xfId="0" applyFont="1" applyBorder="1" applyAlignment="1">
      <alignment horizontal="center" vertical="center" wrapText="1"/>
    </xf>
    <xf numFmtId="0" fontId="3" fillId="0" borderId="72" xfId="0" applyFont="1" applyBorder="1" applyAlignment="1">
      <alignment horizontal="center" vertical="center"/>
    </xf>
    <xf numFmtId="0" fontId="3" fillId="0" borderId="72" xfId="0" applyFont="1" applyBorder="1" applyAlignment="1">
      <alignment vertical="center"/>
    </xf>
    <xf numFmtId="2" fontId="24" fillId="0" borderId="72" xfId="19" applyNumberFormat="1" applyBorder="1" applyAlignment="1">
      <alignment horizontal="left" vertical="center"/>
    </xf>
    <xf numFmtId="0" fontId="2" fillId="0" borderId="72" xfId="0" applyFont="1" applyBorder="1" applyAlignment="1">
      <alignment vertical="center"/>
    </xf>
    <xf numFmtId="0" fontId="2" fillId="0" borderId="72" xfId="0" applyFont="1" applyBorder="1" applyAlignment="1">
      <alignment horizontal="center" vertical="center"/>
    </xf>
    <xf numFmtId="0" fontId="2" fillId="0" borderId="72" xfId="0" applyFont="1" applyBorder="1" applyAlignment="1">
      <alignment horizontal="center" vertical="center" wrapText="1"/>
    </xf>
    <xf numFmtId="10" fontId="2" fillId="0" borderId="72" xfId="5" applyNumberFormat="1" applyFont="1" applyBorder="1" applyAlignment="1">
      <alignment horizontal="center" vertical="center"/>
    </xf>
    <xf numFmtId="9" fontId="2" fillId="0" borderId="72" xfId="5" applyFont="1" applyBorder="1" applyAlignment="1">
      <alignment horizontal="center" vertical="center"/>
    </xf>
    <xf numFmtId="44" fontId="3" fillId="4" borderId="72" xfId="0" applyNumberFormat="1" applyFont="1" applyFill="1" applyBorder="1" applyAlignment="1">
      <alignment vertical="center"/>
    </xf>
    <xf numFmtId="2" fontId="2" fillId="6" borderId="72" xfId="0" applyNumberFormat="1" applyFont="1" applyFill="1" applyBorder="1" applyAlignment="1">
      <alignment horizontal="center" vertical="center"/>
    </xf>
    <xf numFmtId="44" fontId="8" fillId="6" borderId="72" xfId="4" applyFont="1" applyFill="1" applyBorder="1" applyAlignment="1">
      <alignment horizontal="center" vertical="center" wrapText="1"/>
    </xf>
    <xf numFmtId="9" fontId="2" fillId="0" borderId="72" xfId="5" applyFont="1" applyFill="1" applyBorder="1" applyAlignment="1">
      <alignment horizontal="center" vertical="center"/>
    </xf>
    <xf numFmtId="0" fontId="2" fillId="6" borderId="72" xfId="0" applyFont="1" applyFill="1" applyBorder="1" applyAlignment="1">
      <alignment horizontal="center" vertical="center"/>
    </xf>
    <xf numFmtId="0" fontId="24" fillId="0" borderId="72" xfId="19" applyFill="1" applyBorder="1" applyAlignment="1">
      <alignment horizontal="left" vertical="center"/>
    </xf>
    <xf numFmtId="0" fontId="5" fillId="2" borderId="1" xfId="3" applyFont="1" applyFill="1" applyBorder="1" applyAlignment="1">
      <alignment vertical="center"/>
    </xf>
    <xf numFmtId="9" fontId="8" fillId="2" borderId="4" xfId="5" applyFont="1" applyFill="1" applyBorder="1" applyAlignment="1">
      <alignment horizontal="center" vertical="center"/>
    </xf>
    <xf numFmtId="0" fontId="5" fillId="2" borderId="30" xfId="3" applyFont="1" applyFill="1" applyBorder="1" applyAlignment="1">
      <alignment vertical="center"/>
    </xf>
    <xf numFmtId="44" fontId="5" fillId="2" borderId="71" xfId="3" applyNumberFormat="1" applyFont="1" applyFill="1" applyBorder="1" applyAlignment="1">
      <alignment vertical="center"/>
    </xf>
    <xf numFmtId="0" fontId="5" fillId="2" borderId="7" xfId="3" applyFont="1" applyFill="1" applyBorder="1" applyAlignment="1">
      <alignment vertical="center"/>
    </xf>
    <xf numFmtId="2" fontId="6" fillId="0" borderId="12" xfId="0" applyNumberFormat="1" applyFont="1" applyBorder="1" applyAlignment="1">
      <alignment horizontal="center" vertical="center"/>
    </xf>
    <xf numFmtId="2" fontId="6" fillId="0" borderId="13" xfId="0" applyNumberFormat="1" applyFont="1" applyBorder="1" applyAlignment="1">
      <alignment horizontal="center" vertical="center"/>
    </xf>
    <xf numFmtId="2" fontId="6" fillId="0" borderId="22" xfId="0" applyNumberFormat="1" applyFont="1" applyBorder="1" applyAlignment="1">
      <alignment horizontal="center" vertical="center"/>
    </xf>
    <xf numFmtId="44" fontId="5" fillId="2" borderId="2" xfId="4" applyFont="1" applyFill="1" applyBorder="1" applyAlignment="1">
      <alignment vertical="center"/>
    </xf>
    <xf numFmtId="2" fontId="6" fillId="0" borderId="39" xfId="0" applyNumberFormat="1" applyFont="1" applyBorder="1" applyAlignment="1">
      <alignment horizontal="center" vertical="center"/>
    </xf>
    <xf numFmtId="44" fontId="5" fillId="7" borderId="8" xfId="4" applyFont="1" applyFill="1" applyBorder="1" applyAlignment="1">
      <alignment vertical="center"/>
    </xf>
    <xf numFmtId="178" fontId="6" fillId="8" borderId="19" xfId="0" applyNumberFormat="1" applyFont="1" applyFill="1" applyBorder="1" applyAlignment="1">
      <alignment horizontal="center" vertical="center"/>
    </xf>
    <xf numFmtId="44" fontId="5" fillId="5" borderId="13" xfId="4" applyFont="1" applyFill="1" applyBorder="1" applyAlignment="1">
      <alignment vertical="center"/>
    </xf>
    <xf numFmtId="178" fontId="6" fillId="6" borderId="22" xfId="0" applyNumberFormat="1" applyFont="1" applyFill="1" applyBorder="1" applyAlignment="1">
      <alignment horizontal="center" vertical="center"/>
    </xf>
    <xf numFmtId="0" fontId="6" fillId="0" borderId="36" xfId="0" applyFont="1" applyBorder="1" applyAlignment="1">
      <alignment vertical="center"/>
    </xf>
    <xf numFmtId="0" fontId="6" fillId="0" borderId="35" xfId="0" applyFont="1" applyBorder="1" applyAlignment="1">
      <alignment vertical="center"/>
    </xf>
    <xf numFmtId="0" fontId="3" fillId="0" borderId="0" xfId="1" applyFont="1"/>
    <xf numFmtId="0" fontId="6" fillId="0" borderId="37" xfId="0" applyFont="1" applyBorder="1" applyAlignment="1">
      <alignment horizontal="center" vertical="center"/>
    </xf>
    <xf numFmtId="0" fontId="6" fillId="0" borderId="38" xfId="0" applyFont="1" applyBorder="1" applyAlignment="1">
      <alignment vertical="center"/>
    </xf>
    <xf numFmtId="0" fontId="6" fillId="0" borderId="38" xfId="0" applyFont="1" applyBorder="1" applyAlignment="1">
      <alignment horizontal="center" vertical="center"/>
    </xf>
    <xf numFmtId="2" fontId="6" fillId="0" borderId="38" xfId="0" applyNumberFormat="1" applyFont="1" applyBorder="1" applyAlignment="1">
      <alignment horizontal="center" vertical="center"/>
    </xf>
    <xf numFmtId="44" fontId="6" fillId="0" borderId="0" xfId="4" applyFont="1" applyBorder="1" applyAlignment="1">
      <alignment horizontal="center" vertical="center"/>
    </xf>
    <xf numFmtId="2" fontId="24" fillId="0" borderId="5" xfId="19" applyNumberFormat="1" applyFill="1" applyBorder="1" applyAlignment="1">
      <alignment horizontal="left" vertical="center"/>
    </xf>
    <xf numFmtId="0" fontId="2" fillId="6" borderId="0" xfId="0" applyFont="1" applyFill="1"/>
    <xf numFmtId="0" fontId="2" fillId="6" borderId="0" xfId="0" applyFont="1" applyFill="1" applyAlignment="1">
      <alignment horizontal="center" vertical="center" wrapText="1"/>
    </xf>
    <xf numFmtId="2" fontId="2" fillId="6" borderId="5" xfId="0" applyNumberFormat="1" applyFont="1" applyFill="1" applyBorder="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2" fillId="6" borderId="0" xfId="0" applyFont="1" applyFill="1" applyAlignment="1">
      <alignment horizontal="center"/>
    </xf>
    <xf numFmtId="2" fontId="2" fillId="9" borderId="72" xfId="0" applyNumberFormat="1" applyFont="1" applyFill="1" applyBorder="1" applyAlignment="1">
      <alignment horizontal="center" vertical="center"/>
    </xf>
    <xf numFmtId="0" fontId="2" fillId="9" borderId="72" xfId="0" applyFont="1" applyFill="1" applyBorder="1" applyAlignment="1">
      <alignment horizontal="center" vertical="center"/>
    </xf>
    <xf numFmtId="9" fontId="2" fillId="9" borderId="72" xfId="5" applyFont="1" applyFill="1" applyBorder="1" applyAlignment="1">
      <alignment horizontal="center" vertical="center"/>
    </xf>
    <xf numFmtId="44" fontId="8" fillId="9" borderId="72" xfId="4" applyFont="1" applyFill="1" applyBorder="1" applyAlignment="1">
      <alignment horizontal="center" vertical="center" wrapText="1"/>
    </xf>
    <xf numFmtId="0" fontId="28" fillId="6" borderId="0" xfId="0" applyFont="1" applyFill="1" applyAlignment="1">
      <alignment horizontal="center" wrapText="1"/>
    </xf>
    <xf numFmtId="0" fontId="2" fillId="6" borderId="0" xfId="0" applyFont="1" applyFill="1" applyAlignment="1">
      <alignment horizontal="center" vertical="center"/>
    </xf>
    <xf numFmtId="0" fontId="2" fillId="0" borderId="37" xfId="0" applyFont="1" applyBorder="1"/>
    <xf numFmtId="0" fontId="2" fillId="0" borderId="38" xfId="0" applyFont="1" applyBorder="1"/>
    <xf numFmtId="44" fontId="2" fillId="0" borderId="39" xfId="4" applyFont="1" applyBorder="1"/>
    <xf numFmtId="0" fontId="2" fillId="6" borderId="36" xfId="0" applyFont="1" applyFill="1" applyBorder="1"/>
    <xf numFmtId="44" fontId="2" fillId="6" borderId="35" xfId="4" applyFont="1" applyFill="1" applyBorder="1"/>
    <xf numFmtId="0" fontId="2" fillId="9" borderId="24" xfId="0" applyFont="1" applyFill="1" applyBorder="1"/>
    <xf numFmtId="0" fontId="2" fillId="9" borderId="25" xfId="0" applyFont="1" applyFill="1" applyBorder="1"/>
    <xf numFmtId="44" fontId="2" fillId="9" borderId="19" xfId="0" applyNumberFormat="1" applyFont="1" applyFill="1" applyBorder="1"/>
    <xf numFmtId="0" fontId="2" fillId="9" borderId="0" xfId="0" applyFont="1" applyFill="1" applyAlignment="1">
      <alignment horizontal="center" vertical="center"/>
    </xf>
    <xf numFmtId="0" fontId="28" fillId="0" borderId="0" xfId="0" applyFont="1" applyAlignment="1">
      <alignment wrapText="1"/>
    </xf>
    <xf numFmtId="0" fontId="2" fillId="9" borderId="0" xfId="0" applyFont="1" applyFill="1" applyAlignment="1">
      <alignment wrapText="1"/>
    </xf>
    <xf numFmtId="0" fontId="2" fillId="9" borderId="0" xfId="0" applyFont="1" applyFill="1"/>
    <xf numFmtId="0" fontId="2" fillId="9" borderId="0" xfId="0" applyFont="1" applyFill="1" applyAlignment="1">
      <alignment horizontal="center" wrapText="1"/>
    </xf>
    <xf numFmtId="0" fontId="28" fillId="6" borderId="0" xfId="0" applyFont="1" applyFill="1" applyAlignment="1">
      <alignment wrapText="1"/>
    </xf>
    <xf numFmtId="0" fontId="2" fillId="9" borderId="0" xfId="0" applyFont="1" applyFill="1" applyAlignment="1">
      <alignment vertical="center"/>
    </xf>
    <xf numFmtId="44" fontId="2" fillId="0" borderId="0" xfId="0" applyNumberFormat="1" applyFont="1" applyAlignment="1">
      <alignment vertical="center"/>
    </xf>
    <xf numFmtId="0" fontId="2" fillId="9" borderId="0" xfId="0" applyFont="1" applyFill="1" applyAlignment="1">
      <alignment vertical="center" wrapText="1"/>
    </xf>
    <xf numFmtId="0" fontId="28" fillId="9" borderId="0" xfId="0" applyFont="1" applyFill="1" applyAlignment="1">
      <alignment wrapText="1"/>
    </xf>
    <xf numFmtId="0" fontId="2" fillId="6" borderId="5" xfId="0" applyFont="1" applyFill="1" applyBorder="1" applyAlignment="1">
      <alignment horizontal="center" vertical="center"/>
    </xf>
    <xf numFmtId="9" fontId="2" fillId="6" borderId="5" xfId="5" applyFont="1" applyFill="1" applyBorder="1" applyAlignment="1">
      <alignment horizontal="center" vertical="center"/>
    </xf>
    <xf numFmtId="44" fontId="8" fillId="6" borderId="5" xfId="4" applyFont="1" applyFill="1" applyBorder="1" applyAlignment="1">
      <alignment horizontal="center" vertical="center" wrapText="1"/>
    </xf>
    <xf numFmtId="9" fontId="2" fillId="6" borderId="72" xfId="5" applyFont="1" applyFill="1" applyBorder="1" applyAlignment="1">
      <alignment horizontal="center" vertical="center"/>
    </xf>
    <xf numFmtId="44" fontId="2" fillId="0" borderId="0" xfId="4" applyFont="1"/>
    <xf numFmtId="44" fontId="2" fillId="6" borderId="0" xfId="4" applyFont="1" applyFill="1"/>
    <xf numFmtId="177" fontId="2" fillId="6" borderId="72" xfId="0" applyNumberFormat="1" applyFont="1" applyFill="1" applyBorder="1" applyAlignment="1">
      <alignment horizontal="center" vertical="center"/>
    </xf>
    <xf numFmtId="0" fontId="2" fillId="6" borderId="0" xfId="0" applyFont="1" applyFill="1" applyAlignment="1">
      <alignment vertical="center"/>
    </xf>
    <xf numFmtId="0" fontId="2" fillId="0" borderId="72" xfId="0" applyFont="1" applyBorder="1"/>
    <xf numFmtId="9" fontId="2" fillId="0" borderId="5" xfId="5" applyFont="1" applyFill="1" applyBorder="1" applyAlignment="1">
      <alignment horizontal="center" vertical="center"/>
    </xf>
    <xf numFmtId="2" fontId="2" fillId="0" borderId="0" xfId="0" applyNumberFormat="1" applyFont="1"/>
    <xf numFmtId="44" fontId="2" fillId="0" borderId="72" xfId="0" applyNumberFormat="1" applyFont="1" applyBorder="1" applyAlignment="1">
      <alignment horizontal="center" vertical="center" wrapText="1"/>
    </xf>
    <xf numFmtId="0" fontId="25" fillId="0" borderId="61" xfId="19" applyFont="1" applyFill="1" applyBorder="1" applyAlignment="1">
      <alignment horizontal="center" vertical="center"/>
    </xf>
    <xf numFmtId="2" fontId="25" fillId="0" borderId="4" xfId="19" applyNumberFormat="1" applyFont="1" applyBorder="1" applyAlignment="1">
      <alignment horizontal="center" vertical="center"/>
    </xf>
    <xf numFmtId="0" fontId="5" fillId="2" borderId="4" xfId="3" applyFont="1" applyFill="1" applyBorder="1" applyAlignment="1">
      <alignment vertical="center"/>
    </xf>
    <xf numFmtId="44" fontId="6" fillId="0" borderId="4" xfId="4" applyFont="1" applyBorder="1" applyAlignment="1">
      <alignment horizontal="center" vertical="center"/>
    </xf>
    <xf numFmtId="44" fontId="6" fillId="0" borderId="6" xfId="4" applyFont="1" applyBorder="1" applyAlignment="1">
      <alignment horizontal="center" vertical="center"/>
    </xf>
    <xf numFmtId="44" fontId="9" fillId="0" borderId="4" xfId="4" applyFont="1" applyFill="1" applyBorder="1" applyAlignment="1">
      <alignment horizontal="center" vertical="center"/>
    </xf>
    <xf numFmtId="44" fontId="6" fillId="0" borderId="4" xfId="4" applyFont="1" applyFill="1" applyBorder="1" applyAlignment="1">
      <alignment horizontal="center" vertical="center"/>
    </xf>
    <xf numFmtId="44" fontId="6" fillId="0" borderId="6" xfId="4" applyFont="1" applyFill="1" applyBorder="1" applyAlignment="1">
      <alignment horizontal="center" vertical="center"/>
    </xf>
    <xf numFmtId="44" fontId="5" fillId="2" borderId="4" xfId="4" applyFont="1" applyFill="1" applyBorder="1" applyAlignment="1">
      <alignment vertical="center"/>
    </xf>
    <xf numFmtId="44" fontId="5" fillId="2" borderId="6" xfId="4" applyFont="1" applyFill="1" applyBorder="1" applyAlignment="1">
      <alignment vertical="center"/>
    </xf>
    <xf numFmtId="44" fontId="9" fillId="0" borderId="6" xfId="4" applyFont="1" applyBorder="1" applyAlignment="1">
      <alignment horizontal="center" vertical="center"/>
    </xf>
    <xf numFmtId="44" fontId="9" fillId="0" borderId="6" xfId="4" applyFont="1" applyFill="1" applyBorder="1" applyAlignment="1">
      <alignment horizontal="center" vertical="center"/>
    </xf>
    <xf numFmtId="44" fontId="6" fillId="0" borderId="7" xfId="4" applyFont="1" applyFill="1" applyBorder="1" applyAlignment="1">
      <alignment horizontal="center" vertical="center"/>
    </xf>
    <xf numFmtId="44" fontId="6" fillId="0" borderId="10" xfId="4" applyFont="1" applyBorder="1" applyAlignment="1">
      <alignment horizontal="center" vertical="center"/>
    </xf>
    <xf numFmtId="2" fontId="2" fillId="0" borderId="41" xfId="0" applyNumberFormat="1" applyFont="1" applyBorder="1"/>
    <xf numFmtId="0" fontId="3" fillId="0" borderId="41" xfId="0" applyFont="1" applyBorder="1"/>
    <xf numFmtId="0" fontId="3" fillId="0" borderId="43" xfId="0" applyFont="1" applyBorder="1"/>
    <xf numFmtId="2" fontId="2" fillId="0" borderId="81" xfId="0" applyNumberFormat="1" applyFont="1" applyBorder="1"/>
    <xf numFmtId="0" fontId="2" fillId="0" borderId="81" xfId="0" applyFont="1" applyBorder="1"/>
    <xf numFmtId="0" fontId="2" fillId="0" borderId="82" xfId="0" applyFont="1" applyBorder="1"/>
    <xf numFmtId="0" fontId="3" fillId="0" borderId="75" xfId="0" applyFont="1" applyBorder="1"/>
    <xf numFmtId="2" fontId="3" fillId="0" borderId="76" xfId="0" applyNumberFormat="1" applyFont="1" applyBorder="1"/>
    <xf numFmtId="0" fontId="3" fillId="0" borderId="73" xfId="0" applyFont="1" applyBorder="1"/>
    <xf numFmtId="44" fontId="6" fillId="0" borderId="0" xfId="0" applyNumberFormat="1" applyFont="1" applyAlignment="1">
      <alignment vertical="center"/>
    </xf>
    <xf numFmtId="44" fontId="2" fillId="0" borderId="72" xfId="4" applyFont="1" applyBorder="1" applyAlignment="1">
      <alignment horizontal="center" vertical="center" wrapText="1"/>
    </xf>
    <xf numFmtId="9" fontId="2" fillId="0" borderId="72" xfId="5" applyFont="1" applyBorder="1" applyAlignment="1">
      <alignment horizontal="center" vertical="center" wrapText="1"/>
    </xf>
    <xf numFmtId="0" fontId="3" fillId="0" borderId="72" xfId="0" applyFont="1" applyBorder="1"/>
    <xf numFmtId="179" fontId="2" fillId="0" borderId="72" xfId="0" applyNumberFormat="1" applyFont="1" applyBorder="1"/>
    <xf numFmtId="2" fontId="3" fillId="0" borderId="72" xfId="0" applyNumberFormat="1" applyFont="1" applyBorder="1"/>
    <xf numFmtId="180" fontId="3" fillId="0" borderId="72" xfId="0" applyNumberFormat="1" applyFont="1" applyBorder="1"/>
    <xf numFmtId="0" fontId="29" fillId="0" borderId="41" xfId="0" applyFont="1" applyBorder="1"/>
    <xf numFmtId="0" fontId="2" fillId="0" borderId="72" xfId="0" applyFont="1" applyBorder="1" applyAlignment="1">
      <alignment horizontal="left" vertical="center"/>
    </xf>
    <xf numFmtId="0" fontId="3" fillId="0" borderId="0" xfId="0" applyFont="1" applyAlignment="1">
      <alignment vertical="center" wrapText="1"/>
    </xf>
    <xf numFmtId="0" fontId="6" fillId="0" borderId="0" xfId="0" applyFont="1"/>
    <xf numFmtId="0" fontId="11" fillId="0" borderId="72" xfId="0" applyFont="1" applyBorder="1" applyAlignment="1">
      <alignment horizontal="center" vertical="center"/>
    </xf>
    <xf numFmtId="44" fontId="6" fillId="0" borderId="72" xfId="4" applyFont="1" applyBorder="1"/>
    <xf numFmtId="0" fontId="6" fillId="0" borderId="72" xfId="0" applyFont="1" applyBorder="1"/>
    <xf numFmtId="2" fontId="8" fillId="0" borderId="5" xfId="4" applyNumberFormat="1" applyFont="1" applyFill="1" applyBorder="1" applyAlignment="1">
      <alignment horizontal="center" vertical="center" wrapText="1"/>
    </xf>
    <xf numFmtId="44" fontId="2" fillId="0" borderId="5" xfId="4" applyFont="1" applyBorder="1" applyAlignment="1">
      <alignment horizontal="center" vertical="center"/>
    </xf>
    <xf numFmtId="44" fontId="2" fillId="0" borderId="72" xfId="4" applyFont="1" applyBorder="1" applyAlignment="1">
      <alignment horizontal="center" vertical="center"/>
    </xf>
    <xf numFmtId="177" fontId="2" fillId="0" borderId="72" xfId="0" applyNumberFormat="1" applyFont="1" applyBorder="1"/>
    <xf numFmtId="44" fontId="6" fillId="0" borderId="35" xfId="4" applyFont="1" applyBorder="1" applyAlignment="1">
      <alignment horizontal="center" vertical="center"/>
    </xf>
    <xf numFmtId="0" fontId="6" fillId="0" borderId="72" xfId="0" applyFont="1" applyFill="1" applyBorder="1" applyAlignment="1">
      <alignment horizontal="left" vertical="center"/>
    </xf>
    <xf numFmtId="0" fontId="6" fillId="0" borderId="72" xfId="0" applyFont="1" applyFill="1" applyBorder="1" applyAlignment="1">
      <alignment horizontal="center" vertical="center"/>
    </xf>
    <xf numFmtId="44" fontId="6" fillId="0" borderId="6" xfId="4" applyFont="1" applyFill="1" applyBorder="1" applyAlignment="1">
      <alignment vertical="center"/>
    </xf>
    <xf numFmtId="2" fontId="2" fillId="0" borderId="5" xfId="0" applyNumberFormat="1" applyFont="1" applyFill="1" applyBorder="1" applyAlignment="1">
      <alignment horizontal="center" vertical="center"/>
    </xf>
    <xf numFmtId="0" fontId="2" fillId="0" borderId="0" xfId="0" applyFont="1" applyBorder="1"/>
    <xf numFmtId="0" fontId="6" fillId="0" borderId="72" xfId="0" applyFont="1" applyFill="1" applyBorder="1" applyAlignment="1">
      <alignment vertical="center"/>
    </xf>
    <xf numFmtId="0" fontId="6" fillId="0" borderId="8" xfId="0" applyFont="1" applyFill="1" applyBorder="1" applyAlignment="1">
      <alignment vertical="center"/>
    </xf>
    <xf numFmtId="0" fontId="6" fillId="0" borderId="8" xfId="0" applyFont="1" applyFill="1" applyBorder="1" applyAlignment="1">
      <alignment horizontal="center" vertical="center"/>
    </xf>
    <xf numFmtId="44" fontId="6" fillId="0" borderId="10" xfId="4" applyFont="1" applyFill="1" applyBorder="1" applyAlignment="1">
      <alignment horizontal="center" vertical="center"/>
    </xf>
    <xf numFmtId="0" fontId="6" fillId="0" borderId="7" xfId="0" applyFont="1" applyBorder="1" applyAlignment="1">
      <alignment horizontal="center" vertical="center"/>
    </xf>
    <xf numFmtId="0" fontId="9" fillId="3" borderId="0" xfId="46" applyFont="1" applyFill="1" applyAlignment="1">
      <alignment vertical="center"/>
    </xf>
    <xf numFmtId="2" fontId="9" fillId="3" borderId="0" xfId="46" applyNumberFormat="1" applyFont="1" applyFill="1" applyAlignment="1">
      <alignment vertical="center"/>
    </xf>
    <xf numFmtId="0" fontId="30" fillId="3" borderId="0" xfId="46" applyFont="1" applyFill="1" applyAlignment="1">
      <alignment vertical="center"/>
    </xf>
    <xf numFmtId="2" fontId="9" fillId="2" borderId="22" xfId="46" applyNumberFormat="1" applyFont="1" applyFill="1" applyBorder="1" applyAlignment="1">
      <alignment vertical="center"/>
    </xf>
    <xf numFmtId="0" fontId="9" fillId="3" borderId="37" xfId="46" applyFont="1" applyFill="1" applyBorder="1" applyAlignment="1">
      <alignment vertical="center"/>
    </xf>
    <xf numFmtId="0" fontId="9" fillId="3" borderId="38" xfId="46" applyFont="1" applyFill="1" applyBorder="1" applyAlignment="1">
      <alignment vertical="center"/>
    </xf>
    <xf numFmtId="2" fontId="9" fillId="3" borderId="38" xfId="46" applyNumberFormat="1" applyFont="1" applyFill="1" applyBorder="1" applyAlignment="1">
      <alignment vertical="center"/>
    </xf>
    <xf numFmtId="0" fontId="9" fillId="3" borderId="39" xfId="46" applyFont="1" applyFill="1" applyBorder="1" applyAlignment="1">
      <alignment vertical="center"/>
    </xf>
    <xf numFmtId="0" fontId="9" fillId="3" borderId="36" xfId="46" applyFont="1" applyFill="1" applyBorder="1" applyAlignment="1">
      <alignment vertical="center"/>
    </xf>
    <xf numFmtId="0" fontId="9" fillId="3" borderId="0" xfId="46" applyFont="1" applyFill="1" applyBorder="1" applyAlignment="1">
      <alignment vertical="center"/>
    </xf>
    <xf numFmtId="0" fontId="32" fillId="3" borderId="83" xfId="46" applyFont="1" applyFill="1" applyBorder="1" applyAlignment="1">
      <alignment horizontal="left" vertical="center"/>
    </xf>
    <xf numFmtId="181" fontId="32" fillId="0" borderId="84" xfId="46" applyNumberFormat="1" applyFont="1" applyBorder="1" applyAlignment="1">
      <alignment horizontal="center" vertical="center"/>
    </xf>
    <xf numFmtId="166" fontId="9" fillId="3" borderId="0" xfId="20" applyFont="1" applyFill="1" applyBorder="1" applyAlignment="1">
      <alignment vertical="center"/>
    </xf>
    <xf numFmtId="2" fontId="9" fillId="3" borderId="0" xfId="46" applyNumberFormat="1" applyFont="1" applyFill="1" applyBorder="1" applyAlignment="1">
      <alignment vertical="center"/>
    </xf>
    <xf numFmtId="0" fontId="9" fillId="3" borderId="35" xfId="46" applyFont="1" applyFill="1" applyBorder="1" applyAlignment="1">
      <alignment vertical="center"/>
    </xf>
    <xf numFmtId="0" fontId="32" fillId="3" borderId="0" xfId="46" applyFont="1" applyFill="1" applyAlignment="1">
      <alignment horizontal="left" vertical="center"/>
    </xf>
    <xf numFmtId="182" fontId="30" fillId="3" borderId="0" xfId="46" applyNumberFormat="1" applyFont="1" applyFill="1" applyAlignment="1">
      <alignment vertical="center"/>
    </xf>
    <xf numFmtId="41" fontId="9" fillId="3" borderId="0" xfId="45" applyFont="1" applyFill="1" applyAlignment="1">
      <alignment vertical="center"/>
    </xf>
    <xf numFmtId="0" fontId="32" fillId="3" borderId="85" xfId="46" applyFont="1" applyFill="1" applyBorder="1" applyAlignment="1">
      <alignment vertical="center"/>
    </xf>
    <xf numFmtId="0" fontId="32" fillId="3" borderId="86" xfId="46" applyFont="1" applyFill="1" applyBorder="1" applyAlignment="1">
      <alignment horizontal="center" vertical="center"/>
    </xf>
    <xf numFmtId="0" fontId="32" fillId="3" borderId="0" xfId="46" applyFont="1" applyFill="1" applyAlignment="1">
      <alignment vertical="center"/>
    </xf>
    <xf numFmtId="41" fontId="30" fillId="3" borderId="0" xfId="45" applyFont="1" applyFill="1" applyAlignment="1">
      <alignment vertical="center"/>
    </xf>
    <xf numFmtId="0" fontId="32" fillId="3" borderId="87" xfId="46" applyFont="1" applyFill="1" applyBorder="1" applyAlignment="1">
      <alignment vertical="center"/>
    </xf>
    <xf numFmtId="0" fontId="32" fillId="3" borderId="88" xfId="46" applyFont="1" applyFill="1" applyBorder="1" applyAlignment="1">
      <alignment vertical="center"/>
    </xf>
    <xf numFmtId="2" fontId="32" fillId="3" borderId="88" xfId="46" applyNumberFormat="1" applyFont="1" applyFill="1" applyBorder="1" applyAlignment="1">
      <alignment vertical="center"/>
    </xf>
    <xf numFmtId="0" fontId="32" fillId="3" borderId="89" xfId="46" applyFont="1" applyFill="1" applyBorder="1" applyAlignment="1">
      <alignment vertical="center"/>
    </xf>
    <xf numFmtId="0" fontId="32" fillId="3" borderId="91" xfId="46" applyFont="1" applyFill="1" applyBorder="1" applyAlignment="1">
      <alignment horizontal="center" vertical="center" wrapText="1"/>
    </xf>
    <xf numFmtId="2" fontId="32" fillId="0" borderId="91" xfId="46" applyNumberFormat="1" applyFont="1" applyBorder="1" applyAlignment="1">
      <alignment horizontal="center" vertical="center" wrapText="1"/>
    </xf>
    <xf numFmtId="0" fontId="32" fillId="3" borderId="92" xfId="46" applyFont="1" applyFill="1" applyBorder="1" applyAlignment="1">
      <alignment horizontal="center" vertical="center" wrapText="1"/>
    </xf>
    <xf numFmtId="0" fontId="9" fillId="3" borderId="0" xfId="46" applyFont="1" applyFill="1" applyAlignment="1">
      <alignment vertical="center" wrapText="1"/>
    </xf>
    <xf numFmtId="183" fontId="33" fillId="3" borderId="0" xfId="21" applyNumberFormat="1" applyFont="1" applyFill="1" applyAlignment="1">
      <alignment vertical="center" wrapText="1"/>
    </xf>
    <xf numFmtId="0" fontId="30" fillId="3" borderId="0" xfId="46" applyFont="1" applyFill="1" applyAlignment="1">
      <alignment vertical="center" wrapText="1"/>
    </xf>
    <xf numFmtId="182" fontId="9" fillId="3" borderId="0" xfId="46" applyNumberFormat="1" applyFont="1" applyFill="1" applyAlignment="1">
      <alignment vertical="center" wrapText="1"/>
    </xf>
    <xf numFmtId="0" fontId="32" fillId="3" borderId="91" xfId="46" applyFont="1" applyFill="1" applyBorder="1" applyAlignment="1">
      <alignment vertical="center" wrapText="1"/>
    </xf>
    <xf numFmtId="2" fontId="32" fillId="3" borderId="91" xfId="46" applyNumberFormat="1" applyFont="1" applyFill="1" applyBorder="1" applyAlignment="1">
      <alignment horizontal="center" vertical="center" wrapText="1"/>
    </xf>
    <xf numFmtId="0" fontId="32" fillId="3" borderId="93" xfId="46" applyFont="1" applyFill="1" applyBorder="1" applyAlignment="1">
      <alignment vertical="center"/>
    </xf>
    <xf numFmtId="0" fontId="32" fillId="3" borderId="95" xfId="46" applyFont="1" applyFill="1" applyBorder="1" applyAlignment="1">
      <alignment vertical="center"/>
    </xf>
    <xf numFmtId="0" fontId="32" fillId="0" borderId="95" xfId="46" applyFont="1" applyBorder="1" applyAlignment="1">
      <alignment vertical="center"/>
    </xf>
    <xf numFmtId="2" fontId="32" fillId="0" borderId="95" xfId="46" applyNumberFormat="1" applyFont="1" applyBorder="1" applyAlignment="1">
      <alignment vertical="center"/>
    </xf>
    <xf numFmtId="0" fontId="32" fillId="0" borderId="96" xfId="46" applyFont="1" applyBorder="1" applyAlignment="1">
      <alignment vertical="center"/>
    </xf>
    <xf numFmtId="184" fontId="9" fillId="3" borderId="0" xfId="5" applyNumberFormat="1" applyFont="1" applyFill="1" applyAlignment="1">
      <alignment vertical="center" wrapText="1"/>
    </xf>
    <xf numFmtId="0" fontId="9" fillId="0" borderId="91" xfId="46" applyFont="1" applyBorder="1" applyAlignment="1">
      <alignment horizontal="left" vertical="center"/>
    </xf>
    <xf numFmtId="9" fontId="9" fillId="0" borderId="91" xfId="22" applyFont="1" applyFill="1" applyBorder="1" applyAlignment="1">
      <alignment horizontal="center" vertical="center"/>
    </xf>
    <xf numFmtId="165" fontId="9" fillId="0" borderId="91" xfId="46" applyNumberFormat="1" applyFont="1" applyBorder="1" applyAlignment="1">
      <alignment horizontal="center" vertical="center"/>
    </xf>
    <xf numFmtId="185" fontId="9" fillId="0" borderId="91" xfId="46" applyNumberFormat="1" applyFont="1" applyBorder="1" applyAlignment="1">
      <alignment horizontal="center" vertical="center"/>
    </xf>
    <xf numFmtId="186" fontId="9" fillId="0" borderId="91" xfId="46" applyNumberFormat="1" applyFont="1" applyBorder="1" applyAlignment="1">
      <alignment horizontal="center" vertical="center"/>
    </xf>
    <xf numFmtId="165" fontId="9" fillId="0" borderId="92" xfId="46" applyNumberFormat="1" applyFont="1" applyBorder="1" applyAlignment="1">
      <alignment horizontal="center" vertical="center"/>
    </xf>
    <xf numFmtId="165" fontId="9" fillId="3" borderId="0" xfId="46" applyNumberFormat="1" applyFont="1" applyFill="1" applyAlignment="1">
      <alignment vertical="center"/>
    </xf>
    <xf numFmtId="0" fontId="34" fillId="0" borderId="96" xfId="46" applyFont="1" applyBorder="1" applyAlignment="1">
      <alignment vertical="top" wrapText="1"/>
    </xf>
    <xf numFmtId="0" fontId="34" fillId="3" borderId="0" xfId="46" applyFont="1" applyFill="1" applyAlignment="1">
      <alignment vertical="center"/>
    </xf>
    <xf numFmtId="0" fontId="34" fillId="3" borderId="0" xfId="46" applyFont="1" applyFill="1" applyAlignment="1">
      <alignment horizontal="justify" vertical="center"/>
    </xf>
    <xf numFmtId="187" fontId="6" fillId="0" borderId="100" xfId="47" applyNumberFormat="1" applyFont="1" applyBorder="1" applyAlignment="1">
      <alignment horizontal="center"/>
    </xf>
    <xf numFmtId="1" fontId="35" fillId="0" borderId="100" xfId="47" applyNumberFormat="1" applyFont="1" applyBorder="1" applyAlignment="1">
      <alignment horizontal="center"/>
    </xf>
    <xf numFmtId="0" fontId="11" fillId="0" borderId="0" xfId="47" applyFont="1" applyAlignment="1">
      <alignment horizontal="center"/>
    </xf>
    <xf numFmtId="0" fontId="9" fillId="0" borderId="0" xfId="46" applyFont="1" applyAlignment="1">
      <alignment horizontal="justify" vertical="center"/>
    </xf>
    <xf numFmtId="0" fontId="9" fillId="0" borderId="0" xfId="46" applyFont="1" applyAlignment="1">
      <alignment vertical="center"/>
    </xf>
    <xf numFmtId="165" fontId="30" fillId="0" borderId="0" xfId="46" applyNumberFormat="1" applyFont="1" applyAlignment="1">
      <alignment vertical="center"/>
    </xf>
    <xf numFmtId="165" fontId="9" fillId="0" borderId="0" xfId="46" applyNumberFormat="1" applyFont="1" applyAlignment="1">
      <alignment vertical="center"/>
    </xf>
    <xf numFmtId="0" fontId="34" fillId="0" borderId="0" xfId="46" applyFont="1" applyAlignment="1">
      <alignment horizontal="justify" vertical="center"/>
    </xf>
    <xf numFmtId="0" fontId="34" fillId="0" borderId="0" xfId="46" applyFont="1" applyAlignment="1">
      <alignment vertical="center"/>
    </xf>
    <xf numFmtId="0" fontId="30" fillId="0" borderId="0" xfId="46" applyFont="1" applyAlignment="1">
      <alignment vertical="center"/>
    </xf>
    <xf numFmtId="9" fontId="9" fillId="0" borderId="91" xfId="22" applyFont="1" applyBorder="1" applyAlignment="1">
      <alignment horizontal="center" vertical="center"/>
    </xf>
    <xf numFmtId="0" fontId="9" fillId="3" borderId="0" xfId="46" applyFont="1" applyFill="1" applyAlignment="1">
      <alignment horizontal="justify" vertical="center"/>
    </xf>
    <xf numFmtId="2" fontId="9" fillId="0" borderId="91" xfId="46" applyNumberFormat="1" applyFont="1" applyBorder="1" applyAlignment="1">
      <alignment horizontal="center" vertical="center"/>
    </xf>
    <xf numFmtId="9" fontId="9" fillId="0" borderId="91" xfId="22" applyFont="1" applyFill="1" applyBorder="1" applyAlignment="1">
      <alignment horizontal="center" vertical="center" wrapText="1"/>
    </xf>
    <xf numFmtId="165" fontId="30" fillId="3" borderId="0" xfId="46" applyNumberFormat="1" applyFont="1" applyFill="1" applyAlignment="1">
      <alignment vertical="center"/>
    </xf>
    <xf numFmtId="0" fontId="9" fillId="0" borderId="97" xfId="46" applyFont="1" applyBorder="1" applyAlignment="1">
      <alignment horizontal="left" vertical="center" wrapText="1"/>
    </xf>
    <xf numFmtId="2" fontId="32" fillId="3" borderId="95" xfId="46" applyNumberFormat="1" applyFont="1" applyFill="1" applyBorder="1" applyAlignment="1">
      <alignment vertical="center"/>
    </xf>
    <xf numFmtId="0" fontId="32" fillId="3" borderId="96" xfId="46" applyFont="1" applyFill="1" applyBorder="1" applyAlignment="1">
      <alignment vertical="center"/>
    </xf>
    <xf numFmtId="188" fontId="9" fillId="3" borderId="0" xfId="46" applyNumberFormat="1" applyFont="1" applyFill="1" applyAlignment="1">
      <alignment horizontal="justify" vertical="center"/>
    </xf>
    <xf numFmtId="189" fontId="9" fillId="3" borderId="0" xfId="46" applyNumberFormat="1" applyFont="1" applyFill="1" applyAlignment="1">
      <alignment vertical="center" wrapText="1"/>
    </xf>
    <xf numFmtId="188" fontId="9" fillId="10" borderId="0" xfId="46" applyNumberFormat="1" applyFont="1" applyFill="1" applyAlignment="1">
      <alignment horizontal="justify" vertical="center"/>
    </xf>
    <xf numFmtId="189" fontId="9" fillId="10" borderId="0" xfId="46" applyNumberFormat="1" applyFont="1" applyFill="1" applyAlignment="1">
      <alignment vertical="center" wrapText="1"/>
    </xf>
    <xf numFmtId="0" fontId="9" fillId="10" borderId="0" xfId="46" applyFont="1" applyFill="1" applyAlignment="1">
      <alignment vertical="center"/>
    </xf>
    <xf numFmtId="0" fontId="30" fillId="10" borderId="0" xfId="46" applyFont="1" applyFill="1" applyAlignment="1">
      <alignment vertical="center"/>
    </xf>
    <xf numFmtId="165" fontId="9" fillId="10" borderId="0" xfId="46" applyNumberFormat="1" applyFont="1" applyFill="1" applyAlignment="1">
      <alignment vertical="center"/>
    </xf>
    <xf numFmtId="0" fontId="32" fillId="0" borderId="93" xfId="46" applyFont="1" applyBorder="1" applyAlignment="1">
      <alignment vertical="center"/>
    </xf>
    <xf numFmtId="0" fontId="9" fillId="0" borderId="91" xfId="46" applyFont="1" applyBorder="1" applyAlignment="1">
      <alignment horizontal="left" vertical="center" wrapText="1"/>
    </xf>
    <xf numFmtId="181" fontId="32" fillId="0" borderId="92" xfId="46" applyNumberFormat="1" applyFont="1" applyBorder="1" applyAlignment="1">
      <alignment horizontal="center" vertical="center"/>
    </xf>
    <xf numFmtId="181" fontId="9" fillId="3" borderId="0" xfId="46" applyNumberFormat="1" applyFont="1" applyFill="1" applyBorder="1" applyAlignment="1">
      <alignment vertical="center"/>
    </xf>
    <xf numFmtId="181" fontId="9" fillId="3" borderId="0" xfId="46" applyNumberFormat="1" applyFont="1" applyFill="1" applyAlignment="1">
      <alignment vertical="center"/>
    </xf>
    <xf numFmtId="0" fontId="32" fillId="3" borderId="93" xfId="46" applyFont="1" applyFill="1" applyBorder="1" applyAlignment="1">
      <alignment horizontal="centerContinuous" vertical="center"/>
    </xf>
    <xf numFmtId="0" fontId="32" fillId="3" borderId="95" xfId="46" applyFont="1" applyFill="1" applyBorder="1" applyAlignment="1">
      <alignment horizontal="centerContinuous" vertical="center"/>
    </xf>
    <xf numFmtId="2" fontId="32" fillId="3" borderId="95" xfId="46" applyNumberFormat="1" applyFont="1" applyFill="1" applyBorder="1" applyAlignment="1">
      <alignment horizontal="centerContinuous" vertical="center"/>
    </xf>
    <xf numFmtId="0" fontId="32" fillId="3" borderId="96" xfId="46" applyFont="1" applyFill="1" applyBorder="1" applyAlignment="1">
      <alignment horizontal="centerContinuous" vertical="center"/>
    </xf>
    <xf numFmtId="0" fontId="9" fillId="3" borderId="0" xfId="46" applyFont="1" applyFill="1" applyAlignment="1">
      <alignment horizontal="center" vertical="center" wrapText="1"/>
    </xf>
    <xf numFmtId="0" fontId="30" fillId="3" borderId="0" xfId="46" applyFont="1" applyFill="1" applyAlignment="1">
      <alignment horizontal="center" vertical="center" wrapText="1"/>
    </xf>
    <xf numFmtId="4" fontId="9" fillId="0" borderId="91" xfId="46" applyNumberFormat="1" applyFont="1" applyBorder="1" applyAlignment="1">
      <alignment horizontal="center" vertical="center" wrapText="1"/>
    </xf>
    <xf numFmtId="4" fontId="9" fillId="3" borderId="91" xfId="46" applyNumberFormat="1" applyFont="1" applyFill="1" applyBorder="1" applyAlignment="1">
      <alignment horizontal="center" vertical="center"/>
    </xf>
    <xf numFmtId="190" fontId="9" fillId="3" borderId="91" xfId="11" applyNumberFormat="1" applyFont="1" applyFill="1" applyBorder="1" applyAlignment="1">
      <alignment horizontal="center" vertical="center"/>
    </xf>
    <xf numFmtId="186" fontId="9" fillId="3" borderId="91" xfId="46" applyNumberFormat="1" applyFont="1" applyFill="1" applyBorder="1" applyAlignment="1">
      <alignment horizontal="center" vertical="center"/>
    </xf>
    <xf numFmtId="165" fontId="9" fillId="3" borderId="92" xfId="46" applyNumberFormat="1" applyFont="1" applyFill="1" applyBorder="1" applyAlignment="1">
      <alignment horizontal="center" vertical="center"/>
    </xf>
    <xf numFmtId="4" fontId="9" fillId="3" borderId="91" xfId="46" applyNumberFormat="1" applyFont="1" applyFill="1" applyBorder="1" applyAlignment="1">
      <alignment horizontal="center" vertical="center" wrapText="1"/>
    </xf>
    <xf numFmtId="182" fontId="30" fillId="3" borderId="0" xfId="46" applyNumberFormat="1" applyFont="1" applyFill="1" applyAlignment="1">
      <alignment vertical="center" wrapText="1"/>
    </xf>
    <xf numFmtId="0" fontId="32" fillId="3" borderId="0" xfId="46" applyFont="1" applyFill="1" applyAlignment="1">
      <alignment horizontal="center" vertical="center"/>
    </xf>
    <xf numFmtId="0" fontId="30" fillId="3" borderId="0" xfId="46" applyFont="1" applyFill="1" applyAlignment="1">
      <alignment horizontal="center" vertical="center"/>
    </xf>
    <xf numFmtId="3" fontId="9" fillId="3" borderId="91" xfId="46" applyNumberFormat="1" applyFont="1" applyFill="1" applyBorder="1" applyAlignment="1">
      <alignment horizontal="center" vertical="center" wrapText="1"/>
    </xf>
    <xf numFmtId="169" fontId="9" fillId="3" borderId="91" xfId="46" applyNumberFormat="1" applyFont="1" applyFill="1" applyBorder="1" applyAlignment="1">
      <alignment horizontal="center" vertical="center"/>
    </xf>
    <xf numFmtId="2" fontId="9" fillId="3" borderId="91" xfId="22" applyNumberFormat="1" applyFont="1" applyFill="1" applyBorder="1" applyAlignment="1">
      <alignment horizontal="center" vertical="center"/>
    </xf>
    <xf numFmtId="169" fontId="9" fillId="3" borderId="92" xfId="46" applyNumberFormat="1" applyFont="1" applyFill="1" applyBorder="1" applyAlignment="1">
      <alignment horizontal="center" vertical="center"/>
    </xf>
    <xf numFmtId="169" fontId="9" fillId="3" borderId="0" xfId="46" applyNumberFormat="1" applyFont="1" applyFill="1" applyAlignment="1">
      <alignment vertical="center"/>
    </xf>
    <xf numFmtId="3" fontId="9" fillId="0" borderId="91" xfId="46" applyNumberFormat="1" applyFont="1" applyBorder="1" applyAlignment="1">
      <alignment horizontal="center" vertical="center" wrapText="1"/>
    </xf>
    <xf numFmtId="169" fontId="9" fillId="0" borderId="91" xfId="46" applyNumberFormat="1" applyFont="1" applyBorder="1" applyAlignment="1">
      <alignment horizontal="center" vertical="center"/>
    </xf>
    <xf numFmtId="2" fontId="9" fillId="0" borderId="91" xfId="22" applyNumberFormat="1" applyFont="1" applyBorder="1" applyAlignment="1">
      <alignment horizontal="center" vertical="center"/>
    </xf>
    <xf numFmtId="169" fontId="30" fillId="3" borderId="0" xfId="46" applyNumberFormat="1" applyFont="1" applyFill="1" applyAlignment="1">
      <alignment vertical="center"/>
    </xf>
    <xf numFmtId="182" fontId="37" fillId="3" borderId="0" xfId="46" applyNumberFormat="1" applyFont="1" applyFill="1" applyAlignment="1">
      <alignment vertical="center"/>
    </xf>
    <xf numFmtId="3" fontId="9" fillId="0" borderId="95" xfId="46" applyNumberFormat="1" applyFont="1" applyBorder="1" applyAlignment="1">
      <alignment horizontal="center" vertical="center" wrapText="1"/>
    </xf>
    <xf numFmtId="169" fontId="9" fillId="0" borderId="95" xfId="46" applyNumberFormat="1" applyFont="1" applyBorder="1" applyAlignment="1">
      <alignment horizontal="center" vertical="center"/>
    </xf>
    <xf numFmtId="2" fontId="9" fillId="0" borderId="95" xfId="22" applyNumberFormat="1" applyFont="1" applyBorder="1" applyAlignment="1">
      <alignment horizontal="center" vertical="center"/>
    </xf>
    <xf numFmtId="191" fontId="9" fillId="3" borderId="91" xfId="46" applyNumberFormat="1" applyFont="1" applyFill="1" applyBorder="1" applyAlignment="1">
      <alignment horizontal="center" vertical="center"/>
    </xf>
    <xf numFmtId="0" fontId="9" fillId="0" borderId="93" xfId="46" applyFont="1" applyBorder="1" applyAlignment="1">
      <alignment horizontal="left" vertical="center" wrapText="1"/>
    </xf>
    <xf numFmtId="0" fontId="9" fillId="0" borderId="95" xfId="46" applyFont="1" applyBorder="1" applyAlignment="1">
      <alignment horizontal="left" vertical="center" wrapText="1"/>
    </xf>
    <xf numFmtId="191" fontId="9" fillId="3" borderId="94" xfId="46" applyNumberFormat="1" applyFont="1" applyFill="1" applyBorder="1" applyAlignment="1">
      <alignment horizontal="center" vertical="center"/>
    </xf>
    <xf numFmtId="165" fontId="32" fillId="0" borderId="92" xfId="46" applyNumberFormat="1" applyFont="1" applyBorder="1" applyAlignment="1">
      <alignment horizontal="center" vertical="center"/>
    </xf>
    <xf numFmtId="0" fontId="9" fillId="3" borderId="36" xfId="46" applyFont="1" applyFill="1" applyBorder="1" applyAlignment="1">
      <alignment horizontal="left" vertical="center"/>
    </xf>
    <xf numFmtId="0" fontId="9" fillId="3" borderId="0" xfId="46" applyFont="1" applyFill="1" applyBorder="1" applyAlignment="1">
      <alignment horizontal="left" vertical="center"/>
    </xf>
    <xf numFmtId="2" fontId="9" fillId="3" borderId="0" xfId="46" applyNumberFormat="1" applyFont="1" applyFill="1" applyBorder="1" applyAlignment="1">
      <alignment horizontal="left" vertical="center"/>
    </xf>
    <xf numFmtId="37" fontId="9" fillId="0" borderId="35" xfId="46" applyNumberFormat="1" applyFont="1" applyBorder="1" applyAlignment="1">
      <alignment horizontal="center" vertical="center"/>
    </xf>
    <xf numFmtId="0" fontId="32" fillId="0" borderId="93" xfId="46" applyFont="1" applyBorder="1" applyAlignment="1">
      <alignment horizontal="left" vertical="center"/>
    </xf>
    <xf numFmtId="0" fontId="32" fillId="0" borderId="95" xfId="46" applyFont="1" applyBorder="1" applyAlignment="1">
      <alignment horizontal="left" vertical="center"/>
    </xf>
    <xf numFmtId="0" fontId="9" fillId="0" borderId="95" xfId="46" applyFont="1" applyBorder="1" applyAlignment="1">
      <alignment horizontal="left" vertical="center"/>
    </xf>
    <xf numFmtId="2" fontId="9" fillId="0" borderId="95" xfId="46" applyNumberFormat="1" applyFont="1" applyBorder="1" applyAlignment="1">
      <alignment horizontal="left" vertical="center"/>
    </xf>
    <xf numFmtId="0" fontId="9" fillId="0" borderId="94" xfId="46" applyFont="1" applyBorder="1" applyAlignment="1">
      <alignment horizontal="left" vertical="center"/>
    </xf>
    <xf numFmtId="192" fontId="32" fillId="0" borderId="92" xfId="46" applyNumberFormat="1" applyFont="1" applyBorder="1" applyAlignment="1">
      <alignment horizontal="center" vertical="center"/>
    </xf>
    <xf numFmtId="10" fontId="32" fillId="0" borderId="92" xfId="46" applyNumberFormat="1" applyFont="1" applyBorder="1" applyAlignment="1">
      <alignment horizontal="center" vertical="center"/>
    </xf>
    <xf numFmtId="10" fontId="32" fillId="3" borderId="94" xfId="46" applyNumberFormat="1" applyFont="1" applyFill="1" applyBorder="1" applyAlignment="1">
      <alignment horizontal="center" vertical="center"/>
    </xf>
    <xf numFmtId="37" fontId="9" fillId="3" borderId="35" xfId="46" applyNumberFormat="1" applyFont="1" applyFill="1" applyBorder="1" applyAlignment="1">
      <alignment vertical="center"/>
    </xf>
    <xf numFmtId="10" fontId="9" fillId="3" borderId="0" xfId="24" applyNumberFormat="1" applyFont="1" applyFill="1" applyAlignment="1">
      <alignment vertical="center"/>
    </xf>
    <xf numFmtId="2" fontId="32" fillId="3" borderId="91" xfId="46" applyNumberFormat="1" applyFont="1" applyFill="1" applyBorder="1" applyAlignment="1">
      <alignment horizontal="center" vertical="center"/>
    </xf>
    <xf numFmtId="0" fontId="32" fillId="3" borderId="97" xfId="46" applyFont="1" applyFill="1" applyBorder="1" applyAlignment="1">
      <alignment horizontal="center" vertical="center"/>
    </xf>
    <xf numFmtId="0" fontId="32" fillId="3" borderId="92" xfId="46" applyFont="1" applyFill="1" applyBorder="1" applyAlignment="1">
      <alignment horizontal="center" vertical="center"/>
    </xf>
    <xf numFmtId="42" fontId="9" fillId="0" borderId="91" xfId="11" applyFont="1" applyBorder="1" applyAlignment="1">
      <alignment horizontal="center" vertical="center" wrapText="1"/>
    </xf>
    <xf numFmtId="10" fontId="9" fillId="3" borderId="91" xfId="46" applyNumberFormat="1" applyFont="1" applyFill="1" applyBorder="1" applyAlignment="1">
      <alignment horizontal="center" vertical="center" wrapText="1"/>
    </xf>
    <xf numFmtId="181" fontId="9" fillId="0" borderId="92" xfId="46" applyNumberFormat="1" applyFont="1" applyBorder="1" applyAlignment="1">
      <alignment horizontal="center" vertical="center" wrapText="1"/>
    </xf>
    <xf numFmtId="181" fontId="38" fillId="3" borderId="0" xfId="46" applyNumberFormat="1" applyFont="1" applyFill="1" applyAlignment="1">
      <alignment horizontal="justify" vertical="center"/>
    </xf>
    <xf numFmtId="10" fontId="9" fillId="3" borderId="0" xfId="46" applyNumberFormat="1" applyFont="1" applyFill="1" applyAlignment="1">
      <alignment vertical="center"/>
    </xf>
    <xf numFmtId="184" fontId="9" fillId="3" borderId="91" xfId="46" applyNumberFormat="1" applyFont="1" applyFill="1" applyBorder="1" applyAlignment="1">
      <alignment horizontal="center" vertical="center" wrapText="1"/>
    </xf>
    <xf numFmtId="10" fontId="9" fillId="3" borderId="0" xfId="5" applyNumberFormat="1" applyFont="1" applyFill="1" applyAlignment="1">
      <alignment vertical="center"/>
    </xf>
    <xf numFmtId="0" fontId="32" fillId="3" borderId="91" xfId="46" applyFont="1" applyFill="1" applyBorder="1" applyAlignment="1">
      <alignment horizontal="center" vertical="center"/>
    </xf>
    <xf numFmtId="181" fontId="9" fillId="0" borderId="91" xfId="46" applyNumberFormat="1" applyFont="1" applyBorder="1" applyAlignment="1">
      <alignment horizontal="center" vertical="center" wrapText="1"/>
    </xf>
    <xf numFmtId="9" fontId="9" fillId="3" borderId="91" xfId="46" applyNumberFormat="1" applyFont="1" applyFill="1" applyBorder="1" applyAlignment="1">
      <alignment horizontal="center" vertical="center" wrapText="1"/>
    </xf>
    <xf numFmtId="42" fontId="9" fillId="3" borderId="91" xfId="11" applyFont="1" applyFill="1" applyBorder="1" applyAlignment="1">
      <alignment horizontal="center" vertical="center" wrapText="1"/>
    </xf>
    <xf numFmtId="10" fontId="9" fillId="3" borderId="91" xfId="5" applyNumberFormat="1" applyFont="1" applyFill="1" applyBorder="1" applyAlignment="1">
      <alignment horizontal="center" vertical="center" wrapText="1"/>
    </xf>
    <xf numFmtId="181" fontId="9" fillId="3" borderId="92" xfId="46" applyNumberFormat="1" applyFont="1" applyFill="1" applyBorder="1" applyAlignment="1">
      <alignment horizontal="center" vertical="center" wrapText="1"/>
    </xf>
    <xf numFmtId="44" fontId="9" fillId="3" borderId="0" xfId="4" applyFont="1" applyFill="1" applyAlignment="1">
      <alignment horizontal="center" vertical="center" wrapText="1"/>
    </xf>
    <xf numFmtId="194" fontId="37" fillId="0" borderId="0" xfId="46" applyNumberFormat="1" applyFont="1" applyAlignment="1">
      <alignment vertical="center"/>
    </xf>
    <xf numFmtId="44" fontId="9" fillId="3" borderId="0" xfId="4" applyFont="1" applyFill="1" applyAlignment="1">
      <alignment vertical="center"/>
    </xf>
    <xf numFmtId="9" fontId="9" fillId="3" borderId="0" xfId="12" applyFont="1" applyFill="1" applyBorder="1" applyAlignment="1">
      <alignment vertical="center"/>
    </xf>
    <xf numFmtId="0" fontId="9" fillId="3" borderId="0" xfId="46" applyFont="1" applyFill="1" applyBorder="1" applyAlignment="1">
      <alignment horizontal="right" vertical="center"/>
    </xf>
    <xf numFmtId="2" fontId="9" fillId="3" borderId="0" xfId="46" applyNumberFormat="1" applyFont="1" applyFill="1" applyBorder="1" applyAlignment="1">
      <alignment horizontal="right" vertical="center"/>
    </xf>
    <xf numFmtId="10" fontId="9" fillId="0" borderId="35" xfId="46" applyNumberFormat="1" applyFont="1" applyBorder="1" applyAlignment="1">
      <alignment horizontal="center" vertical="center"/>
    </xf>
    <xf numFmtId="9" fontId="9" fillId="0" borderId="95" xfId="12" applyFont="1" applyBorder="1" applyAlignment="1">
      <alignment vertical="center"/>
    </xf>
    <xf numFmtId="0" fontId="9" fillId="0" borderId="95" xfId="46" applyFont="1" applyBorder="1" applyAlignment="1">
      <alignment horizontal="right" vertical="center"/>
    </xf>
    <xf numFmtId="2" fontId="9" fillId="0" borderId="95" xfId="46" applyNumberFormat="1" applyFont="1" applyBorder="1" applyAlignment="1">
      <alignment horizontal="right" vertical="center"/>
    </xf>
    <xf numFmtId="10" fontId="9" fillId="0" borderId="94" xfId="46" applyNumberFormat="1" applyFont="1" applyBorder="1" applyAlignment="1">
      <alignment horizontal="right" vertical="center"/>
    </xf>
    <xf numFmtId="195" fontId="39" fillId="3" borderId="0" xfId="22" applyNumberFormat="1" applyFont="1" applyFill="1" applyAlignment="1">
      <alignment vertical="center"/>
    </xf>
    <xf numFmtId="2" fontId="9" fillId="0" borderId="95" xfId="20" applyNumberFormat="1" applyFont="1" applyBorder="1" applyAlignment="1">
      <alignment horizontal="right" vertical="center"/>
    </xf>
    <xf numFmtId="0" fontId="9" fillId="0" borderId="94" xfId="46" applyFont="1" applyBorder="1" applyAlignment="1">
      <alignment horizontal="right" vertical="center"/>
    </xf>
    <xf numFmtId="184" fontId="32" fillId="3" borderId="94" xfId="46" applyNumberFormat="1" applyFont="1" applyFill="1" applyBorder="1" applyAlignment="1">
      <alignment horizontal="center" vertical="center"/>
    </xf>
    <xf numFmtId="196" fontId="40" fillId="3" borderId="0" xfId="11" applyNumberFormat="1" applyFont="1" applyFill="1" applyAlignment="1">
      <alignment vertical="center"/>
    </xf>
    <xf numFmtId="0" fontId="41" fillId="3" borderId="0" xfId="46" applyFont="1" applyFill="1" applyAlignment="1">
      <alignment vertical="center"/>
    </xf>
    <xf numFmtId="165" fontId="9" fillId="3" borderId="0" xfId="46" applyNumberFormat="1" applyFont="1" applyFill="1" applyBorder="1" applyAlignment="1">
      <alignment horizontal="right" vertical="center"/>
    </xf>
    <xf numFmtId="10" fontId="9" fillId="3" borderId="35" xfId="46" applyNumberFormat="1" applyFont="1" applyFill="1" applyBorder="1" applyAlignment="1">
      <alignment horizontal="center" vertical="center"/>
    </xf>
    <xf numFmtId="0" fontId="32" fillId="11" borderId="93" xfId="46" applyFont="1" applyFill="1" applyBorder="1" applyAlignment="1">
      <alignment horizontal="left" vertical="center"/>
    </xf>
    <xf numFmtId="0" fontId="32" fillId="11" borderId="95" xfId="46" applyFont="1" applyFill="1" applyBorder="1" applyAlignment="1">
      <alignment horizontal="left" vertical="center"/>
    </xf>
    <xf numFmtId="0" fontId="9" fillId="11" borderId="95" xfId="46" applyFont="1" applyFill="1" applyBorder="1" applyAlignment="1">
      <alignment horizontal="left" vertical="center"/>
    </xf>
    <xf numFmtId="9" fontId="9" fillId="11" borderId="95" xfId="12" applyFont="1" applyFill="1" applyBorder="1" applyAlignment="1">
      <alignment vertical="center"/>
    </xf>
    <xf numFmtId="0" fontId="9" fillId="11" borderId="95" xfId="46" applyFont="1" applyFill="1" applyBorder="1" applyAlignment="1">
      <alignment horizontal="right" vertical="center"/>
    </xf>
    <xf numFmtId="2" fontId="9" fillId="11" borderId="95" xfId="46" applyNumberFormat="1" applyFont="1" applyFill="1" applyBorder="1" applyAlignment="1">
      <alignment horizontal="right" vertical="center"/>
    </xf>
    <xf numFmtId="10" fontId="9" fillId="11" borderId="94" xfId="46" applyNumberFormat="1" applyFont="1" applyFill="1" applyBorder="1" applyAlignment="1">
      <alignment horizontal="right" vertical="center"/>
    </xf>
    <xf numFmtId="192" fontId="32" fillId="11" borderId="92" xfId="46" applyNumberFormat="1" applyFont="1" applyFill="1" applyBorder="1" applyAlignment="1">
      <alignment horizontal="center" vertical="center"/>
    </xf>
    <xf numFmtId="182" fontId="42" fillId="3" borderId="0" xfId="46" applyNumberFormat="1" applyFont="1" applyFill="1" applyAlignment="1">
      <alignment horizontal="left" vertical="center"/>
    </xf>
    <xf numFmtId="182" fontId="9" fillId="3" borderId="0" xfId="46" applyNumberFormat="1" applyFont="1" applyFill="1" applyAlignment="1">
      <alignment vertical="center"/>
    </xf>
    <xf numFmtId="182" fontId="43" fillId="3" borderId="0" xfId="46" applyNumberFormat="1" applyFont="1" applyFill="1" applyAlignment="1">
      <alignment vertical="center"/>
    </xf>
    <xf numFmtId="192" fontId="9" fillId="3" borderId="0" xfId="46" applyNumberFormat="1" applyFont="1" applyFill="1" applyAlignment="1">
      <alignment vertical="center"/>
    </xf>
    <xf numFmtId="10" fontId="32" fillId="11" borderId="92" xfId="22" applyNumberFormat="1" applyFont="1" applyFill="1" applyBorder="1" applyAlignment="1">
      <alignment horizontal="center" vertical="center"/>
    </xf>
    <xf numFmtId="182" fontId="30" fillId="3" borderId="0" xfId="46" applyNumberFormat="1" applyFont="1" applyFill="1" applyAlignment="1">
      <alignment horizontal="left" vertical="center"/>
    </xf>
    <xf numFmtId="0" fontId="32" fillId="3" borderId="93" xfId="46" applyFont="1" applyFill="1" applyBorder="1" applyAlignment="1">
      <alignment horizontal="left" vertical="center"/>
    </xf>
    <xf numFmtId="0" fontId="32" fillId="3" borderId="95" xfId="46" applyFont="1" applyFill="1" applyBorder="1" applyAlignment="1">
      <alignment horizontal="left" vertical="center"/>
    </xf>
    <xf numFmtId="9" fontId="32" fillId="3" borderId="95" xfId="12" applyFont="1" applyFill="1" applyBorder="1" applyAlignment="1">
      <alignment vertical="center"/>
    </xf>
    <xf numFmtId="0" fontId="32" fillId="3" borderId="95" xfId="46" applyFont="1" applyFill="1" applyBorder="1" applyAlignment="1">
      <alignment horizontal="right" vertical="center"/>
    </xf>
    <xf numFmtId="2" fontId="32" fillId="3" borderId="95" xfId="46" applyNumberFormat="1" applyFont="1" applyFill="1" applyBorder="1" applyAlignment="1">
      <alignment horizontal="right" vertical="center"/>
    </xf>
    <xf numFmtId="182" fontId="32" fillId="3" borderId="94" xfId="46" applyNumberFormat="1" applyFont="1" applyFill="1" applyBorder="1" applyAlignment="1">
      <alignment horizontal="center" vertical="center"/>
    </xf>
    <xf numFmtId="10" fontId="32" fillId="3" borderId="92" xfId="46" applyNumberFormat="1" applyFont="1" applyFill="1" applyBorder="1" applyAlignment="1">
      <alignment horizontal="center" vertical="center"/>
    </xf>
    <xf numFmtId="0" fontId="32" fillId="12" borderId="93" xfId="46" applyFont="1" applyFill="1" applyBorder="1" applyAlignment="1">
      <alignment horizontal="left" vertical="center"/>
    </xf>
    <xf numFmtId="0" fontId="32" fillId="12" borderId="95" xfId="46" applyFont="1" applyFill="1" applyBorder="1" applyAlignment="1">
      <alignment horizontal="left" vertical="center"/>
    </xf>
    <xf numFmtId="0" fontId="9" fillId="12" borderId="95" xfId="46" applyFont="1" applyFill="1" applyBorder="1" applyAlignment="1">
      <alignment horizontal="left" vertical="center"/>
    </xf>
    <xf numFmtId="9" fontId="9" fillId="12" borderId="95" xfId="12" applyFont="1" applyFill="1" applyBorder="1" applyAlignment="1">
      <alignment vertical="center"/>
    </xf>
    <xf numFmtId="0" fontId="9" fillId="12" borderId="95" xfId="46" applyFont="1" applyFill="1" applyBorder="1" applyAlignment="1">
      <alignment horizontal="right" vertical="center"/>
    </xf>
    <xf numFmtId="2" fontId="9" fillId="12" borderId="95" xfId="46" applyNumberFormat="1" applyFont="1" applyFill="1" applyBorder="1" applyAlignment="1">
      <alignment horizontal="right" vertical="center"/>
    </xf>
    <xf numFmtId="10" fontId="9" fillId="12" borderId="94" xfId="46" applyNumberFormat="1" applyFont="1" applyFill="1" applyBorder="1" applyAlignment="1">
      <alignment horizontal="right" vertical="center"/>
    </xf>
    <xf numFmtId="182" fontId="32" fillId="12" borderId="92" xfId="46" applyNumberFormat="1" applyFont="1" applyFill="1" applyBorder="1" applyAlignment="1">
      <alignment horizontal="center" vertical="center"/>
    </xf>
    <xf numFmtId="10" fontId="32" fillId="12" borderId="92" xfId="22" applyNumberFormat="1" applyFont="1" applyFill="1" applyBorder="1" applyAlignment="1">
      <alignment horizontal="center" vertical="center"/>
    </xf>
    <xf numFmtId="182" fontId="44" fillId="3" borderId="0" xfId="46" applyNumberFormat="1" applyFont="1" applyFill="1" applyAlignment="1">
      <alignment horizontal="left" vertical="center"/>
    </xf>
    <xf numFmtId="182" fontId="32" fillId="11" borderId="92" xfId="46" applyNumberFormat="1" applyFont="1" applyFill="1" applyBorder="1" applyAlignment="1">
      <alignment horizontal="center" vertical="center"/>
    </xf>
    <xf numFmtId="2" fontId="9" fillId="11" borderId="95" xfId="20" applyNumberFormat="1" applyFont="1" applyFill="1" applyBorder="1" applyAlignment="1">
      <alignment horizontal="right" vertical="center"/>
    </xf>
    <xf numFmtId="0" fontId="9" fillId="11" borderId="94" xfId="46" applyFont="1" applyFill="1" applyBorder="1" applyAlignment="1">
      <alignment horizontal="right" vertical="center"/>
    </xf>
    <xf numFmtId="44" fontId="37" fillId="3" borderId="0" xfId="46" applyNumberFormat="1" applyFont="1" applyFill="1" applyAlignment="1">
      <alignment vertical="center"/>
    </xf>
    <xf numFmtId="165" fontId="32" fillId="3" borderId="95" xfId="46" applyNumberFormat="1" applyFont="1" applyFill="1" applyBorder="1" applyAlignment="1">
      <alignment horizontal="center" vertical="center" wrapText="1"/>
    </xf>
    <xf numFmtId="192" fontId="45" fillId="3" borderId="105" xfId="46" applyNumberFormat="1" applyFont="1" applyFill="1" applyBorder="1" applyAlignment="1">
      <alignment horizontal="center" vertical="center"/>
    </xf>
    <xf numFmtId="43" fontId="46" fillId="3" borderId="0" xfId="25" applyFont="1" applyFill="1" applyAlignment="1">
      <alignment horizontal="center" vertical="center"/>
    </xf>
    <xf numFmtId="10" fontId="45" fillId="3" borderId="105" xfId="46" applyNumberFormat="1" applyFont="1" applyFill="1" applyBorder="1" applyAlignment="1">
      <alignment horizontal="center" vertical="center"/>
    </xf>
    <xf numFmtId="43" fontId="9" fillId="3" borderId="0" xfId="44" applyFont="1" applyFill="1" applyAlignment="1">
      <alignment vertical="center"/>
    </xf>
    <xf numFmtId="0" fontId="32" fillId="13" borderId="93" xfId="46" applyFont="1" applyFill="1" applyBorder="1" applyAlignment="1">
      <alignment horizontal="left" vertical="center"/>
    </xf>
    <xf numFmtId="0" fontId="32" fillId="13" borderId="95" xfId="46" applyFont="1" applyFill="1" applyBorder="1" applyAlignment="1">
      <alignment horizontal="left" vertical="center"/>
    </xf>
    <xf numFmtId="9" fontId="32" fillId="13" borderId="95" xfId="12" applyFont="1" applyFill="1" applyBorder="1" applyAlignment="1">
      <alignment vertical="center"/>
    </xf>
    <xf numFmtId="0" fontId="32" fillId="13" borderId="95" xfId="46" applyFont="1" applyFill="1" applyBorder="1" applyAlignment="1">
      <alignment horizontal="right" vertical="center"/>
    </xf>
    <xf numFmtId="2" fontId="32" fillId="13" borderId="95" xfId="46" applyNumberFormat="1" applyFont="1" applyFill="1" applyBorder="1" applyAlignment="1">
      <alignment horizontal="right" vertical="center"/>
    </xf>
    <xf numFmtId="182" fontId="32" fillId="13" borderId="94" xfId="46" applyNumberFormat="1" applyFont="1" applyFill="1" applyBorder="1" applyAlignment="1">
      <alignment horizontal="center" vertical="center"/>
    </xf>
    <xf numFmtId="10" fontId="32" fillId="13" borderId="92" xfId="46" applyNumberFormat="1" applyFont="1" applyFill="1" applyBorder="1" applyAlignment="1">
      <alignment horizontal="center" vertical="center"/>
    </xf>
    <xf numFmtId="182" fontId="32" fillId="3" borderId="95" xfId="46" applyNumberFormat="1" applyFont="1" applyFill="1" applyBorder="1" applyAlignment="1">
      <alignment horizontal="center" vertical="center"/>
    </xf>
    <xf numFmtId="10" fontId="32" fillId="3" borderId="96" xfId="46" applyNumberFormat="1" applyFont="1" applyFill="1" applyBorder="1" applyAlignment="1">
      <alignment horizontal="center" vertical="center"/>
    </xf>
    <xf numFmtId="169" fontId="32" fillId="3" borderId="0" xfId="46" applyNumberFormat="1" applyFont="1" applyFill="1" applyAlignment="1">
      <alignment vertical="center"/>
    </xf>
    <xf numFmtId="0" fontId="9" fillId="3" borderId="93" xfId="46" applyFont="1" applyFill="1" applyBorder="1" applyAlignment="1">
      <alignment horizontal="left" vertical="center"/>
    </xf>
    <xf numFmtId="9" fontId="9" fillId="0" borderId="91" xfId="12" applyFont="1" applyBorder="1" applyAlignment="1">
      <alignment horizontal="center" vertical="center"/>
    </xf>
    <xf numFmtId="42" fontId="9" fillId="0" borderId="91" xfId="11" applyFont="1" applyBorder="1" applyAlignment="1">
      <alignment horizontal="right" vertical="center"/>
    </xf>
    <xf numFmtId="43" fontId="9" fillId="0" borderId="91" xfId="26" applyFont="1" applyFill="1" applyBorder="1" applyAlignment="1">
      <alignment horizontal="right" vertical="center"/>
    </xf>
    <xf numFmtId="166" fontId="9" fillId="3" borderId="92" xfId="27" applyFont="1" applyFill="1" applyBorder="1" applyAlignment="1">
      <alignment horizontal="center" vertical="center"/>
    </xf>
    <xf numFmtId="166" fontId="9" fillId="3" borderId="0" xfId="46" applyNumberFormat="1" applyFont="1" applyFill="1" applyAlignment="1">
      <alignment vertical="center"/>
    </xf>
    <xf numFmtId="0" fontId="32" fillId="3" borderId="88" xfId="46" applyFont="1" applyFill="1" applyBorder="1" applyAlignment="1">
      <alignment horizontal="left" vertical="center"/>
    </xf>
    <xf numFmtId="9" fontId="32" fillId="3" borderId="88" xfId="12" applyFont="1" applyFill="1" applyBorder="1" applyAlignment="1">
      <alignment vertical="center"/>
    </xf>
    <xf numFmtId="0" fontId="32" fillId="3" borderId="88" xfId="46" applyFont="1" applyFill="1" applyBorder="1" applyAlignment="1">
      <alignment horizontal="right" vertical="center"/>
    </xf>
    <xf numFmtId="42" fontId="32" fillId="3" borderId="88" xfId="11" applyFont="1" applyFill="1" applyBorder="1" applyAlignment="1">
      <alignment horizontal="right" vertical="center"/>
    </xf>
    <xf numFmtId="182" fontId="32" fillId="3" borderId="106" xfId="46" applyNumberFormat="1" applyFont="1" applyFill="1" applyBorder="1" applyAlignment="1">
      <alignment horizontal="center" vertical="center"/>
    </xf>
    <xf numFmtId="10" fontId="32" fillId="3" borderId="107" xfId="46" applyNumberFormat="1" applyFont="1" applyFill="1" applyBorder="1" applyAlignment="1">
      <alignment horizontal="center" vertical="center"/>
    </xf>
    <xf numFmtId="0" fontId="9" fillId="3" borderId="95" xfId="46" applyFont="1" applyFill="1" applyBorder="1" applyAlignment="1">
      <alignment horizontal="left" vertical="center"/>
    </xf>
    <xf numFmtId="42" fontId="9" fillId="3" borderId="95" xfId="11" applyFont="1" applyFill="1" applyBorder="1" applyAlignment="1">
      <alignment horizontal="left" vertical="center"/>
    </xf>
    <xf numFmtId="0" fontId="9" fillId="3" borderId="94" xfId="46" applyFont="1" applyFill="1" applyBorder="1" applyAlignment="1">
      <alignment horizontal="left" vertical="center"/>
    </xf>
    <xf numFmtId="42" fontId="9" fillId="0" borderId="95" xfId="11" applyFont="1" applyBorder="1" applyAlignment="1">
      <alignment horizontal="left" vertical="center"/>
    </xf>
    <xf numFmtId="10" fontId="30" fillId="3" borderId="0" xfId="46" applyNumberFormat="1" applyFont="1" applyFill="1" applyAlignment="1">
      <alignment vertical="center"/>
    </xf>
    <xf numFmtId="42" fontId="32" fillId="0" borderId="95" xfId="11" applyFont="1" applyBorder="1" applyAlignment="1">
      <alignment horizontal="right" vertical="center"/>
    </xf>
    <xf numFmtId="182" fontId="32" fillId="0" borderId="94" xfId="46" applyNumberFormat="1" applyFont="1" applyBorder="1" applyAlignment="1">
      <alignment horizontal="center" vertical="center"/>
    </xf>
    <xf numFmtId="182" fontId="32" fillId="0" borderId="95" xfId="46" applyNumberFormat="1" applyFont="1" applyBorder="1" applyAlignment="1">
      <alignment horizontal="center" vertical="center"/>
    </xf>
    <xf numFmtId="9" fontId="9" fillId="3" borderId="91" xfId="12" applyFont="1" applyFill="1" applyBorder="1" applyAlignment="1">
      <alignment horizontal="center" vertical="center"/>
    </xf>
    <xf numFmtId="0" fontId="32" fillId="3" borderId="108" xfId="46" applyFont="1" applyFill="1" applyBorder="1" applyAlignment="1">
      <alignment horizontal="left" vertical="center"/>
    </xf>
    <xf numFmtId="0" fontId="32" fillId="3" borderId="99" xfId="46" applyFont="1" applyFill="1" applyBorder="1" applyAlignment="1">
      <alignment horizontal="left" vertical="center"/>
    </xf>
    <xf numFmtId="9" fontId="32" fillId="3" borderId="99" xfId="12" applyFont="1" applyFill="1" applyBorder="1" applyAlignment="1">
      <alignment vertical="center"/>
    </xf>
    <xf numFmtId="0" fontId="32" fillId="3" borderId="99" xfId="46" applyFont="1" applyFill="1" applyBorder="1" applyAlignment="1">
      <alignment horizontal="right" vertical="center"/>
    </xf>
    <xf numFmtId="42" fontId="32" fillId="0" borderId="99" xfId="11" applyFont="1" applyBorder="1" applyAlignment="1">
      <alignment horizontal="right" vertical="center"/>
    </xf>
    <xf numFmtId="182" fontId="32" fillId="0" borderId="99" xfId="46" applyNumberFormat="1" applyFont="1" applyBorder="1" applyAlignment="1">
      <alignment horizontal="center" vertical="center"/>
    </xf>
    <xf numFmtId="10" fontId="32" fillId="3" borderId="109" xfId="46" applyNumberFormat="1" applyFont="1" applyFill="1" applyBorder="1" applyAlignment="1">
      <alignment horizontal="center" vertical="center"/>
    </xf>
    <xf numFmtId="0" fontId="32" fillId="3" borderId="110" xfId="46" applyFont="1" applyFill="1" applyBorder="1" applyAlignment="1">
      <alignment horizontal="left" vertical="center"/>
    </xf>
    <xf numFmtId="0" fontId="9" fillId="3" borderId="112" xfId="46" applyFont="1" applyFill="1" applyBorder="1" applyAlignment="1">
      <alignment horizontal="center" vertical="center"/>
    </xf>
    <xf numFmtId="182" fontId="9" fillId="0" borderId="100" xfId="46" applyNumberFormat="1" applyFont="1" applyBorder="1" applyAlignment="1">
      <alignment horizontal="center" vertical="center"/>
    </xf>
    <xf numFmtId="0" fontId="9" fillId="3" borderId="100" xfId="46" applyFont="1" applyFill="1" applyBorder="1" applyAlignment="1">
      <alignment vertical="center"/>
    </xf>
    <xf numFmtId="0" fontId="9" fillId="3" borderId="87" xfId="46" applyFont="1" applyFill="1" applyBorder="1" applyAlignment="1">
      <alignment horizontal="left" vertical="center"/>
    </xf>
    <xf numFmtId="9" fontId="9" fillId="3" borderId="115" xfId="12" applyFont="1" applyFill="1" applyBorder="1" applyAlignment="1">
      <alignment horizontal="center" vertical="center"/>
    </xf>
    <xf numFmtId="42" fontId="9" fillId="0" borderId="115" xfId="11" applyFont="1" applyBorder="1" applyAlignment="1">
      <alignment horizontal="right" vertical="center"/>
    </xf>
    <xf numFmtId="166" fontId="9" fillId="3" borderId="107" xfId="27" applyFont="1" applyFill="1" applyBorder="1" applyAlignment="1">
      <alignment horizontal="center" vertical="center"/>
    </xf>
    <xf numFmtId="43" fontId="9" fillId="0" borderId="91" xfId="26" applyFont="1" applyBorder="1" applyAlignment="1">
      <alignment horizontal="right" vertical="center"/>
    </xf>
    <xf numFmtId="197" fontId="30" fillId="3" borderId="0" xfId="46" applyNumberFormat="1" applyFont="1" applyFill="1" applyAlignment="1">
      <alignment vertical="center"/>
    </xf>
    <xf numFmtId="42" fontId="9" fillId="3" borderId="91" xfId="11" applyFont="1" applyFill="1" applyBorder="1" applyAlignment="1">
      <alignment horizontal="right" vertical="center"/>
    </xf>
    <xf numFmtId="43" fontId="9" fillId="3" borderId="91" xfId="26" applyFont="1" applyFill="1" applyBorder="1" applyAlignment="1">
      <alignment horizontal="right" vertical="center"/>
    </xf>
    <xf numFmtId="166" fontId="30" fillId="3" borderId="0" xfId="46" applyNumberFormat="1" applyFont="1" applyFill="1" applyAlignment="1">
      <alignment vertical="center"/>
    </xf>
    <xf numFmtId="44" fontId="30" fillId="3" borderId="0" xfId="46" applyNumberFormat="1" applyFont="1" applyFill="1" applyAlignment="1">
      <alignment vertical="center"/>
    </xf>
    <xf numFmtId="2" fontId="9" fillId="3" borderId="95" xfId="46" applyNumberFormat="1" applyFont="1" applyFill="1" applyBorder="1" applyAlignment="1">
      <alignment horizontal="left" vertical="center"/>
    </xf>
    <xf numFmtId="0" fontId="9" fillId="3" borderId="93" xfId="46" applyFont="1" applyFill="1" applyBorder="1" applyAlignment="1">
      <alignment horizontal="right" vertical="center"/>
    </xf>
    <xf numFmtId="44" fontId="9" fillId="3" borderId="0" xfId="46" applyNumberFormat="1" applyFont="1" applyFill="1" applyAlignment="1">
      <alignment vertical="center"/>
    </xf>
    <xf numFmtId="2" fontId="30" fillId="3" borderId="0" xfId="46" applyNumberFormat="1" applyFont="1" applyFill="1" applyAlignment="1">
      <alignment vertical="center"/>
    </xf>
    <xf numFmtId="198" fontId="9" fillId="3" borderId="0" xfId="46" applyNumberFormat="1" applyFont="1" applyFill="1" applyAlignment="1">
      <alignment vertical="center"/>
    </xf>
    <xf numFmtId="2" fontId="30" fillId="3" borderId="0" xfId="11" applyNumberFormat="1" applyFont="1" applyFill="1" applyAlignment="1">
      <alignment vertical="center"/>
    </xf>
    <xf numFmtId="2" fontId="37" fillId="3" borderId="0" xfId="46" applyNumberFormat="1" applyFont="1" applyFill="1" applyAlignment="1">
      <alignment vertical="center"/>
    </xf>
    <xf numFmtId="181" fontId="32" fillId="11" borderId="92" xfId="46" applyNumberFormat="1" applyFont="1" applyFill="1" applyBorder="1" applyAlignment="1">
      <alignment horizontal="center" vertical="center"/>
    </xf>
    <xf numFmtId="182" fontId="47" fillId="3" borderId="0" xfId="46" applyNumberFormat="1" applyFont="1" applyFill="1" applyAlignment="1">
      <alignment vertical="center"/>
    </xf>
    <xf numFmtId="0" fontId="32" fillId="11" borderId="116" xfId="46" applyFont="1" applyFill="1" applyBorder="1" applyAlignment="1">
      <alignment horizontal="left" vertical="center"/>
    </xf>
    <xf numFmtId="0" fontId="32" fillId="11" borderId="117" xfId="46" applyFont="1" applyFill="1" applyBorder="1" applyAlignment="1">
      <alignment horizontal="left" vertical="center"/>
    </xf>
    <xf numFmtId="0" fontId="9" fillId="11" borderId="117" xfId="46" applyFont="1" applyFill="1" applyBorder="1" applyAlignment="1">
      <alignment horizontal="left" vertical="center"/>
    </xf>
    <xf numFmtId="9" fontId="9" fillId="11" borderId="117" xfId="12" applyFont="1" applyFill="1" applyBorder="1" applyAlignment="1">
      <alignment vertical="center"/>
    </xf>
    <xf numFmtId="0" fontId="9" fillId="11" borderId="117" xfId="46" applyFont="1" applyFill="1" applyBorder="1" applyAlignment="1">
      <alignment horizontal="right" vertical="center"/>
    </xf>
    <xf numFmtId="2" fontId="9" fillId="11" borderId="117" xfId="46" applyNumberFormat="1" applyFont="1" applyFill="1" applyBorder="1" applyAlignment="1">
      <alignment horizontal="right" vertical="center"/>
    </xf>
    <xf numFmtId="10" fontId="9" fillId="11" borderId="118" xfId="46" applyNumberFormat="1" applyFont="1" applyFill="1" applyBorder="1" applyAlignment="1">
      <alignment horizontal="right" vertical="center"/>
    </xf>
    <xf numFmtId="10" fontId="32" fillId="11" borderId="119" xfId="5" applyNumberFormat="1" applyFont="1" applyFill="1" applyBorder="1" applyAlignment="1">
      <alignment horizontal="center" vertical="center"/>
    </xf>
    <xf numFmtId="43" fontId="30" fillId="3" borderId="0" xfId="25" applyFont="1" applyFill="1" applyAlignment="1">
      <alignment vertical="center"/>
    </xf>
    <xf numFmtId="44" fontId="5" fillId="2" borderId="22" xfId="3" applyNumberFormat="1" applyFont="1" applyFill="1" applyBorder="1" applyAlignment="1">
      <alignment vertical="center"/>
    </xf>
    <xf numFmtId="44" fontId="6" fillId="0" borderId="120" xfId="4" applyFont="1" applyBorder="1" applyAlignment="1">
      <alignment horizontal="center" vertical="center"/>
    </xf>
    <xf numFmtId="44" fontId="6" fillId="0" borderId="72" xfId="4" applyFont="1" applyBorder="1" applyAlignment="1">
      <alignment horizontal="center" vertical="center"/>
    </xf>
    <xf numFmtId="0" fontId="5" fillId="2" borderId="0" xfId="3" applyFont="1" applyFill="1" applyBorder="1" applyAlignment="1">
      <alignment vertical="center"/>
    </xf>
    <xf numFmtId="44" fontId="5" fillId="2" borderId="35" xfId="3" applyNumberFormat="1" applyFont="1" applyFill="1" applyBorder="1" applyAlignment="1">
      <alignment vertical="center"/>
    </xf>
    <xf numFmtId="44" fontId="6" fillId="0" borderId="3" xfId="4" applyFont="1" applyFill="1" applyBorder="1" applyAlignment="1">
      <alignment horizontal="center" vertical="center"/>
    </xf>
    <xf numFmtId="0" fontId="6" fillId="0" borderId="72" xfId="0" applyFont="1" applyBorder="1" applyAlignment="1">
      <alignment vertical="center" wrapText="1"/>
    </xf>
    <xf numFmtId="44" fontId="6" fillId="0" borderId="120" xfId="4" applyFont="1" applyFill="1" applyBorder="1" applyAlignment="1">
      <alignment horizontal="center" vertical="center"/>
    </xf>
    <xf numFmtId="44" fontId="5" fillId="2" borderId="39" xfId="3" applyNumberFormat="1" applyFont="1" applyFill="1" applyBorder="1" applyAlignment="1">
      <alignment vertical="center"/>
    </xf>
    <xf numFmtId="44" fontId="6" fillId="0" borderId="71" xfId="4" applyFont="1" applyFill="1" applyBorder="1" applyAlignment="1">
      <alignment horizontal="center" vertical="center"/>
    </xf>
    <xf numFmtId="44" fontId="5" fillId="2" borderId="19" xfId="4" applyFont="1" applyFill="1" applyBorder="1" applyAlignment="1">
      <alignment vertical="center"/>
    </xf>
    <xf numFmtId="44" fontId="6" fillId="0" borderId="3" xfId="4" applyFont="1" applyBorder="1" applyAlignment="1">
      <alignment horizontal="center" vertical="center"/>
    </xf>
    <xf numFmtId="44" fontId="9" fillId="0" borderId="121" xfId="4" applyFont="1" applyBorder="1" applyAlignment="1">
      <alignment horizontal="center" vertical="center"/>
    </xf>
    <xf numFmtId="44" fontId="5" fillId="2" borderId="22" xfId="4" applyFont="1" applyFill="1" applyBorder="1" applyAlignment="1">
      <alignment vertical="center"/>
    </xf>
    <xf numFmtId="0" fontId="9" fillId="0" borderId="72" xfId="0" applyFont="1" applyBorder="1" applyAlignment="1">
      <alignment vertical="center"/>
    </xf>
    <xf numFmtId="44" fontId="9" fillId="0" borderId="122" xfId="4" applyFont="1" applyBorder="1" applyAlignment="1">
      <alignment horizontal="center" vertical="center"/>
    </xf>
    <xf numFmtId="44" fontId="9" fillId="0" borderId="120" xfId="4" applyFont="1" applyFill="1" applyBorder="1" applyAlignment="1">
      <alignment horizontal="center" vertical="center"/>
    </xf>
    <xf numFmtId="44" fontId="6" fillId="0" borderId="22" xfId="4" applyFont="1" applyBorder="1" applyAlignment="1">
      <alignment horizontal="center" vertical="center"/>
    </xf>
    <xf numFmtId="0" fontId="6" fillId="0" borderId="0" xfId="0" applyFont="1" applyBorder="1" applyAlignment="1">
      <alignment vertical="center"/>
    </xf>
    <xf numFmtId="0" fontId="6" fillId="0" borderId="0" xfId="0" applyFont="1" applyBorder="1" applyAlignment="1">
      <alignment horizontal="center" vertical="center"/>
    </xf>
    <xf numFmtId="2" fontId="6" fillId="0" borderId="0" xfId="0" applyNumberFormat="1" applyFont="1" applyBorder="1" applyAlignment="1">
      <alignment horizontal="center" vertical="center"/>
    </xf>
    <xf numFmtId="9" fontId="8" fillId="2" borderId="72" xfId="5" applyFont="1" applyFill="1" applyBorder="1" applyAlignment="1">
      <alignment horizontal="center" vertical="center"/>
    </xf>
    <xf numFmtId="0" fontId="8" fillId="2" borderId="4" xfId="3" applyFont="1" applyFill="1" applyBorder="1" applyAlignment="1">
      <alignment horizontal="right" vertical="center"/>
    </xf>
    <xf numFmtId="0" fontId="8" fillId="2" borderId="72" xfId="3" applyFont="1" applyFill="1" applyBorder="1" applyAlignment="1">
      <alignment horizontal="right" vertical="center"/>
    </xf>
    <xf numFmtId="0" fontId="5" fillId="2" borderId="30" xfId="3" applyFont="1" applyFill="1" applyBorder="1" applyAlignment="1">
      <alignment horizontal="right" vertical="center"/>
    </xf>
    <xf numFmtId="0" fontId="5" fillId="2" borderId="76" xfId="3" applyFont="1" applyFill="1" applyBorder="1" applyAlignment="1">
      <alignment horizontal="right" vertical="center"/>
    </xf>
    <xf numFmtId="0" fontId="5" fillId="2" borderId="73" xfId="3" applyFont="1" applyFill="1" applyBorder="1" applyAlignment="1">
      <alignment horizontal="right"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2" fillId="0" borderId="23" xfId="1" applyFont="1" applyBorder="1" applyAlignment="1">
      <alignment vertical="center"/>
    </xf>
    <xf numFmtId="0" fontId="2" fillId="0" borderId="15" xfId="1" applyFont="1" applyBorder="1" applyAlignment="1">
      <alignment vertical="center"/>
    </xf>
    <xf numFmtId="0" fontId="2" fillId="0" borderId="9" xfId="1" applyFont="1" applyBorder="1" applyAlignment="1">
      <alignment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4" xfId="1" applyFont="1" applyBorder="1" applyAlignment="1">
      <alignment horizontal="center" vertical="center"/>
    </xf>
    <xf numFmtId="0" fontId="3" fillId="0" borderId="5" xfId="1" applyFont="1" applyBorder="1" applyAlignment="1">
      <alignment horizontal="center" vertical="center"/>
    </xf>
    <xf numFmtId="0" fontId="5" fillId="2" borderId="2" xfId="2" applyFont="1" applyFill="1" applyBorder="1" applyAlignment="1">
      <alignment horizontal="center" vertical="center" wrapText="1"/>
    </xf>
    <xf numFmtId="0" fontId="5" fillId="2" borderId="8" xfId="2" applyFont="1" applyFill="1" applyBorder="1" applyAlignment="1">
      <alignment horizontal="center" vertical="center" wrapText="1"/>
    </xf>
    <xf numFmtId="0" fontId="5" fillId="2" borderId="28" xfId="3" applyFont="1" applyFill="1" applyBorder="1" applyAlignment="1">
      <alignment horizontal="right" vertical="center"/>
    </xf>
    <xf numFmtId="0" fontId="5" fillId="2" borderId="29" xfId="3" applyFont="1" applyFill="1" applyBorder="1" applyAlignment="1">
      <alignment horizontal="right" vertical="center"/>
    </xf>
    <xf numFmtId="0" fontId="5" fillId="2" borderId="14" xfId="3" applyFont="1" applyFill="1" applyBorder="1" applyAlignment="1">
      <alignment horizontal="right" vertical="center"/>
    </xf>
    <xf numFmtId="0" fontId="3" fillId="0" borderId="79" xfId="1" applyFont="1" applyBorder="1" applyAlignment="1">
      <alignment horizontal="center" vertical="center"/>
    </xf>
    <xf numFmtId="0" fontId="3" fillId="0" borderId="38" xfId="1" applyFont="1" applyBorder="1" applyAlignment="1">
      <alignment horizontal="center" vertical="center"/>
    </xf>
    <xf numFmtId="0" fontId="3" fillId="0" borderId="39" xfId="1" applyFont="1" applyBorder="1" applyAlignment="1">
      <alignment horizontal="center" vertical="center"/>
    </xf>
    <xf numFmtId="0" fontId="3" fillId="0" borderId="41" xfId="1" applyFont="1" applyBorder="1" applyAlignment="1">
      <alignment horizontal="center" vertical="center"/>
    </xf>
    <xf numFmtId="0" fontId="3" fillId="0" borderId="0" xfId="1" applyFont="1" applyBorder="1" applyAlignment="1">
      <alignment horizontal="center" vertical="center"/>
    </xf>
    <xf numFmtId="0" fontId="3" fillId="0" borderId="35" xfId="1" applyFont="1" applyBorder="1" applyAlignment="1">
      <alignment horizontal="center" vertical="center"/>
    </xf>
    <xf numFmtId="0" fontId="3" fillId="0" borderId="9" xfId="1" applyFont="1" applyBorder="1" applyAlignment="1">
      <alignment horizontal="center" vertical="center"/>
    </xf>
    <xf numFmtId="0" fontId="3" fillId="0" borderId="25" xfId="1" applyFont="1" applyBorder="1" applyAlignment="1">
      <alignment horizontal="center" vertical="center"/>
    </xf>
    <xf numFmtId="0" fontId="3" fillId="0" borderId="19" xfId="1" applyFont="1" applyBorder="1" applyAlignment="1">
      <alignment horizontal="center" vertical="center"/>
    </xf>
    <xf numFmtId="2" fontId="6" fillId="0" borderId="1" xfId="0" applyNumberFormat="1" applyFont="1" applyBorder="1" applyAlignment="1">
      <alignment horizontal="center" vertical="center"/>
    </xf>
    <xf numFmtId="2" fontId="6" fillId="0" borderId="7" xfId="0" applyNumberFormat="1" applyFont="1" applyBorder="1" applyAlignment="1">
      <alignment horizontal="center" vertical="center"/>
    </xf>
    <xf numFmtId="0" fontId="3" fillId="0" borderId="20" xfId="1" applyFont="1" applyBorder="1" applyAlignment="1">
      <alignment horizontal="center"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xf>
    <xf numFmtId="0" fontId="3" fillId="0" borderId="22" xfId="1" applyFont="1" applyBorder="1" applyAlignment="1">
      <alignment horizontal="center" vertical="center"/>
    </xf>
    <xf numFmtId="0" fontId="5" fillId="2" borderId="1"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2" borderId="6" xfId="2" applyFont="1" applyFill="1" applyBorder="1" applyAlignment="1">
      <alignment horizontal="center" vertical="center" wrapText="1"/>
    </xf>
    <xf numFmtId="0" fontId="5" fillId="2" borderId="31" xfId="3" applyFont="1" applyFill="1" applyBorder="1" applyAlignment="1">
      <alignment horizontal="right" vertical="center"/>
    </xf>
    <xf numFmtId="0" fontId="5" fillId="2" borderId="32" xfId="3" applyFont="1" applyFill="1" applyBorder="1" applyAlignment="1">
      <alignment horizontal="right" vertical="center"/>
    </xf>
    <xf numFmtId="0" fontId="5" fillId="2" borderId="18" xfId="3" applyFont="1" applyFill="1" applyBorder="1" applyAlignment="1">
      <alignment horizontal="right" vertical="center"/>
    </xf>
    <xf numFmtId="0" fontId="3" fillId="0" borderId="36" xfId="1" applyFont="1" applyBorder="1" applyAlignment="1">
      <alignment horizontal="center"/>
    </xf>
    <xf numFmtId="0" fontId="3" fillId="0" borderId="0" xfId="1" applyFont="1" applyBorder="1" applyAlignment="1">
      <alignment horizontal="center"/>
    </xf>
    <xf numFmtId="0" fontId="3" fillId="0" borderId="35" xfId="1" applyFont="1" applyBorder="1" applyAlignment="1">
      <alignment horizontal="center"/>
    </xf>
    <xf numFmtId="0" fontId="3" fillId="0" borderId="24" xfId="1" applyFont="1" applyBorder="1" applyAlignment="1">
      <alignment horizontal="center"/>
    </xf>
    <xf numFmtId="0" fontId="3" fillId="0" borderId="25" xfId="1" applyFont="1" applyBorder="1" applyAlignment="1">
      <alignment horizontal="center"/>
    </xf>
    <xf numFmtId="0" fontId="3" fillId="0" borderId="19" xfId="1" applyFont="1" applyBorder="1" applyAlignment="1">
      <alignment horizontal="center"/>
    </xf>
    <xf numFmtId="0" fontId="3" fillId="0" borderId="21" xfId="1" applyFont="1" applyBorder="1" applyAlignment="1">
      <alignment horizontal="center" vertical="center" wrapText="1"/>
    </xf>
    <xf numFmtId="0" fontId="5" fillId="2" borderId="10" xfId="2" applyFont="1" applyFill="1" applyBorder="1" applyAlignment="1">
      <alignment horizontal="center" vertical="center" wrapText="1"/>
    </xf>
    <xf numFmtId="0" fontId="3" fillId="0" borderId="78" xfId="1" applyFont="1" applyBorder="1" applyAlignment="1">
      <alignment horizontal="center" vertical="center"/>
    </xf>
    <xf numFmtId="0" fontId="3" fillId="0" borderId="66" xfId="1" applyFont="1" applyBorder="1" applyAlignment="1">
      <alignment horizontal="center" vertical="center"/>
    </xf>
    <xf numFmtId="0" fontId="5" fillId="2" borderId="7" xfId="2" applyFont="1" applyFill="1" applyBorder="1" applyAlignment="1">
      <alignment horizontal="center" vertical="center" wrapText="1"/>
    </xf>
    <xf numFmtId="0" fontId="31" fillId="2" borderId="20" xfId="46" applyFont="1" applyFill="1" applyBorder="1" applyAlignment="1">
      <alignment horizontal="center" vertical="center" wrapText="1"/>
    </xf>
    <xf numFmtId="0" fontId="31" fillId="2" borderId="21" xfId="46" applyFont="1" applyFill="1" applyBorder="1" applyAlignment="1">
      <alignment horizontal="center" vertical="center" wrapText="1"/>
    </xf>
    <xf numFmtId="0" fontId="31" fillId="2" borderId="22" xfId="46" applyFont="1" applyFill="1" applyBorder="1" applyAlignment="1">
      <alignment horizontal="center" vertical="center" wrapText="1"/>
    </xf>
    <xf numFmtId="0" fontId="32" fillId="2" borderId="37" xfId="46" applyFont="1" applyFill="1" applyBorder="1" applyAlignment="1">
      <alignment horizontal="center" vertical="center" wrapText="1"/>
    </xf>
    <xf numFmtId="0" fontId="32" fillId="2" borderId="38" xfId="46" applyFont="1" applyFill="1" applyBorder="1" applyAlignment="1">
      <alignment horizontal="center" vertical="center" wrapText="1"/>
    </xf>
    <xf numFmtId="0" fontId="32" fillId="2" borderId="39" xfId="46" applyFont="1" applyFill="1" applyBorder="1" applyAlignment="1">
      <alignment horizontal="center" vertical="center" wrapText="1"/>
    </xf>
    <xf numFmtId="0" fontId="32" fillId="2" borderId="24" xfId="46" applyFont="1" applyFill="1" applyBorder="1" applyAlignment="1">
      <alignment horizontal="center" vertical="center" wrapText="1"/>
    </xf>
    <xf numFmtId="0" fontId="32" fillId="2" borderId="25" xfId="46" applyFont="1" applyFill="1" applyBorder="1" applyAlignment="1">
      <alignment horizontal="center" vertical="center" wrapText="1"/>
    </xf>
    <xf numFmtId="0" fontId="32" fillId="2" borderId="19" xfId="46" applyFont="1" applyFill="1" applyBorder="1" applyAlignment="1">
      <alignment horizontal="center" vertical="center" wrapText="1"/>
    </xf>
    <xf numFmtId="0" fontId="32" fillId="2" borderId="20" xfId="6" applyFont="1" applyFill="1" applyBorder="1" applyAlignment="1">
      <alignment horizontal="center" wrapText="1"/>
    </xf>
    <xf numFmtId="0" fontId="32" fillId="2" borderId="21" xfId="6" applyFont="1" applyFill="1" applyBorder="1" applyAlignment="1">
      <alignment horizontal="center" wrapText="1"/>
    </xf>
    <xf numFmtId="0" fontId="32" fillId="2" borderId="22" xfId="6" applyFont="1" applyFill="1" applyBorder="1" applyAlignment="1">
      <alignment horizontal="center" wrapText="1"/>
    </xf>
    <xf numFmtId="0" fontId="32" fillId="3" borderId="90" xfId="46" applyFont="1" applyFill="1" applyBorder="1" applyAlignment="1">
      <alignment horizontal="left" vertical="center"/>
    </xf>
    <xf numFmtId="0" fontId="32" fillId="3" borderId="91" xfId="46" applyFont="1" applyFill="1" applyBorder="1" applyAlignment="1">
      <alignment horizontal="left" vertical="center"/>
    </xf>
    <xf numFmtId="0" fontId="32" fillId="3" borderId="92" xfId="46" applyFont="1" applyFill="1" applyBorder="1" applyAlignment="1">
      <alignment horizontal="left" vertical="center"/>
    </xf>
    <xf numFmtId="0" fontId="32" fillId="3" borderId="93" xfId="46" applyFont="1" applyFill="1" applyBorder="1" applyAlignment="1">
      <alignment horizontal="center" vertical="center" wrapText="1"/>
    </xf>
    <xf numFmtId="0" fontId="9" fillId="3" borderId="94" xfId="46" applyFont="1" applyFill="1" applyBorder="1" applyAlignment="1">
      <alignment horizontal="center" vertical="center" wrapText="1"/>
    </xf>
    <xf numFmtId="0" fontId="8" fillId="3" borderId="94" xfId="8" applyFont="1" applyFill="1" applyBorder="1" applyAlignment="1">
      <alignment horizontal="center" vertical="center" wrapText="1"/>
    </xf>
    <xf numFmtId="0" fontId="9" fillId="0" borderId="93" xfId="46" applyFont="1" applyBorder="1" applyAlignment="1">
      <alignment horizontal="center" vertical="center"/>
    </xf>
    <xf numFmtId="0" fontId="8" fillId="0" borderId="94" xfId="8" applyFont="1" applyBorder="1" applyAlignment="1">
      <alignment vertical="center"/>
    </xf>
    <xf numFmtId="0" fontId="34" fillId="0" borderId="93" xfId="46" applyFont="1" applyBorder="1" applyAlignment="1">
      <alignment horizontal="right" vertical="top"/>
    </xf>
    <xf numFmtId="0" fontId="34" fillId="0" borderId="94" xfId="8" applyFont="1" applyBorder="1" applyAlignment="1">
      <alignment horizontal="right" vertical="top"/>
    </xf>
    <xf numFmtId="0" fontId="34" fillId="0" borderId="98" xfId="46" applyFont="1" applyBorder="1" applyAlignment="1">
      <alignment horizontal="left" vertical="top" wrapText="1"/>
    </xf>
    <xf numFmtId="0" fontId="34" fillId="0" borderId="99" xfId="46" applyFont="1" applyBorder="1" applyAlignment="1">
      <alignment horizontal="left" vertical="top" wrapText="1"/>
    </xf>
    <xf numFmtId="165" fontId="9" fillId="3" borderId="0" xfId="46" applyNumberFormat="1" applyFont="1" applyFill="1" applyAlignment="1">
      <alignment horizontal="justify" vertical="center"/>
    </xf>
    <xf numFmtId="0" fontId="9" fillId="3" borderId="0" xfId="46" applyFont="1" applyFill="1" applyAlignment="1">
      <alignment horizontal="justify" vertical="center"/>
    </xf>
    <xf numFmtId="0" fontId="34" fillId="0" borderId="97" xfId="46" applyFont="1" applyBorder="1" applyAlignment="1">
      <alignment horizontal="left" vertical="top" wrapText="1"/>
    </xf>
    <xf numFmtId="0" fontId="34" fillId="0" borderId="95" xfId="46" applyFont="1" applyBorder="1" applyAlignment="1">
      <alignment horizontal="left" vertical="top" wrapText="1"/>
    </xf>
    <xf numFmtId="0" fontId="8" fillId="0" borderId="93" xfId="8" applyFont="1" applyBorder="1" applyAlignment="1">
      <alignment horizontal="center" vertical="center"/>
    </xf>
    <xf numFmtId="0" fontId="36" fillId="0" borderId="94" xfId="10" applyFont="1" applyBorder="1" applyAlignment="1">
      <alignment horizontal="center" vertical="center"/>
    </xf>
    <xf numFmtId="0" fontId="34" fillId="0" borderId="97" xfId="46" applyFont="1" applyBorder="1" applyAlignment="1">
      <alignment horizontal="center" vertical="top" wrapText="1"/>
    </xf>
    <xf numFmtId="0" fontId="34" fillId="0" borderId="95" xfId="46" applyFont="1" applyBorder="1" applyAlignment="1">
      <alignment horizontal="center" vertical="top" wrapText="1"/>
    </xf>
    <xf numFmtId="0" fontId="34" fillId="0" borderId="101" xfId="46" applyFont="1" applyBorder="1" applyAlignment="1">
      <alignment horizontal="left" vertical="top" wrapText="1"/>
    </xf>
    <xf numFmtId="0" fontId="34" fillId="0" borderId="88" xfId="46" applyFont="1" applyBorder="1" applyAlignment="1">
      <alignment horizontal="left" vertical="top" wrapText="1"/>
    </xf>
    <xf numFmtId="0" fontId="9" fillId="0" borderId="94" xfId="46" applyFont="1" applyBorder="1" applyAlignment="1">
      <alignment horizontal="center" vertical="center"/>
    </xf>
    <xf numFmtId="0" fontId="8" fillId="0" borderId="94" xfId="8" applyFont="1" applyBorder="1" applyAlignment="1">
      <alignment horizontal="center" vertical="center"/>
    </xf>
    <xf numFmtId="0" fontId="34" fillId="0" borderId="94" xfId="46" applyFont="1" applyBorder="1" applyAlignment="1">
      <alignment horizontal="right" vertical="top"/>
    </xf>
    <xf numFmtId="0" fontId="9" fillId="3" borderId="93" xfId="46" applyFont="1" applyFill="1" applyBorder="1" applyAlignment="1">
      <alignment horizontal="justify" vertical="center" wrapText="1"/>
    </xf>
    <xf numFmtId="0" fontId="9" fillId="3" borderId="95" xfId="46" applyFont="1" applyFill="1" applyBorder="1" applyAlignment="1">
      <alignment horizontal="justify" vertical="center" wrapText="1"/>
    </xf>
    <xf numFmtId="0" fontId="9" fillId="3" borderId="94" xfId="46" applyFont="1" applyFill="1" applyBorder="1" applyAlignment="1">
      <alignment horizontal="justify" vertical="center" wrapText="1"/>
    </xf>
    <xf numFmtId="0" fontId="32" fillId="3" borderId="95" xfId="46" applyFont="1" applyFill="1" applyBorder="1" applyAlignment="1">
      <alignment horizontal="center" vertical="center" wrapText="1"/>
    </xf>
    <xf numFmtId="0" fontId="32" fillId="3" borderId="94" xfId="46" applyFont="1" applyFill="1" applyBorder="1" applyAlignment="1">
      <alignment horizontal="center" vertical="center" wrapText="1"/>
    </xf>
    <xf numFmtId="37" fontId="32" fillId="0" borderId="90" xfId="46" applyNumberFormat="1" applyFont="1" applyBorder="1" applyAlignment="1">
      <alignment horizontal="left" vertical="center"/>
    </xf>
    <xf numFmtId="37" fontId="32" fillId="0" borderId="91" xfId="46" applyNumberFormat="1" applyFont="1" applyBorder="1" applyAlignment="1">
      <alignment horizontal="left" vertical="center"/>
    </xf>
    <xf numFmtId="0" fontId="9" fillId="0" borderId="93" xfId="46" applyFont="1" applyBorder="1" applyAlignment="1">
      <alignment horizontal="left" vertical="center" wrapText="1"/>
    </xf>
    <xf numFmtId="0" fontId="9" fillId="0" borderId="95" xfId="46" applyFont="1" applyBorder="1" applyAlignment="1">
      <alignment horizontal="left" vertical="center" wrapText="1"/>
    </xf>
    <xf numFmtId="37" fontId="32" fillId="3" borderId="93" xfId="46" applyNumberFormat="1" applyFont="1" applyFill="1" applyBorder="1" applyAlignment="1">
      <alignment horizontal="left" vertical="center"/>
    </xf>
    <xf numFmtId="37" fontId="32" fillId="3" borderId="95" xfId="46" applyNumberFormat="1" applyFont="1" applyFill="1" applyBorder="1" applyAlignment="1">
      <alignment horizontal="left" vertical="center"/>
    </xf>
    <xf numFmtId="37" fontId="32" fillId="3" borderId="94" xfId="46" applyNumberFormat="1" applyFont="1" applyFill="1" applyBorder="1" applyAlignment="1">
      <alignment horizontal="left" vertical="center"/>
    </xf>
    <xf numFmtId="193" fontId="32" fillId="3" borderId="93" xfId="46" applyNumberFormat="1" applyFont="1" applyFill="1" applyBorder="1" applyAlignment="1">
      <alignment vertical="center"/>
    </xf>
    <xf numFmtId="193" fontId="32" fillId="3" borderId="97" xfId="46" applyNumberFormat="1" applyFont="1" applyFill="1" applyBorder="1" applyAlignment="1">
      <alignment vertical="center"/>
    </xf>
    <xf numFmtId="193" fontId="32" fillId="3" borderId="92" xfId="46" applyNumberFormat="1" applyFont="1" applyFill="1" applyBorder="1" applyAlignment="1">
      <alignment vertical="center"/>
    </xf>
    <xf numFmtId="0" fontId="32" fillId="3" borderId="93" xfId="46" applyFont="1" applyFill="1" applyBorder="1" applyAlignment="1">
      <alignment horizontal="center" vertical="center"/>
    </xf>
    <xf numFmtId="0" fontId="32" fillId="3" borderId="95" xfId="46" applyFont="1" applyFill="1" applyBorder="1" applyAlignment="1">
      <alignment horizontal="center" vertical="center"/>
    </xf>
    <xf numFmtId="0" fontId="9" fillId="0" borderId="94" xfId="46" applyFont="1" applyBorder="1" applyAlignment="1">
      <alignment horizontal="left" vertical="center" wrapText="1"/>
    </xf>
    <xf numFmtId="0" fontId="9" fillId="0" borderId="93" xfId="46" applyFont="1" applyBorder="1" applyAlignment="1">
      <alignment horizontal="justify" vertical="center" wrapText="1"/>
    </xf>
    <xf numFmtId="0" fontId="9" fillId="0" borderId="95" xfId="46" applyFont="1" applyBorder="1" applyAlignment="1">
      <alignment horizontal="justify" vertical="center" wrapText="1"/>
    </xf>
    <xf numFmtId="0" fontId="9" fillId="0" borderId="94" xfId="46" applyFont="1" applyBorder="1" applyAlignment="1">
      <alignment horizontal="justify" vertical="center" wrapText="1"/>
    </xf>
    <xf numFmtId="37" fontId="32" fillId="3" borderId="90" xfId="46" applyNumberFormat="1" applyFont="1" applyFill="1" applyBorder="1" applyAlignment="1">
      <alignment horizontal="left" vertical="center"/>
    </xf>
    <xf numFmtId="37" fontId="32" fillId="3" borderId="91" xfId="46" applyNumberFormat="1" applyFont="1" applyFill="1" applyBorder="1" applyAlignment="1">
      <alignment horizontal="left" vertical="center"/>
    </xf>
    <xf numFmtId="0" fontId="32" fillId="3" borderId="93" xfId="46" applyFont="1" applyFill="1" applyBorder="1" applyAlignment="1">
      <alignment vertical="center"/>
    </xf>
    <xf numFmtId="0" fontId="32" fillId="3" borderId="97" xfId="46" applyFont="1" applyFill="1" applyBorder="1" applyAlignment="1">
      <alignment vertical="center"/>
    </xf>
    <xf numFmtId="0" fontId="32" fillId="3" borderId="92" xfId="46" applyFont="1" applyFill="1" applyBorder="1" applyAlignment="1">
      <alignment vertical="center"/>
    </xf>
    <xf numFmtId="0" fontId="32" fillId="3" borderId="90" xfId="46" applyFont="1" applyFill="1" applyBorder="1" applyAlignment="1">
      <alignment horizontal="center" vertical="center"/>
    </xf>
    <xf numFmtId="0" fontId="32" fillId="3" borderId="91" xfId="46" applyFont="1" applyFill="1" applyBorder="1" applyAlignment="1">
      <alignment horizontal="center" vertical="center"/>
    </xf>
    <xf numFmtId="0" fontId="32" fillId="3" borderId="102" xfId="46" applyFont="1" applyFill="1" applyBorder="1" applyAlignment="1">
      <alignment horizontal="center" vertical="center" textRotation="45" wrapText="1"/>
    </xf>
    <xf numFmtId="0" fontId="32" fillId="3" borderId="103" xfId="46" applyFont="1" applyFill="1" applyBorder="1" applyAlignment="1">
      <alignment horizontal="center" vertical="center" textRotation="45" wrapText="1"/>
    </xf>
    <xf numFmtId="0" fontId="32" fillId="3" borderId="104" xfId="46" applyFont="1" applyFill="1" applyBorder="1" applyAlignment="1">
      <alignment horizontal="center" vertical="center" textRotation="45" wrapText="1"/>
    </xf>
    <xf numFmtId="0" fontId="9" fillId="3" borderId="97" xfId="46" applyFont="1" applyFill="1" applyBorder="1" applyAlignment="1">
      <alignment vertical="center" wrapText="1"/>
    </xf>
    <xf numFmtId="0" fontId="8" fillId="3" borderId="94" xfId="8" applyFont="1" applyFill="1" applyBorder="1" applyAlignment="1">
      <alignment vertical="center" wrapText="1"/>
    </xf>
    <xf numFmtId="0" fontId="9" fillId="3" borderId="97" xfId="46" applyFont="1" applyFill="1" applyBorder="1" applyAlignment="1">
      <alignment horizontal="left" vertical="center" wrapText="1"/>
    </xf>
    <xf numFmtId="0" fontId="9" fillId="3" borderId="94" xfId="46" applyFont="1" applyFill="1" applyBorder="1" applyAlignment="1">
      <alignment horizontal="left" vertical="center" wrapText="1"/>
    </xf>
    <xf numFmtId="0" fontId="6" fillId="3" borderId="95" xfId="46" applyFont="1" applyFill="1" applyBorder="1" applyAlignment="1">
      <alignment horizontal="justify" vertical="center" wrapText="1"/>
    </xf>
    <xf numFmtId="0" fontId="6" fillId="3" borderId="94" xfId="46" applyFont="1" applyFill="1" applyBorder="1" applyAlignment="1">
      <alignment horizontal="justify" vertical="center" wrapText="1"/>
    </xf>
    <xf numFmtId="0" fontId="32" fillId="3" borderId="90" xfId="46" applyFont="1" applyFill="1" applyBorder="1" applyAlignment="1">
      <alignment horizontal="left" vertical="center" wrapText="1"/>
    </xf>
    <xf numFmtId="0" fontId="32" fillId="3" borderId="91" xfId="46" applyFont="1" applyFill="1" applyBorder="1" applyAlignment="1">
      <alignment horizontal="left" vertical="center" wrapText="1"/>
    </xf>
    <xf numFmtId="0" fontId="9" fillId="3" borderId="111" xfId="46" applyFont="1" applyFill="1" applyBorder="1" applyAlignment="1">
      <alignment horizontal="left" vertical="center"/>
    </xf>
    <xf numFmtId="0" fontId="9" fillId="3" borderId="112" xfId="46" applyFont="1" applyFill="1" applyBorder="1" applyAlignment="1">
      <alignment horizontal="left" vertical="center"/>
    </xf>
    <xf numFmtId="0" fontId="9" fillId="3" borderId="113" xfId="46" applyFont="1" applyFill="1" applyBorder="1" applyAlignment="1">
      <alignment horizontal="justify" vertical="center" wrapText="1"/>
    </xf>
    <xf numFmtId="0" fontId="9" fillId="3" borderId="114" xfId="46" applyFont="1" applyFill="1" applyBorder="1" applyAlignment="1">
      <alignment horizontal="justify" vertical="center" wrapText="1"/>
    </xf>
    <xf numFmtId="0" fontId="2" fillId="0" borderId="5" xfId="0" applyFont="1" applyBorder="1" applyAlignment="1">
      <alignment horizontal="left" vertical="center"/>
    </xf>
    <xf numFmtId="0" fontId="3" fillId="0" borderId="5" xfId="0" applyFont="1" applyBorder="1" applyAlignment="1">
      <alignment horizontal="left" vertical="center"/>
    </xf>
    <xf numFmtId="0" fontId="3" fillId="4" borderId="5" xfId="0" applyFont="1" applyFill="1" applyBorder="1" applyAlignment="1">
      <alignment horizontal="left" vertical="center"/>
    </xf>
    <xf numFmtId="0" fontId="2" fillId="0" borderId="5" xfId="0" applyFont="1" applyBorder="1" applyAlignment="1">
      <alignment horizontal="center" vertical="center"/>
    </xf>
    <xf numFmtId="0" fontId="2" fillId="0" borderId="5" xfId="0" applyFont="1" applyBorder="1" applyAlignment="1">
      <alignment horizontal="left" vertical="center" wrapText="1"/>
    </xf>
    <xf numFmtId="0" fontId="2" fillId="0" borderId="5" xfId="0" applyFont="1" applyBorder="1" applyAlignment="1">
      <alignment horizontal="center"/>
    </xf>
    <xf numFmtId="0" fontId="3" fillId="0" borderId="5" xfId="0" applyFont="1" applyBorder="1" applyAlignment="1">
      <alignment horizontal="center"/>
    </xf>
    <xf numFmtId="0" fontId="3" fillId="0" borderId="5" xfId="0" applyFont="1" applyBorder="1" applyAlignment="1">
      <alignment horizontal="center" vertical="center" wrapText="1"/>
    </xf>
    <xf numFmtId="0" fontId="2" fillId="0" borderId="72" xfId="0" applyFont="1" applyBorder="1" applyAlignment="1">
      <alignment horizontal="center"/>
    </xf>
    <xf numFmtId="0" fontId="3" fillId="0" borderId="72" xfId="0" applyFont="1" applyBorder="1" applyAlignment="1">
      <alignment horizontal="center"/>
    </xf>
    <xf numFmtId="0" fontId="3" fillId="0" borderId="72" xfId="0" applyFont="1" applyBorder="1" applyAlignment="1">
      <alignment horizontal="center" vertical="center" wrapText="1"/>
    </xf>
    <xf numFmtId="0" fontId="2" fillId="0" borderId="72" xfId="0" applyFont="1" applyBorder="1" applyAlignment="1">
      <alignment horizontal="left" vertical="center"/>
    </xf>
    <xf numFmtId="0" fontId="3" fillId="0" borderId="72" xfId="0" applyFont="1" applyBorder="1" applyAlignment="1">
      <alignment horizontal="left" vertical="center"/>
    </xf>
    <xf numFmtId="0" fontId="3" fillId="4" borderId="72" xfId="0" applyFont="1" applyFill="1" applyBorder="1" applyAlignment="1">
      <alignment horizontal="left" vertical="center"/>
    </xf>
    <xf numFmtId="0" fontId="2" fillId="0" borderId="72" xfId="0" applyFont="1" applyBorder="1" applyAlignment="1">
      <alignment horizontal="center" vertical="center"/>
    </xf>
    <xf numFmtId="0" fontId="2" fillId="6" borderId="5" xfId="0" applyFont="1" applyFill="1" applyBorder="1" applyAlignment="1">
      <alignment horizontal="left" vertical="center"/>
    </xf>
    <xf numFmtId="0" fontId="2" fillId="6" borderId="5" xfId="0" applyFont="1" applyFill="1" applyBorder="1" applyAlignment="1">
      <alignment horizontal="left" vertical="center" wrapText="1"/>
    </xf>
    <xf numFmtId="0" fontId="2" fillId="0" borderId="72" xfId="0" applyFont="1" applyBorder="1" applyAlignment="1">
      <alignment horizontal="left" vertical="center" wrapText="1"/>
    </xf>
    <xf numFmtId="0" fontId="2" fillId="6" borderId="72" xfId="0" applyFont="1" applyFill="1" applyBorder="1" applyAlignment="1">
      <alignment horizontal="left" vertical="center" wrapText="1"/>
    </xf>
    <xf numFmtId="0" fontId="2" fillId="0" borderId="40" xfId="0" applyFont="1" applyBorder="1" applyAlignment="1">
      <alignment horizontal="left" vertical="center"/>
    </xf>
    <xf numFmtId="0" fontId="2" fillId="0" borderId="17" xfId="0" applyFont="1" applyBorder="1" applyAlignment="1">
      <alignment horizontal="left" vertical="center"/>
    </xf>
    <xf numFmtId="0" fontId="2" fillId="0" borderId="16" xfId="0" applyFont="1" applyBorder="1" applyAlignment="1">
      <alignment horizontal="left" vertical="center"/>
    </xf>
    <xf numFmtId="0" fontId="2" fillId="6" borderId="75" xfId="0" applyFont="1" applyFill="1" applyBorder="1" applyAlignment="1">
      <alignment horizontal="left" vertical="center"/>
    </xf>
    <xf numFmtId="0" fontId="2" fillId="6" borderId="76" xfId="0" applyFont="1" applyFill="1" applyBorder="1" applyAlignment="1">
      <alignment horizontal="left" vertical="center"/>
    </xf>
    <xf numFmtId="0" fontId="2" fillId="6" borderId="73" xfId="0" applyFont="1" applyFill="1" applyBorder="1" applyAlignment="1">
      <alignment horizontal="left" vertical="center"/>
    </xf>
    <xf numFmtId="0" fontId="2" fillId="0" borderId="75" xfId="0" applyFont="1" applyBorder="1" applyAlignment="1">
      <alignment horizontal="left" vertical="center"/>
    </xf>
    <xf numFmtId="0" fontId="2" fillId="0" borderId="76" xfId="0" applyFont="1" applyBorder="1" applyAlignment="1">
      <alignment horizontal="left" vertical="center"/>
    </xf>
    <xf numFmtId="0" fontId="2" fillId="0" borderId="73" xfId="0" applyFont="1" applyBorder="1" applyAlignment="1">
      <alignment horizontal="left" vertical="center"/>
    </xf>
    <xf numFmtId="0" fontId="2" fillId="6" borderId="0" xfId="0" applyFont="1" applyFill="1" applyAlignment="1">
      <alignment horizontal="center" wrapText="1"/>
    </xf>
    <xf numFmtId="0" fontId="2" fillId="6" borderId="72" xfId="0" applyFont="1" applyFill="1" applyBorder="1" applyAlignment="1">
      <alignment horizontal="left" vertical="center"/>
    </xf>
    <xf numFmtId="0" fontId="2" fillId="6" borderId="0" xfId="0" applyFont="1" applyFill="1" applyAlignment="1">
      <alignment horizontal="center" vertical="center" wrapText="1"/>
    </xf>
    <xf numFmtId="0" fontId="2" fillId="0" borderId="75" xfId="0" applyFont="1" applyBorder="1" applyAlignment="1">
      <alignment horizontal="left" vertical="center" wrapText="1"/>
    </xf>
    <xf numFmtId="0" fontId="2" fillId="0" borderId="76" xfId="0" applyFont="1" applyBorder="1" applyAlignment="1">
      <alignment horizontal="left" vertical="center" wrapText="1"/>
    </xf>
    <xf numFmtId="0" fontId="2" fillId="0" borderId="73" xfId="0" applyFont="1" applyBorder="1" applyAlignment="1">
      <alignment horizontal="left" vertical="center" wrapText="1"/>
    </xf>
    <xf numFmtId="0" fontId="2" fillId="0" borderId="40" xfId="0" applyFont="1" applyBorder="1" applyAlignment="1">
      <alignment horizontal="left" vertical="center" wrapText="1"/>
    </xf>
    <xf numFmtId="0" fontId="2" fillId="0" borderId="17" xfId="0" applyFont="1" applyBorder="1" applyAlignment="1">
      <alignment horizontal="left" vertical="center" wrapText="1"/>
    </xf>
    <xf numFmtId="0" fontId="2" fillId="0" borderId="16" xfId="0" applyFont="1" applyBorder="1" applyAlignment="1">
      <alignment horizontal="left" vertical="center" wrapText="1"/>
    </xf>
    <xf numFmtId="44" fontId="2" fillId="0" borderId="75" xfId="0" applyNumberFormat="1" applyFont="1" applyBorder="1" applyAlignment="1">
      <alignment horizontal="left" vertical="center"/>
    </xf>
    <xf numFmtId="0" fontId="2" fillId="6" borderId="75" xfId="0" applyFont="1" applyFill="1" applyBorder="1" applyAlignment="1">
      <alignment horizontal="left" vertical="center" wrapText="1"/>
    </xf>
    <xf numFmtId="0" fontId="2" fillId="6" borderId="76" xfId="0" applyFont="1" applyFill="1" applyBorder="1" applyAlignment="1">
      <alignment horizontal="left" vertical="center" wrapText="1"/>
    </xf>
    <xf numFmtId="0" fontId="2" fillId="6" borderId="73" xfId="0" applyFont="1" applyFill="1" applyBorder="1" applyAlignment="1">
      <alignment horizontal="left" vertical="center" wrapText="1"/>
    </xf>
    <xf numFmtId="0" fontId="3" fillId="0" borderId="75" xfId="0" applyFont="1" applyBorder="1" applyAlignment="1">
      <alignment horizontal="center"/>
    </xf>
    <xf numFmtId="0" fontId="3" fillId="0" borderId="76" xfId="0" applyFont="1" applyBorder="1" applyAlignment="1">
      <alignment horizontal="center"/>
    </xf>
    <xf numFmtId="0" fontId="3" fillId="0" borderId="73" xfId="0" applyFont="1" applyBorder="1" applyAlignment="1">
      <alignment horizontal="center"/>
    </xf>
    <xf numFmtId="0" fontId="3" fillId="0" borderId="80" xfId="0" applyFont="1" applyBorder="1" applyAlignment="1">
      <alignment horizontal="center"/>
    </xf>
    <xf numFmtId="0" fontId="3" fillId="0" borderId="63" xfId="0" applyFont="1" applyBorder="1" applyAlignment="1">
      <alignment horizontal="center"/>
    </xf>
    <xf numFmtId="0" fontId="3" fillId="0" borderId="64" xfId="0" applyFont="1" applyBorder="1" applyAlignment="1">
      <alignment horizontal="center"/>
    </xf>
    <xf numFmtId="44" fontId="2" fillId="0" borderId="72" xfId="0" applyNumberFormat="1" applyFont="1" applyBorder="1" applyAlignment="1">
      <alignment horizontal="left" vertical="center" wrapText="1"/>
    </xf>
    <xf numFmtId="0" fontId="2" fillId="0" borderId="75" xfId="0" applyFont="1" applyBorder="1" applyAlignment="1">
      <alignment horizontal="center" vertical="center"/>
    </xf>
    <xf numFmtId="0" fontId="2" fillId="0" borderId="76" xfId="0" applyFont="1" applyBorder="1" applyAlignment="1">
      <alignment horizontal="center" vertical="center"/>
    </xf>
    <xf numFmtId="0" fontId="2" fillId="0" borderId="73" xfId="0" applyFont="1" applyBorder="1" applyAlignment="1">
      <alignment horizontal="center" vertical="center"/>
    </xf>
    <xf numFmtId="0" fontId="2" fillId="0" borderId="75" xfId="0" applyFont="1" applyBorder="1"/>
    <xf numFmtId="0" fontId="2" fillId="0" borderId="76" xfId="0" applyFont="1" applyBorder="1"/>
    <xf numFmtId="0" fontId="2" fillId="0" borderId="73" xfId="0" applyFont="1" applyBorder="1"/>
    <xf numFmtId="0" fontId="2" fillId="9" borderId="72" xfId="0" applyFont="1" applyFill="1" applyBorder="1" applyAlignment="1">
      <alignment horizontal="left" vertical="center"/>
    </xf>
    <xf numFmtId="0" fontId="2" fillId="9" borderId="75" xfId="0" applyFont="1" applyFill="1" applyBorder="1" applyAlignment="1">
      <alignment horizontal="left" vertical="center" wrapText="1"/>
    </xf>
    <xf numFmtId="0" fontId="2" fillId="9" borderId="76" xfId="0" applyFont="1" applyFill="1" applyBorder="1" applyAlignment="1">
      <alignment horizontal="left" vertical="center" wrapText="1"/>
    </xf>
    <xf numFmtId="0" fontId="2" fillId="9" borderId="73" xfId="0" applyFont="1" applyFill="1" applyBorder="1" applyAlignment="1">
      <alignment horizontal="left" vertical="center" wrapText="1"/>
    </xf>
    <xf numFmtId="0" fontId="3" fillId="0" borderId="75" xfId="0" applyFont="1" applyBorder="1" applyAlignment="1">
      <alignment horizontal="left" vertical="center"/>
    </xf>
    <xf numFmtId="0" fontId="3" fillId="0" borderId="76" xfId="0" applyFont="1" applyBorder="1" applyAlignment="1">
      <alignment horizontal="left" vertical="center"/>
    </xf>
    <xf numFmtId="0" fontId="3" fillId="0" borderId="73" xfId="0" applyFont="1" applyBorder="1" applyAlignment="1">
      <alignment horizontal="left" vertical="center"/>
    </xf>
    <xf numFmtId="0" fontId="3" fillId="0" borderId="72" xfId="0" applyFont="1" applyBorder="1" applyAlignment="1">
      <alignment horizontal="center" vertical="center"/>
    </xf>
    <xf numFmtId="0" fontId="3" fillId="0" borderId="72" xfId="0" applyFont="1" applyBorder="1" applyAlignment="1">
      <alignment horizontal="center" wrapText="1"/>
    </xf>
    <xf numFmtId="0" fontId="2" fillId="9" borderId="0" xfId="0" applyFont="1" applyFill="1" applyAlignment="1">
      <alignment horizontal="center" wrapText="1"/>
    </xf>
    <xf numFmtId="0" fontId="3" fillId="0" borderId="5" xfId="0" applyFont="1" applyBorder="1" applyAlignment="1">
      <alignment horizontal="center" wrapText="1"/>
    </xf>
    <xf numFmtId="0" fontId="3" fillId="0" borderId="40" xfId="0" applyFont="1" applyBorder="1" applyAlignment="1">
      <alignment horizontal="center" wrapText="1"/>
    </xf>
    <xf numFmtId="0" fontId="3" fillId="0" borderId="17" xfId="0" applyFont="1" applyBorder="1" applyAlignment="1">
      <alignment horizontal="center" wrapText="1"/>
    </xf>
    <xf numFmtId="0" fontId="3" fillId="0" borderId="16" xfId="0" applyFont="1" applyBorder="1" applyAlignment="1">
      <alignment horizontal="center" wrapText="1"/>
    </xf>
    <xf numFmtId="0" fontId="3" fillId="0" borderId="0" xfId="0" applyFont="1" applyBorder="1" applyAlignment="1">
      <alignment horizontal="center" vertical="center"/>
    </xf>
    <xf numFmtId="0" fontId="19" fillId="3" borderId="0" xfId="14" applyFont="1" applyFill="1" applyAlignment="1">
      <alignment horizontal="left"/>
    </xf>
    <xf numFmtId="0" fontId="8" fillId="0" borderId="44" xfId="3" applyFont="1" applyBorder="1" applyAlignment="1">
      <alignment horizontal="center" vertical="center"/>
    </xf>
    <xf numFmtId="0" fontId="8" fillId="0" borderId="44" xfId="3" applyFont="1" applyBorder="1" applyAlignment="1">
      <alignment horizontal="center" vertical="center" wrapText="1"/>
    </xf>
    <xf numFmtId="0" fontId="14" fillId="0" borderId="0" xfId="3" applyFont="1" applyAlignment="1">
      <alignment horizontal="center" vertical="center" wrapText="1"/>
    </xf>
    <xf numFmtId="0" fontId="15" fillId="0" borderId="0" xfId="3" applyFont="1" applyAlignment="1">
      <alignment horizontal="center" vertical="center" wrapText="1"/>
    </xf>
    <xf numFmtId="0" fontId="8" fillId="0" borderId="0" xfId="3" applyFont="1" applyAlignment="1">
      <alignment horizontal="center"/>
    </xf>
    <xf numFmtId="0" fontId="6" fillId="0" borderId="0" xfId="0" applyFont="1" applyAlignment="1">
      <alignment horizontal="center" vertical="center"/>
    </xf>
    <xf numFmtId="0" fontId="2" fillId="0" borderId="1" xfId="0" applyFont="1" applyBorder="1" applyAlignment="1">
      <alignment horizontal="center"/>
    </xf>
    <xf numFmtId="0" fontId="2" fillId="0" borderId="4" xfId="0" applyFont="1" applyBorder="1" applyAlignment="1">
      <alignment horizontal="center"/>
    </xf>
    <xf numFmtId="0" fontId="2" fillId="0" borderId="67" xfId="0" applyFont="1" applyBorder="1" applyAlignment="1">
      <alignment horizont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xf>
    <xf numFmtId="0" fontId="3" fillId="0" borderId="6" xfId="0" applyFont="1" applyBorder="1" applyAlignment="1">
      <alignment horizontal="center" vertical="center" wrapText="1"/>
    </xf>
    <xf numFmtId="0" fontId="3" fillId="0" borderId="33" xfId="0" applyFont="1" applyBorder="1" applyAlignment="1">
      <alignment horizontal="center"/>
    </xf>
    <xf numFmtId="0" fontId="3" fillId="0" borderId="65" xfId="0" applyFont="1" applyBorder="1" applyAlignment="1">
      <alignment horizontal="center"/>
    </xf>
    <xf numFmtId="0" fontId="8" fillId="0" borderId="40" xfId="3" applyFont="1" applyBorder="1" applyAlignment="1">
      <alignment horizontal="left" vertical="center" wrapText="1" shrinkToFit="1"/>
    </xf>
    <xf numFmtId="0" fontId="8" fillId="0" borderId="16" xfId="3" applyFont="1" applyBorder="1" applyAlignment="1">
      <alignment horizontal="left" vertical="center" wrapText="1" shrinkToFit="1"/>
    </xf>
    <xf numFmtId="0" fontId="8" fillId="0" borderId="28" xfId="3" applyFont="1" applyBorder="1" applyAlignment="1">
      <alignment horizontal="center" vertical="center" wrapText="1"/>
    </xf>
    <xf numFmtId="0" fontId="8" fillId="0" borderId="29" xfId="3" applyFont="1" applyBorder="1" applyAlignment="1">
      <alignment horizontal="center" vertical="center" wrapText="1"/>
    </xf>
    <xf numFmtId="0" fontId="8" fillId="0" borderId="26" xfId="3" applyFont="1" applyBorder="1" applyAlignment="1">
      <alignment horizontal="center" vertical="center" wrapText="1"/>
    </xf>
    <xf numFmtId="0" fontId="5" fillId="0" borderId="5" xfId="3" applyFont="1" applyBorder="1" applyAlignment="1">
      <alignment horizontal="center" vertical="center" wrapText="1"/>
    </xf>
    <xf numFmtId="0" fontId="21" fillId="0" borderId="0" xfId="3" applyFont="1" applyAlignment="1">
      <alignment horizontal="left" vertical="center" wrapText="1"/>
    </xf>
    <xf numFmtId="0" fontId="8" fillId="0" borderId="0" xfId="3" applyFont="1" applyAlignment="1">
      <alignment horizontal="left" wrapText="1"/>
    </xf>
    <xf numFmtId="0" fontId="8" fillId="0" borderId="69" xfId="15" applyFont="1" applyBorder="1" applyAlignment="1">
      <alignment horizontal="center" vertical="center" wrapText="1" shrinkToFit="1"/>
    </xf>
    <xf numFmtId="0" fontId="8" fillId="0" borderId="18" xfId="15" applyFont="1" applyBorder="1" applyAlignment="1">
      <alignment horizontal="center" vertical="center" wrapText="1" shrinkToFit="1"/>
    </xf>
    <xf numFmtId="0" fontId="20" fillId="0" borderId="0" xfId="3" applyFont="1" applyAlignment="1">
      <alignment horizontal="left" vertical="center"/>
    </xf>
    <xf numFmtId="49" fontId="5" fillId="0" borderId="12" xfId="3" applyNumberFormat="1" applyFont="1" applyBorder="1" applyAlignment="1">
      <alignment horizontal="center" vertical="center" wrapText="1"/>
    </xf>
    <xf numFmtId="49" fontId="5" fillId="0" borderId="13" xfId="3" applyNumberFormat="1" applyFont="1" applyBorder="1" applyAlignment="1">
      <alignment horizontal="center" vertical="center" wrapText="1"/>
    </xf>
    <xf numFmtId="49" fontId="5" fillId="0" borderId="68" xfId="3" applyNumberFormat="1" applyFont="1" applyBorder="1" applyAlignment="1">
      <alignment horizontal="center" vertical="center" wrapText="1"/>
    </xf>
    <xf numFmtId="0" fontId="8" fillId="0" borderId="40" xfId="15" applyFont="1" applyBorder="1" applyAlignment="1">
      <alignment horizontal="left" vertical="center" wrapText="1" shrinkToFit="1"/>
    </xf>
    <xf numFmtId="0" fontId="8" fillId="0" borderId="16" xfId="15" applyFont="1" applyBorder="1" applyAlignment="1">
      <alignment horizontal="left" vertical="center" wrapText="1" shrinkToFit="1"/>
    </xf>
    <xf numFmtId="0" fontId="3" fillId="0" borderId="1"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center"/>
    </xf>
    <xf numFmtId="0" fontId="3" fillId="0" borderId="67" xfId="0" applyFont="1" applyBorder="1" applyAlignment="1">
      <alignment horizontal="center"/>
    </xf>
    <xf numFmtId="0" fontId="3" fillId="0" borderId="3" xfId="0" applyFont="1" applyBorder="1" applyAlignment="1">
      <alignment horizontal="center"/>
    </xf>
    <xf numFmtId="0" fontId="3" fillId="0" borderId="33" xfId="0" applyFont="1" applyBorder="1" applyAlignment="1">
      <alignment horizontal="center" vertical="center" wrapText="1"/>
    </xf>
    <xf numFmtId="0" fontId="3" fillId="0" borderId="65" xfId="0" applyFont="1" applyBorder="1" applyAlignment="1">
      <alignment horizontal="center" vertical="center" wrapText="1"/>
    </xf>
    <xf numFmtId="0" fontId="11" fillId="0" borderId="72" xfId="0" applyFont="1" applyBorder="1" applyAlignment="1">
      <alignment horizontal="center"/>
    </xf>
  </cellXfs>
  <cellStyles count="48">
    <cellStyle name="0,0_x000d__x000a_NA_x000d__x000a_ 2" xfId="2" xr:uid="{00000000-0005-0000-0000-000000000000}"/>
    <cellStyle name="Hipervínculo" xfId="19" builtinId="8"/>
    <cellStyle name="Millares" xfId="44" builtinId="3"/>
    <cellStyle name="Millares [0]" xfId="45" builtinId="6"/>
    <cellStyle name="Millares [0] 2" xfId="28" xr:uid="{00000000-0005-0000-0000-000004000000}"/>
    <cellStyle name="Millares 2" xfId="18" xr:uid="{00000000-0005-0000-0000-000005000000}"/>
    <cellStyle name="Millares 2 2" xfId="29" xr:uid="{00000000-0005-0000-0000-000006000000}"/>
    <cellStyle name="Millares 2 2 2" xfId="36" xr:uid="{00000000-0005-0000-0000-000007000000}"/>
    <cellStyle name="Millares 3" xfId="25" xr:uid="{00000000-0005-0000-0000-000008000000}"/>
    <cellStyle name="Millares 4" xfId="38" xr:uid="{00000000-0005-0000-0000-000009000000}"/>
    <cellStyle name="Millares 4 2" xfId="26" xr:uid="{00000000-0005-0000-0000-00000A000000}"/>
    <cellStyle name="Millares 4 2 2" xfId="41" xr:uid="{00000000-0005-0000-0000-00000B000000}"/>
    <cellStyle name="Millares 5" xfId="32" xr:uid="{00000000-0005-0000-0000-00000C000000}"/>
    <cellStyle name="Millares 6" xfId="40" xr:uid="{00000000-0005-0000-0000-00000D000000}"/>
    <cellStyle name="Millares 7" xfId="43" xr:uid="{00000000-0005-0000-0000-00000E000000}"/>
    <cellStyle name="Moneda" xfId="4" builtinId="4"/>
    <cellStyle name="Moneda [0] 2" xfId="11" xr:uid="{00000000-0005-0000-0000-000010000000}"/>
    <cellStyle name="Moneda [0] 3" xfId="34" xr:uid="{00000000-0005-0000-0000-000011000000}"/>
    <cellStyle name="Moneda 2" xfId="13" xr:uid="{00000000-0005-0000-0000-000012000000}"/>
    <cellStyle name="Moneda 2 3" xfId="37" xr:uid="{00000000-0005-0000-0000-000013000000}"/>
    <cellStyle name="Moneda 3" xfId="20" xr:uid="{00000000-0005-0000-0000-000014000000}"/>
    <cellStyle name="Moneda 3 2" xfId="7" xr:uid="{00000000-0005-0000-0000-000015000000}"/>
    <cellStyle name="Moneda 3 5" xfId="16" xr:uid="{00000000-0005-0000-0000-000016000000}"/>
    <cellStyle name="Moneda 4" xfId="27" xr:uid="{00000000-0005-0000-0000-000017000000}"/>
    <cellStyle name="Moneda 5" xfId="33" xr:uid="{00000000-0005-0000-0000-000018000000}"/>
    <cellStyle name="Moneda 6" xfId="39" xr:uid="{00000000-0005-0000-0000-000019000000}"/>
    <cellStyle name="Moneda 7" xfId="42" xr:uid="{00000000-0005-0000-0000-00001A000000}"/>
    <cellStyle name="Normal" xfId="0" builtinId="0"/>
    <cellStyle name="Normal 17" xfId="30" xr:uid="{00000000-0005-0000-0000-00001C000000}"/>
    <cellStyle name="Normal 2" xfId="1" xr:uid="{00000000-0005-0000-0000-00001D000000}"/>
    <cellStyle name="Normal 2 10 2" xfId="15" xr:uid="{00000000-0005-0000-0000-00001E000000}"/>
    <cellStyle name="Normal 2 10 3" xfId="17" xr:uid="{00000000-0005-0000-0000-00001F000000}"/>
    <cellStyle name="Normal 2 11" xfId="31" xr:uid="{00000000-0005-0000-0000-000020000000}"/>
    <cellStyle name="Normal 2 2" xfId="3" xr:uid="{00000000-0005-0000-0000-000021000000}"/>
    <cellStyle name="Normal 2 2 2 2" xfId="8" xr:uid="{00000000-0005-0000-0000-000022000000}"/>
    <cellStyle name="Normal 3" xfId="23" xr:uid="{00000000-0005-0000-0000-000023000000}"/>
    <cellStyle name="Normal 3 2" xfId="6" xr:uid="{00000000-0005-0000-0000-000024000000}"/>
    <cellStyle name="Normal 3 3 2" xfId="47" xr:uid="{00000000-0005-0000-0000-000025000000}"/>
    <cellStyle name="Normal 4" xfId="35" xr:uid="{00000000-0005-0000-0000-000026000000}"/>
    <cellStyle name="Normal 4 2" xfId="10" xr:uid="{00000000-0005-0000-0000-000027000000}"/>
    <cellStyle name="Normal_Desglose AIU" xfId="14" xr:uid="{00000000-0005-0000-0000-000028000000}"/>
    <cellStyle name="Normal_Libro1" xfId="46" xr:uid="{00000000-0005-0000-0000-000029000000}"/>
    <cellStyle name="Porcentaje" xfId="5" builtinId="5"/>
    <cellStyle name="Porcentaje 2" xfId="22" xr:uid="{00000000-0005-0000-0000-00002B000000}"/>
    <cellStyle name="Porcentaje 2 2" xfId="9" xr:uid="{00000000-0005-0000-0000-00002C000000}"/>
    <cellStyle name="Porcentaje 3" xfId="21" xr:uid="{00000000-0005-0000-0000-00002D000000}"/>
    <cellStyle name="Porcentual 2 3" xfId="24" xr:uid="{00000000-0005-0000-0000-00002E000000}"/>
    <cellStyle name="Porcentual_AIU 2008 SESAC JULIO 42" xfId="12" xr:uid="{00000000-0005-0000-0000-00002F000000}"/>
  </cellStyles>
  <dxfs count="0"/>
  <tableStyles count="0" defaultTableStyle="TableStyleMedium2" defaultPivotStyle="PivotStyleLight16"/>
  <colors>
    <mruColors>
      <color rgb="FFCC99FF"/>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sharedStrings" Target="sharedStrings.xml"/><Relationship Id="rId8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customXml" Target="../customXml/item1.xml"/><Relationship Id="rId171" Type="http://schemas.microsoft.com/office/2017/10/relationships/person" Target="persons/perso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3.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3.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3.jpeg"/></Relationships>
</file>

<file path=xl/drawings/_rels/drawing2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3.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4.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3.jpeg"/></Relationships>
</file>

<file path=xl/drawings/_rels/drawing35.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3.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3</xdr:col>
      <xdr:colOff>450573</xdr:colOff>
      <xdr:row>2</xdr:row>
      <xdr:rowOff>233472</xdr:rowOff>
    </xdr:from>
    <xdr:to>
      <xdr:col>5</xdr:col>
      <xdr:colOff>18397</xdr:colOff>
      <xdr:row>4</xdr:row>
      <xdr:rowOff>54177</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4338" t="13732" r="15564" b="16605"/>
        <a:stretch/>
      </xdr:blipFill>
      <xdr:spPr>
        <a:xfrm>
          <a:off x="7039632" y="699637"/>
          <a:ext cx="1835894" cy="5737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66359</xdr:colOff>
      <xdr:row>1</xdr:row>
      <xdr:rowOff>408215</xdr:rowOff>
    </xdr:from>
    <xdr:to>
      <xdr:col>7</xdr:col>
      <xdr:colOff>1823357</xdr:colOff>
      <xdr:row>1</xdr:row>
      <xdr:rowOff>1047750</xdr:rowOff>
    </xdr:to>
    <xdr:pic>
      <xdr:nvPicPr>
        <xdr:cNvPr id="2" name="Imagen 1">
          <a:extLst>
            <a:ext uri="{FF2B5EF4-FFF2-40B4-BE49-F238E27FC236}">
              <a16:creationId xmlns:a16="http://schemas.microsoft.com/office/drawing/2014/main" id="{DD8135D2-C07C-4B72-B342-D8A25047CC9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4338" t="13732" r="15564" b="16605"/>
        <a:stretch/>
      </xdr:blipFill>
      <xdr:spPr>
        <a:xfrm>
          <a:off x="15125384" y="655865"/>
          <a:ext cx="1756998" cy="6395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47625</xdr:colOff>
      <xdr:row>1</xdr:row>
      <xdr:rowOff>95250</xdr:rowOff>
    </xdr:from>
    <xdr:to>
      <xdr:col>2</xdr:col>
      <xdr:colOff>685800</xdr:colOff>
      <xdr:row>2</xdr:row>
      <xdr:rowOff>409575</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257175"/>
          <a:ext cx="1409700" cy="476250"/>
        </a:xfrm>
        <a:prstGeom prst="rect">
          <a:avLst/>
        </a:prstGeom>
        <a:noFill/>
        <a:ln>
          <a:noFill/>
        </a:ln>
      </xdr:spPr>
    </xdr:pic>
    <xdr:clientData/>
  </xdr:twoCellAnchor>
  <xdr:twoCellAnchor editAs="oneCell">
    <xdr:from>
      <xdr:col>12</xdr:col>
      <xdr:colOff>466725</xdr:colOff>
      <xdr:row>45</xdr:row>
      <xdr:rowOff>1495</xdr:rowOff>
    </xdr:from>
    <xdr:to>
      <xdr:col>20</xdr:col>
      <xdr:colOff>706036</xdr:colOff>
      <xdr:row>70</xdr:row>
      <xdr:rowOff>86446</xdr:rowOff>
    </xdr:to>
    <xdr:pic>
      <xdr:nvPicPr>
        <xdr:cNvPr id="2" name="Imagen 1">
          <a:extLst>
            <a:ext uri="{FF2B5EF4-FFF2-40B4-BE49-F238E27FC236}">
              <a16:creationId xmlns:a16="http://schemas.microsoft.com/office/drawing/2014/main" id="{B9CE0D12-A421-40A8-974F-96713B8EE45E}"/>
            </a:ext>
          </a:extLst>
        </xdr:cNvPr>
        <xdr:cNvPicPr>
          <a:picLocks noChangeAspect="1"/>
        </xdr:cNvPicPr>
      </xdr:nvPicPr>
      <xdr:blipFill>
        <a:blip xmlns:r="http://schemas.openxmlformats.org/officeDocument/2006/relationships" r:embed="rId2"/>
        <a:stretch>
          <a:fillRect/>
        </a:stretch>
      </xdr:blipFill>
      <xdr:spPr>
        <a:xfrm>
          <a:off x="9029700" y="8821645"/>
          <a:ext cx="6802036" cy="41330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66675</xdr:colOff>
      <xdr:row>1</xdr:row>
      <xdr:rowOff>85725</xdr:rowOff>
    </xdr:from>
    <xdr:to>
      <xdr:col>2</xdr:col>
      <xdr:colOff>704850</xdr:colOff>
      <xdr:row>2</xdr:row>
      <xdr:rowOff>400050</xdr:rowOff>
    </xdr:to>
    <xdr:pic>
      <xdr:nvPicPr>
        <xdr:cNvPr id="3" name="Imagen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247650"/>
          <a:ext cx="1409700" cy="476250"/>
        </a:xfrm>
        <a:prstGeom prst="rect">
          <a:avLst/>
        </a:prstGeom>
        <a:noFill/>
        <a:ln>
          <a:noFill/>
        </a:ln>
      </xdr:spPr>
    </xdr:pic>
    <xdr:clientData/>
  </xdr:twoCellAnchor>
  <xdr:twoCellAnchor editAs="oneCell">
    <xdr:from>
      <xdr:col>1</xdr:col>
      <xdr:colOff>25400</xdr:colOff>
      <xdr:row>43</xdr:row>
      <xdr:rowOff>139700</xdr:rowOff>
    </xdr:from>
    <xdr:to>
      <xdr:col>8</xdr:col>
      <xdr:colOff>414513</xdr:colOff>
      <xdr:row>79</xdr:row>
      <xdr:rowOff>10664</xdr:rowOff>
    </xdr:to>
    <xdr:pic>
      <xdr:nvPicPr>
        <xdr:cNvPr id="2" name="Imagen 1">
          <a:extLst>
            <a:ext uri="{FF2B5EF4-FFF2-40B4-BE49-F238E27FC236}">
              <a16:creationId xmlns:a16="http://schemas.microsoft.com/office/drawing/2014/main" id="{A27B0E8D-6445-49D9-B5F3-0ADDAF9BD46E}"/>
            </a:ext>
          </a:extLst>
        </xdr:cNvPr>
        <xdr:cNvPicPr>
          <a:picLocks noChangeAspect="1"/>
        </xdr:cNvPicPr>
      </xdr:nvPicPr>
      <xdr:blipFill>
        <a:blip xmlns:r="http://schemas.openxmlformats.org/officeDocument/2006/relationships" r:embed="rId2"/>
        <a:stretch>
          <a:fillRect/>
        </a:stretch>
      </xdr:blipFill>
      <xdr:spPr>
        <a:xfrm>
          <a:off x="266700" y="9436100"/>
          <a:ext cx="5685013" cy="581456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57150</xdr:colOff>
      <xdr:row>1</xdr:row>
      <xdr:rowOff>123825</xdr:rowOff>
    </xdr:from>
    <xdr:to>
      <xdr:col>2</xdr:col>
      <xdr:colOff>695325</xdr:colOff>
      <xdr:row>2</xdr:row>
      <xdr:rowOff>438150</xdr:rowOff>
    </xdr:to>
    <xdr:pic>
      <xdr:nvPicPr>
        <xdr:cNvPr id="3" name="Imagen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85750"/>
          <a:ext cx="1409700" cy="476250"/>
        </a:xfrm>
        <a:prstGeom prst="rect">
          <a:avLst/>
        </a:prstGeom>
        <a:noFill/>
        <a:ln>
          <a:noFill/>
        </a:ln>
      </xdr:spPr>
    </xdr:pic>
    <xdr:clientData/>
  </xdr:twoCellAnchor>
  <xdr:twoCellAnchor editAs="oneCell">
    <xdr:from>
      <xdr:col>1</xdr:col>
      <xdr:colOff>0</xdr:colOff>
      <xdr:row>43</xdr:row>
      <xdr:rowOff>152400</xdr:rowOff>
    </xdr:from>
    <xdr:to>
      <xdr:col>8</xdr:col>
      <xdr:colOff>389113</xdr:colOff>
      <xdr:row>79</xdr:row>
      <xdr:rowOff>23364</xdr:rowOff>
    </xdr:to>
    <xdr:pic>
      <xdr:nvPicPr>
        <xdr:cNvPr id="6" name="Imagen 5">
          <a:extLst>
            <a:ext uri="{FF2B5EF4-FFF2-40B4-BE49-F238E27FC236}">
              <a16:creationId xmlns:a16="http://schemas.microsoft.com/office/drawing/2014/main" id="{CE9F6826-E803-4CB5-A183-65A215070A39}"/>
            </a:ext>
          </a:extLst>
        </xdr:cNvPr>
        <xdr:cNvPicPr>
          <a:picLocks noChangeAspect="1"/>
        </xdr:cNvPicPr>
      </xdr:nvPicPr>
      <xdr:blipFill>
        <a:blip xmlns:r="http://schemas.openxmlformats.org/officeDocument/2006/relationships" r:embed="rId2"/>
        <a:stretch>
          <a:fillRect/>
        </a:stretch>
      </xdr:blipFill>
      <xdr:spPr>
        <a:xfrm>
          <a:off x="241300" y="9283700"/>
          <a:ext cx="5685013" cy="581456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47625</xdr:colOff>
      <xdr:row>1</xdr:row>
      <xdr:rowOff>95250</xdr:rowOff>
    </xdr:from>
    <xdr:to>
      <xdr:col>2</xdr:col>
      <xdr:colOff>685800</xdr:colOff>
      <xdr:row>2</xdr:row>
      <xdr:rowOff>409575</xdr:rowOff>
    </xdr:to>
    <xdr:pic>
      <xdr:nvPicPr>
        <xdr:cNvPr id="3" name="Imagen 2">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257175"/>
          <a:ext cx="1409700" cy="47625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57150</xdr:colOff>
      <xdr:row>1</xdr:row>
      <xdr:rowOff>85725</xdr:rowOff>
    </xdr:from>
    <xdr:to>
      <xdr:col>2</xdr:col>
      <xdr:colOff>695325</xdr:colOff>
      <xdr:row>2</xdr:row>
      <xdr:rowOff>400050</xdr:rowOff>
    </xdr:to>
    <xdr:pic>
      <xdr:nvPicPr>
        <xdr:cNvPr id="3" name="Imagen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47650"/>
          <a:ext cx="1409700" cy="476250"/>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38100</xdr:colOff>
      <xdr:row>1</xdr:row>
      <xdr:rowOff>123825</xdr:rowOff>
    </xdr:from>
    <xdr:to>
      <xdr:col>2</xdr:col>
      <xdr:colOff>676275</xdr:colOff>
      <xdr:row>2</xdr:row>
      <xdr:rowOff>438150</xdr:rowOff>
    </xdr:to>
    <xdr:pic>
      <xdr:nvPicPr>
        <xdr:cNvPr id="3" name="Imagen 2">
          <a:extLst>
            <a:ext uri="{FF2B5EF4-FFF2-40B4-BE49-F238E27FC236}">
              <a16:creationId xmlns:a16="http://schemas.microsoft.com/office/drawing/2014/main" id="{00000000-0008-0000-06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285750"/>
          <a:ext cx="1409700" cy="476250"/>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57150</xdr:colOff>
      <xdr:row>1</xdr:row>
      <xdr:rowOff>104775</xdr:rowOff>
    </xdr:from>
    <xdr:to>
      <xdr:col>2</xdr:col>
      <xdr:colOff>695325</xdr:colOff>
      <xdr:row>2</xdr:row>
      <xdr:rowOff>419100</xdr:rowOff>
    </xdr:to>
    <xdr:pic>
      <xdr:nvPicPr>
        <xdr:cNvPr id="3" name="Imagen 2">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66700"/>
          <a:ext cx="1409700" cy="476250"/>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57150</xdr:colOff>
      <xdr:row>1</xdr:row>
      <xdr:rowOff>95250</xdr:rowOff>
    </xdr:from>
    <xdr:to>
      <xdr:col>2</xdr:col>
      <xdr:colOff>695325</xdr:colOff>
      <xdr:row>2</xdr:row>
      <xdr:rowOff>409575</xdr:rowOff>
    </xdr:to>
    <xdr:pic>
      <xdr:nvPicPr>
        <xdr:cNvPr id="3" name="Imagen 2">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57175"/>
          <a:ext cx="1409700" cy="476250"/>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57150</xdr:colOff>
      <xdr:row>1</xdr:row>
      <xdr:rowOff>95250</xdr:rowOff>
    </xdr:from>
    <xdr:to>
      <xdr:col>2</xdr:col>
      <xdr:colOff>695325</xdr:colOff>
      <xdr:row>2</xdr:row>
      <xdr:rowOff>409575</xdr:rowOff>
    </xdr:to>
    <xdr:pic>
      <xdr:nvPicPr>
        <xdr:cNvPr id="2" name="Imagen 1">
          <a:extLst>
            <a:ext uri="{FF2B5EF4-FFF2-40B4-BE49-F238E27FC236}">
              <a16:creationId xmlns:a16="http://schemas.microsoft.com/office/drawing/2014/main" id="{00000000-0008-0000-09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57175"/>
          <a:ext cx="1409700" cy="476250"/>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57150</xdr:colOff>
      <xdr:row>1</xdr:row>
      <xdr:rowOff>95250</xdr:rowOff>
    </xdr:from>
    <xdr:to>
      <xdr:col>2</xdr:col>
      <xdr:colOff>695325</xdr:colOff>
      <xdr:row>2</xdr:row>
      <xdr:rowOff>409575</xdr:rowOff>
    </xdr:to>
    <xdr:pic>
      <xdr:nvPicPr>
        <xdr:cNvPr id="2" name="Imagen 1">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57175"/>
          <a:ext cx="1409700" cy="476250"/>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57150</xdr:colOff>
      <xdr:row>1</xdr:row>
      <xdr:rowOff>133350</xdr:rowOff>
    </xdr:from>
    <xdr:to>
      <xdr:col>2</xdr:col>
      <xdr:colOff>695325</xdr:colOff>
      <xdr:row>2</xdr:row>
      <xdr:rowOff>447675</xdr:rowOff>
    </xdr:to>
    <xdr:pic>
      <xdr:nvPicPr>
        <xdr:cNvPr id="3" name="Imagen 2">
          <a:extLst>
            <a:ext uri="{FF2B5EF4-FFF2-40B4-BE49-F238E27FC236}">
              <a16:creationId xmlns:a16="http://schemas.microsoft.com/office/drawing/2014/main" id="{00000000-0008-0000-0B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95275"/>
          <a:ext cx="1409700" cy="476250"/>
        </a:xfrm>
        <a:prstGeom prst="rect">
          <a:avLst/>
        </a:prstGeom>
        <a:noFill/>
        <a:ln>
          <a:noFill/>
        </a:ln>
      </xdr:spPr>
    </xdr:pic>
    <xdr:clientData/>
  </xdr:twoCellAnchor>
  <xdr:twoCellAnchor editAs="oneCell">
    <xdr:from>
      <xdr:col>2</xdr:col>
      <xdr:colOff>330200</xdr:colOff>
      <xdr:row>45</xdr:row>
      <xdr:rowOff>101600</xdr:rowOff>
    </xdr:from>
    <xdr:to>
      <xdr:col>8</xdr:col>
      <xdr:colOff>177800</xdr:colOff>
      <xdr:row>87</xdr:row>
      <xdr:rowOff>55490</xdr:rowOff>
    </xdr:to>
    <xdr:pic>
      <xdr:nvPicPr>
        <xdr:cNvPr id="2" name="Imagen 1">
          <a:extLst>
            <a:ext uri="{FF2B5EF4-FFF2-40B4-BE49-F238E27FC236}">
              <a16:creationId xmlns:a16="http://schemas.microsoft.com/office/drawing/2014/main" id="{E845D65D-C74D-4B02-8D7A-BFD75C679282}"/>
            </a:ext>
          </a:extLst>
        </xdr:cNvPr>
        <xdr:cNvPicPr>
          <a:picLocks noChangeAspect="1"/>
        </xdr:cNvPicPr>
      </xdr:nvPicPr>
      <xdr:blipFill>
        <a:blip xmlns:r="http://schemas.openxmlformats.org/officeDocument/2006/relationships" r:embed="rId2"/>
        <a:stretch>
          <a:fillRect/>
        </a:stretch>
      </xdr:blipFill>
      <xdr:spPr>
        <a:xfrm>
          <a:off x="1117600" y="9918700"/>
          <a:ext cx="5105400" cy="688809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57150</xdr:colOff>
      <xdr:row>1</xdr:row>
      <xdr:rowOff>95250</xdr:rowOff>
    </xdr:from>
    <xdr:to>
      <xdr:col>2</xdr:col>
      <xdr:colOff>695325</xdr:colOff>
      <xdr:row>2</xdr:row>
      <xdr:rowOff>409575</xdr:rowOff>
    </xdr:to>
    <xdr:pic>
      <xdr:nvPicPr>
        <xdr:cNvPr id="3" name="Imagen 2">
          <a:extLst>
            <a:ext uri="{FF2B5EF4-FFF2-40B4-BE49-F238E27FC236}">
              <a16:creationId xmlns:a16="http://schemas.microsoft.com/office/drawing/2014/main" id="{00000000-0008-0000-0C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57175"/>
          <a:ext cx="1409700" cy="476250"/>
        </a:xfrm>
        <a:prstGeom prst="rect">
          <a:avLst/>
        </a:prstGeom>
        <a:noFill/>
        <a:ln>
          <a:noFill/>
        </a:ln>
      </xdr:spPr>
    </xdr:pic>
    <xdr:clientData/>
  </xdr:twoCellAnchor>
  <xdr:twoCellAnchor editAs="oneCell">
    <xdr:from>
      <xdr:col>2</xdr:col>
      <xdr:colOff>0</xdr:colOff>
      <xdr:row>45</xdr:row>
      <xdr:rowOff>0</xdr:rowOff>
    </xdr:from>
    <xdr:to>
      <xdr:col>7</xdr:col>
      <xdr:colOff>396601</xdr:colOff>
      <xdr:row>79</xdr:row>
      <xdr:rowOff>10647</xdr:rowOff>
    </xdr:to>
    <xdr:pic>
      <xdr:nvPicPr>
        <xdr:cNvPr id="2" name="Imagen 1">
          <a:extLst>
            <a:ext uri="{FF2B5EF4-FFF2-40B4-BE49-F238E27FC236}">
              <a16:creationId xmlns:a16="http://schemas.microsoft.com/office/drawing/2014/main" id="{FDED2F47-0AA4-42D0-A5DB-1FB22D87A139}"/>
            </a:ext>
          </a:extLst>
        </xdr:cNvPr>
        <xdr:cNvPicPr>
          <a:picLocks noChangeAspect="1"/>
        </xdr:cNvPicPr>
      </xdr:nvPicPr>
      <xdr:blipFill>
        <a:blip xmlns:r="http://schemas.openxmlformats.org/officeDocument/2006/relationships" r:embed="rId2"/>
        <a:stretch>
          <a:fillRect/>
        </a:stretch>
      </xdr:blipFill>
      <xdr:spPr>
        <a:xfrm>
          <a:off x="787400" y="9639300"/>
          <a:ext cx="4168501" cy="5624047"/>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28575</xdr:colOff>
      <xdr:row>1</xdr:row>
      <xdr:rowOff>133350</xdr:rowOff>
    </xdr:from>
    <xdr:to>
      <xdr:col>2</xdr:col>
      <xdr:colOff>666750</xdr:colOff>
      <xdr:row>2</xdr:row>
      <xdr:rowOff>447675</xdr:rowOff>
    </xdr:to>
    <xdr:pic>
      <xdr:nvPicPr>
        <xdr:cNvPr id="3" name="Imagen 2">
          <a:extLst>
            <a:ext uri="{FF2B5EF4-FFF2-40B4-BE49-F238E27FC236}">
              <a16:creationId xmlns:a16="http://schemas.microsoft.com/office/drawing/2014/main" id="{00000000-0008-0000-0D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295275"/>
          <a:ext cx="1409700" cy="476250"/>
        </a:xfrm>
        <a:prstGeom prst="rect">
          <a:avLst/>
        </a:prstGeom>
        <a:noFill/>
        <a:ln>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38100</xdr:colOff>
      <xdr:row>1</xdr:row>
      <xdr:rowOff>133350</xdr:rowOff>
    </xdr:from>
    <xdr:to>
      <xdr:col>2</xdr:col>
      <xdr:colOff>676275</xdr:colOff>
      <xdr:row>2</xdr:row>
      <xdr:rowOff>447675</xdr:rowOff>
    </xdr:to>
    <xdr:pic>
      <xdr:nvPicPr>
        <xdr:cNvPr id="3" name="Imagen 2">
          <a:extLst>
            <a:ext uri="{FF2B5EF4-FFF2-40B4-BE49-F238E27FC236}">
              <a16:creationId xmlns:a16="http://schemas.microsoft.com/office/drawing/2014/main" id="{00000000-0008-0000-0E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295275"/>
          <a:ext cx="1409700" cy="476250"/>
        </a:xfrm>
        <a:prstGeom prst="rect">
          <a:avLst/>
        </a:prstGeom>
        <a:noFill/>
        <a:ln>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47625</xdr:colOff>
      <xdr:row>1</xdr:row>
      <xdr:rowOff>133350</xdr:rowOff>
    </xdr:from>
    <xdr:to>
      <xdr:col>2</xdr:col>
      <xdr:colOff>685800</xdr:colOff>
      <xdr:row>2</xdr:row>
      <xdr:rowOff>447675</xdr:rowOff>
    </xdr:to>
    <xdr:pic>
      <xdr:nvPicPr>
        <xdr:cNvPr id="3" name="Imagen 2">
          <a:extLst>
            <a:ext uri="{FF2B5EF4-FFF2-40B4-BE49-F238E27FC236}">
              <a16:creationId xmlns:a16="http://schemas.microsoft.com/office/drawing/2014/main" id="{00000000-0008-0000-0F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295275"/>
          <a:ext cx="1409700" cy="476250"/>
        </a:xfrm>
        <a:prstGeom prst="rect">
          <a:avLst/>
        </a:prstGeom>
        <a:noFill/>
        <a:ln>
          <a:noFill/>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57150</xdr:colOff>
      <xdr:row>1</xdr:row>
      <xdr:rowOff>133350</xdr:rowOff>
    </xdr:from>
    <xdr:to>
      <xdr:col>2</xdr:col>
      <xdr:colOff>695325</xdr:colOff>
      <xdr:row>2</xdr:row>
      <xdr:rowOff>447675</xdr:rowOff>
    </xdr:to>
    <xdr:pic>
      <xdr:nvPicPr>
        <xdr:cNvPr id="3" name="Imagen 2">
          <a:extLst>
            <a:ext uri="{FF2B5EF4-FFF2-40B4-BE49-F238E27FC236}">
              <a16:creationId xmlns:a16="http://schemas.microsoft.com/office/drawing/2014/main" id="{00000000-0008-0000-1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95275"/>
          <a:ext cx="1409700" cy="476250"/>
        </a:xfrm>
        <a:prstGeom prst="rect">
          <a:avLst/>
        </a:prstGeom>
        <a:noFill/>
        <a:ln>
          <a:noFill/>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38100</xdr:colOff>
      <xdr:row>2</xdr:row>
      <xdr:rowOff>0</xdr:rowOff>
    </xdr:from>
    <xdr:to>
      <xdr:col>2</xdr:col>
      <xdr:colOff>676275</xdr:colOff>
      <xdr:row>2</xdr:row>
      <xdr:rowOff>476250</xdr:rowOff>
    </xdr:to>
    <xdr:pic>
      <xdr:nvPicPr>
        <xdr:cNvPr id="3" name="Imagen 2">
          <a:extLst>
            <a:ext uri="{FF2B5EF4-FFF2-40B4-BE49-F238E27FC236}">
              <a16:creationId xmlns:a16="http://schemas.microsoft.com/office/drawing/2014/main" id="{00000000-0008-0000-1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323850"/>
          <a:ext cx="1409700" cy="476250"/>
        </a:xfrm>
        <a:prstGeom prst="rect">
          <a:avLst/>
        </a:prstGeom>
        <a:noFill/>
        <a:ln>
          <a:noFill/>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28575</xdr:colOff>
      <xdr:row>1</xdr:row>
      <xdr:rowOff>133350</xdr:rowOff>
    </xdr:from>
    <xdr:to>
      <xdr:col>2</xdr:col>
      <xdr:colOff>666750</xdr:colOff>
      <xdr:row>2</xdr:row>
      <xdr:rowOff>447675</xdr:rowOff>
    </xdr:to>
    <xdr:pic>
      <xdr:nvPicPr>
        <xdr:cNvPr id="3" name="Imagen 2">
          <a:extLst>
            <a:ext uri="{FF2B5EF4-FFF2-40B4-BE49-F238E27FC236}">
              <a16:creationId xmlns:a16="http://schemas.microsoft.com/office/drawing/2014/main" id="{00000000-0008-0000-1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295275"/>
          <a:ext cx="1409700" cy="476250"/>
        </a:xfrm>
        <a:prstGeom prst="rect">
          <a:avLst/>
        </a:prstGeom>
        <a:noFill/>
        <a:ln>
          <a:noFill/>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57150</xdr:colOff>
      <xdr:row>1</xdr:row>
      <xdr:rowOff>123825</xdr:rowOff>
    </xdr:from>
    <xdr:to>
      <xdr:col>2</xdr:col>
      <xdr:colOff>695325</xdr:colOff>
      <xdr:row>2</xdr:row>
      <xdr:rowOff>438150</xdr:rowOff>
    </xdr:to>
    <xdr:pic>
      <xdr:nvPicPr>
        <xdr:cNvPr id="3" name="Imagen 2">
          <a:extLst>
            <a:ext uri="{FF2B5EF4-FFF2-40B4-BE49-F238E27FC236}">
              <a16:creationId xmlns:a16="http://schemas.microsoft.com/office/drawing/2014/main" id="{00000000-0008-0000-1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85750"/>
          <a:ext cx="1409700" cy="476250"/>
        </a:xfrm>
        <a:prstGeom prst="rect">
          <a:avLst/>
        </a:prstGeom>
        <a:noFill/>
        <a:ln>
          <a:noFill/>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66675</xdr:colOff>
      <xdr:row>1</xdr:row>
      <xdr:rowOff>152400</xdr:rowOff>
    </xdr:from>
    <xdr:to>
      <xdr:col>2</xdr:col>
      <xdr:colOff>704850</xdr:colOff>
      <xdr:row>2</xdr:row>
      <xdr:rowOff>466725</xdr:rowOff>
    </xdr:to>
    <xdr:pic>
      <xdr:nvPicPr>
        <xdr:cNvPr id="3" name="Imagen 2">
          <a:extLst>
            <a:ext uri="{FF2B5EF4-FFF2-40B4-BE49-F238E27FC236}">
              <a16:creationId xmlns:a16="http://schemas.microsoft.com/office/drawing/2014/main" id="{00000000-0008-0000-14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314325"/>
          <a:ext cx="1409700" cy="476250"/>
        </a:xfrm>
        <a:prstGeom prst="rect">
          <a:avLst/>
        </a:prstGeom>
        <a:noFill/>
        <a:ln>
          <a:noFill/>
        </a:ln>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66675</xdr:colOff>
      <xdr:row>2</xdr:row>
      <xdr:rowOff>0</xdr:rowOff>
    </xdr:from>
    <xdr:to>
      <xdr:col>2</xdr:col>
      <xdr:colOff>704850</xdr:colOff>
      <xdr:row>2</xdr:row>
      <xdr:rowOff>476250</xdr:rowOff>
    </xdr:to>
    <xdr:pic>
      <xdr:nvPicPr>
        <xdr:cNvPr id="3" name="Imagen 2">
          <a:extLst>
            <a:ext uri="{FF2B5EF4-FFF2-40B4-BE49-F238E27FC236}">
              <a16:creationId xmlns:a16="http://schemas.microsoft.com/office/drawing/2014/main" id="{00000000-0008-0000-1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323850"/>
          <a:ext cx="1409700" cy="476250"/>
        </a:xfrm>
        <a:prstGeom prst="rect">
          <a:avLst/>
        </a:prstGeom>
        <a:noFill/>
        <a:ln>
          <a:noFill/>
        </a:ln>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57150</xdr:colOff>
      <xdr:row>1</xdr:row>
      <xdr:rowOff>142875</xdr:rowOff>
    </xdr:from>
    <xdr:to>
      <xdr:col>2</xdr:col>
      <xdr:colOff>695325</xdr:colOff>
      <xdr:row>2</xdr:row>
      <xdr:rowOff>457200</xdr:rowOff>
    </xdr:to>
    <xdr:pic>
      <xdr:nvPicPr>
        <xdr:cNvPr id="3" name="Imagen 2">
          <a:extLst>
            <a:ext uri="{FF2B5EF4-FFF2-40B4-BE49-F238E27FC236}">
              <a16:creationId xmlns:a16="http://schemas.microsoft.com/office/drawing/2014/main" id="{00000000-0008-0000-16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304800"/>
          <a:ext cx="1409700" cy="476250"/>
        </a:xfrm>
        <a:prstGeom prst="rect">
          <a:avLst/>
        </a:prstGeom>
        <a:noFill/>
        <a:ln>
          <a:noFill/>
        </a:ln>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66675</xdr:colOff>
      <xdr:row>1</xdr:row>
      <xdr:rowOff>152400</xdr:rowOff>
    </xdr:from>
    <xdr:to>
      <xdr:col>2</xdr:col>
      <xdr:colOff>704850</xdr:colOff>
      <xdr:row>2</xdr:row>
      <xdr:rowOff>466725</xdr:rowOff>
    </xdr:to>
    <xdr:pic>
      <xdr:nvPicPr>
        <xdr:cNvPr id="2" name="Imagen 1">
          <a:extLst>
            <a:ext uri="{FF2B5EF4-FFF2-40B4-BE49-F238E27FC236}">
              <a16:creationId xmlns:a16="http://schemas.microsoft.com/office/drawing/2014/main" id="{00000000-0008-0000-17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314325"/>
          <a:ext cx="1409700" cy="476250"/>
        </a:xfrm>
        <a:prstGeom prst="rect">
          <a:avLst/>
        </a:prstGeom>
        <a:noFill/>
        <a:ln>
          <a:noFill/>
        </a:ln>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66675</xdr:colOff>
      <xdr:row>1</xdr:row>
      <xdr:rowOff>152400</xdr:rowOff>
    </xdr:from>
    <xdr:to>
      <xdr:col>2</xdr:col>
      <xdr:colOff>704850</xdr:colOff>
      <xdr:row>2</xdr:row>
      <xdr:rowOff>466725</xdr:rowOff>
    </xdr:to>
    <xdr:pic>
      <xdr:nvPicPr>
        <xdr:cNvPr id="3" name="Imagen 2">
          <a:extLst>
            <a:ext uri="{FF2B5EF4-FFF2-40B4-BE49-F238E27FC236}">
              <a16:creationId xmlns:a16="http://schemas.microsoft.com/office/drawing/2014/main" id="{00000000-0008-0000-18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314325"/>
          <a:ext cx="1409700" cy="476250"/>
        </a:xfrm>
        <a:prstGeom prst="rect">
          <a:avLst/>
        </a:prstGeom>
        <a:noFill/>
        <a:ln>
          <a:noFill/>
        </a:ln>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66675</xdr:colOff>
      <xdr:row>1</xdr:row>
      <xdr:rowOff>152400</xdr:rowOff>
    </xdr:from>
    <xdr:to>
      <xdr:col>2</xdr:col>
      <xdr:colOff>704850</xdr:colOff>
      <xdr:row>2</xdr:row>
      <xdr:rowOff>466725</xdr:rowOff>
    </xdr:to>
    <xdr:pic>
      <xdr:nvPicPr>
        <xdr:cNvPr id="2" name="Imagen 1">
          <a:extLst>
            <a:ext uri="{FF2B5EF4-FFF2-40B4-BE49-F238E27FC236}">
              <a16:creationId xmlns:a16="http://schemas.microsoft.com/office/drawing/2014/main" id="{00000000-0008-0000-19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314325"/>
          <a:ext cx="1409700" cy="476250"/>
        </a:xfrm>
        <a:prstGeom prst="rect">
          <a:avLst/>
        </a:prstGeom>
        <a:noFill/>
        <a:ln>
          <a:noFill/>
        </a:ln>
      </xdr:spPr>
    </xdr:pic>
    <xdr:clientData/>
  </xdr:twoCellAnchor>
  <xdr:twoCellAnchor editAs="oneCell">
    <xdr:from>
      <xdr:col>1</xdr:col>
      <xdr:colOff>38100</xdr:colOff>
      <xdr:row>44</xdr:row>
      <xdr:rowOff>38100</xdr:rowOff>
    </xdr:from>
    <xdr:to>
      <xdr:col>8</xdr:col>
      <xdr:colOff>503419</xdr:colOff>
      <xdr:row>79</xdr:row>
      <xdr:rowOff>104647</xdr:rowOff>
    </xdr:to>
    <xdr:pic>
      <xdr:nvPicPr>
        <xdr:cNvPr id="3" name="Imagen 2">
          <a:extLst>
            <a:ext uri="{FF2B5EF4-FFF2-40B4-BE49-F238E27FC236}">
              <a16:creationId xmlns:a16="http://schemas.microsoft.com/office/drawing/2014/main" id="{E5D2FBB7-4FB3-47A7-A1E4-E35CA4DFAFAF}"/>
            </a:ext>
          </a:extLst>
        </xdr:cNvPr>
        <xdr:cNvPicPr>
          <a:picLocks noChangeAspect="1"/>
        </xdr:cNvPicPr>
      </xdr:nvPicPr>
      <xdr:blipFill>
        <a:blip xmlns:r="http://schemas.openxmlformats.org/officeDocument/2006/relationships" r:embed="rId2"/>
        <a:stretch>
          <a:fillRect/>
        </a:stretch>
      </xdr:blipFill>
      <xdr:spPr>
        <a:xfrm>
          <a:off x="279400" y="9207500"/>
          <a:ext cx="5761219" cy="5845047"/>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47625</xdr:colOff>
      <xdr:row>1</xdr:row>
      <xdr:rowOff>152400</xdr:rowOff>
    </xdr:from>
    <xdr:to>
      <xdr:col>2</xdr:col>
      <xdr:colOff>685800</xdr:colOff>
      <xdr:row>2</xdr:row>
      <xdr:rowOff>466725</xdr:rowOff>
    </xdr:to>
    <xdr:pic>
      <xdr:nvPicPr>
        <xdr:cNvPr id="3" name="Imagen 2">
          <a:extLst>
            <a:ext uri="{FF2B5EF4-FFF2-40B4-BE49-F238E27FC236}">
              <a16:creationId xmlns:a16="http://schemas.microsoft.com/office/drawing/2014/main" id="{00000000-0008-0000-1A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4325"/>
          <a:ext cx="1409700" cy="476250"/>
        </a:xfrm>
        <a:prstGeom prst="rect">
          <a:avLst/>
        </a:prstGeom>
        <a:noFill/>
        <a:ln>
          <a:noFill/>
        </a:ln>
      </xdr:spPr>
    </xdr:pic>
    <xdr:clientData/>
  </xdr:twoCellAnchor>
  <xdr:twoCellAnchor editAs="oneCell">
    <xdr:from>
      <xdr:col>2</xdr:col>
      <xdr:colOff>0</xdr:colOff>
      <xdr:row>46</xdr:row>
      <xdr:rowOff>1</xdr:rowOff>
    </xdr:from>
    <xdr:to>
      <xdr:col>8</xdr:col>
      <xdr:colOff>935213</xdr:colOff>
      <xdr:row>68</xdr:row>
      <xdr:rowOff>114301</xdr:rowOff>
    </xdr:to>
    <xdr:pic>
      <xdr:nvPicPr>
        <xdr:cNvPr id="2" name="Imagen 1">
          <a:extLst>
            <a:ext uri="{FF2B5EF4-FFF2-40B4-BE49-F238E27FC236}">
              <a16:creationId xmlns:a16="http://schemas.microsoft.com/office/drawing/2014/main" id="{4A4BDF53-E3F8-47C2-950D-4C90B7C29C9E}"/>
            </a:ext>
          </a:extLst>
        </xdr:cNvPr>
        <xdr:cNvPicPr>
          <a:picLocks noChangeAspect="1"/>
        </xdr:cNvPicPr>
      </xdr:nvPicPr>
      <xdr:blipFill rotWithShape="1">
        <a:blip xmlns:r="http://schemas.openxmlformats.org/officeDocument/2006/relationships" r:embed="rId2"/>
        <a:srcRect b="35142"/>
        <a:stretch/>
      </xdr:blipFill>
      <xdr:spPr>
        <a:xfrm>
          <a:off x="787400" y="9753601"/>
          <a:ext cx="5685013" cy="3746500"/>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57150</xdr:colOff>
      <xdr:row>1</xdr:row>
      <xdr:rowOff>123825</xdr:rowOff>
    </xdr:from>
    <xdr:to>
      <xdr:col>2</xdr:col>
      <xdr:colOff>695325</xdr:colOff>
      <xdr:row>2</xdr:row>
      <xdr:rowOff>438150</xdr:rowOff>
    </xdr:to>
    <xdr:pic>
      <xdr:nvPicPr>
        <xdr:cNvPr id="2" name="Imagen 1">
          <a:extLst>
            <a:ext uri="{FF2B5EF4-FFF2-40B4-BE49-F238E27FC236}">
              <a16:creationId xmlns:a16="http://schemas.microsoft.com/office/drawing/2014/main" id="{00000000-0008-0000-1B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85750"/>
          <a:ext cx="1409700" cy="476250"/>
        </a:xfrm>
        <a:prstGeom prst="rect">
          <a:avLst/>
        </a:prstGeom>
        <a:noFill/>
        <a:ln>
          <a:noFill/>
        </a:ln>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76200</xdr:colOff>
      <xdr:row>1</xdr:row>
      <xdr:rowOff>114300</xdr:rowOff>
    </xdr:from>
    <xdr:to>
      <xdr:col>2</xdr:col>
      <xdr:colOff>714375</xdr:colOff>
      <xdr:row>2</xdr:row>
      <xdr:rowOff>428625</xdr:rowOff>
    </xdr:to>
    <xdr:pic>
      <xdr:nvPicPr>
        <xdr:cNvPr id="3" name="Imagen 2">
          <a:extLst>
            <a:ext uri="{FF2B5EF4-FFF2-40B4-BE49-F238E27FC236}">
              <a16:creationId xmlns:a16="http://schemas.microsoft.com/office/drawing/2014/main" id="{00000000-0008-0000-1C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276225"/>
          <a:ext cx="1409700" cy="476250"/>
        </a:xfrm>
        <a:prstGeom prst="rect">
          <a:avLst/>
        </a:prstGeom>
        <a:noFill/>
        <a:ln>
          <a:noFill/>
        </a:ln>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76200</xdr:colOff>
      <xdr:row>1</xdr:row>
      <xdr:rowOff>114300</xdr:rowOff>
    </xdr:from>
    <xdr:to>
      <xdr:col>2</xdr:col>
      <xdr:colOff>714375</xdr:colOff>
      <xdr:row>2</xdr:row>
      <xdr:rowOff>428625</xdr:rowOff>
    </xdr:to>
    <xdr:pic>
      <xdr:nvPicPr>
        <xdr:cNvPr id="2" name="Imagen 1">
          <a:extLst>
            <a:ext uri="{FF2B5EF4-FFF2-40B4-BE49-F238E27FC236}">
              <a16:creationId xmlns:a16="http://schemas.microsoft.com/office/drawing/2014/main" id="{4131DC43-1B94-48AE-808C-8ECA0230B75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281940"/>
          <a:ext cx="1430655" cy="481965"/>
        </a:xfrm>
        <a:prstGeom prst="rect">
          <a:avLst/>
        </a:prstGeom>
        <a:noFill/>
        <a:ln>
          <a:noFill/>
        </a:ln>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76200</xdr:colOff>
      <xdr:row>1</xdr:row>
      <xdr:rowOff>114300</xdr:rowOff>
    </xdr:from>
    <xdr:to>
      <xdr:col>2</xdr:col>
      <xdr:colOff>714375</xdr:colOff>
      <xdr:row>2</xdr:row>
      <xdr:rowOff>428625</xdr:rowOff>
    </xdr:to>
    <xdr:pic>
      <xdr:nvPicPr>
        <xdr:cNvPr id="2" name="Imagen 1">
          <a:extLst>
            <a:ext uri="{FF2B5EF4-FFF2-40B4-BE49-F238E27FC236}">
              <a16:creationId xmlns:a16="http://schemas.microsoft.com/office/drawing/2014/main" id="{B84E6AB2-47B1-494E-8347-2EA9AAA9591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281940"/>
          <a:ext cx="1430655" cy="481965"/>
        </a:xfrm>
        <a:prstGeom prst="rect">
          <a:avLst/>
        </a:prstGeom>
        <a:noFill/>
        <a:ln>
          <a:noFill/>
        </a:ln>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3" name="Imagen 2">
          <a:extLst>
            <a:ext uri="{FF2B5EF4-FFF2-40B4-BE49-F238E27FC236}">
              <a16:creationId xmlns:a16="http://schemas.microsoft.com/office/drawing/2014/main" id="{00000000-0008-0000-1D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04800"/>
          <a:ext cx="1409700" cy="476250"/>
        </a:xfrm>
        <a:prstGeom prst="rect">
          <a:avLst/>
        </a:prstGeom>
        <a:noFill/>
        <a:ln>
          <a:noFill/>
        </a:ln>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47625</xdr:colOff>
      <xdr:row>1</xdr:row>
      <xdr:rowOff>133350</xdr:rowOff>
    </xdr:from>
    <xdr:to>
      <xdr:col>2</xdr:col>
      <xdr:colOff>685800</xdr:colOff>
      <xdr:row>2</xdr:row>
      <xdr:rowOff>447675</xdr:rowOff>
    </xdr:to>
    <xdr:pic>
      <xdr:nvPicPr>
        <xdr:cNvPr id="3" name="Imagen 2">
          <a:extLst>
            <a:ext uri="{FF2B5EF4-FFF2-40B4-BE49-F238E27FC236}">
              <a16:creationId xmlns:a16="http://schemas.microsoft.com/office/drawing/2014/main" id="{00000000-0008-0000-1E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295275"/>
          <a:ext cx="1409700" cy="476250"/>
        </a:xfrm>
        <a:prstGeom prst="rect">
          <a:avLst/>
        </a:prstGeom>
        <a:noFill/>
        <a:ln>
          <a:noFill/>
        </a:ln>
      </xdr:spPr>
    </xdr:pic>
    <xdr:clientData/>
  </xdr:twoCellAnchor>
  <xdr:twoCellAnchor editAs="oneCell">
    <xdr:from>
      <xdr:col>2</xdr:col>
      <xdr:colOff>12700</xdr:colOff>
      <xdr:row>43</xdr:row>
      <xdr:rowOff>50800</xdr:rowOff>
    </xdr:from>
    <xdr:to>
      <xdr:col>8</xdr:col>
      <xdr:colOff>909809</xdr:colOff>
      <xdr:row>78</xdr:row>
      <xdr:rowOff>102105</xdr:rowOff>
    </xdr:to>
    <xdr:pic>
      <xdr:nvPicPr>
        <xdr:cNvPr id="2" name="Imagen 1">
          <a:extLst>
            <a:ext uri="{FF2B5EF4-FFF2-40B4-BE49-F238E27FC236}">
              <a16:creationId xmlns:a16="http://schemas.microsoft.com/office/drawing/2014/main" id="{D80F815B-3665-408F-82F3-69D11DBFD5F8}"/>
            </a:ext>
          </a:extLst>
        </xdr:cNvPr>
        <xdr:cNvPicPr>
          <a:picLocks noChangeAspect="1"/>
        </xdr:cNvPicPr>
      </xdr:nvPicPr>
      <xdr:blipFill>
        <a:blip xmlns:r="http://schemas.openxmlformats.org/officeDocument/2006/relationships" r:embed="rId2"/>
        <a:stretch>
          <a:fillRect/>
        </a:stretch>
      </xdr:blipFill>
      <xdr:spPr>
        <a:xfrm>
          <a:off x="800100" y="9410700"/>
          <a:ext cx="5646909" cy="5829805"/>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66675</xdr:colOff>
      <xdr:row>2</xdr:row>
      <xdr:rowOff>0</xdr:rowOff>
    </xdr:from>
    <xdr:to>
      <xdr:col>2</xdr:col>
      <xdr:colOff>704850</xdr:colOff>
      <xdr:row>2</xdr:row>
      <xdr:rowOff>479425</xdr:rowOff>
    </xdr:to>
    <xdr:pic>
      <xdr:nvPicPr>
        <xdr:cNvPr id="2" name="Imagen 1">
          <a:extLst>
            <a:ext uri="{FF2B5EF4-FFF2-40B4-BE49-F238E27FC236}">
              <a16:creationId xmlns:a16="http://schemas.microsoft.com/office/drawing/2014/main" id="{00000000-0008-0000-1F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330200"/>
          <a:ext cx="1425575" cy="479425"/>
        </a:xfrm>
        <a:prstGeom prst="rect">
          <a:avLst/>
        </a:prstGeom>
        <a:noFill/>
        <a:ln>
          <a:noFill/>
        </a:ln>
      </xdr:spPr>
    </xdr:pic>
    <xdr:clientData/>
  </xdr:twoCellAnchor>
  <xdr:twoCellAnchor editAs="oneCell">
    <xdr:from>
      <xdr:col>1</xdr:col>
      <xdr:colOff>114300</xdr:colOff>
      <xdr:row>44</xdr:row>
      <xdr:rowOff>38100</xdr:rowOff>
    </xdr:from>
    <xdr:to>
      <xdr:col>8</xdr:col>
      <xdr:colOff>465309</xdr:colOff>
      <xdr:row>79</xdr:row>
      <xdr:rowOff>89405</xdr:rowOff>
    </xdr:to>
    <xdr:pic>
      <xdr:nvPicPr>
        <xdr:cNvPr id="3" name="Imagen 2">
          <a:extLst>
            <a:ext uri="{FF2B5EF4-FFF2-40B4-BE49-F238E27FC236}">
              <a16:creationId xmlns:a16="http://schemas.microsoft.com/office/drawing/2014/main" id="{C874793C-C1BF-46B6-B596-8B0AF8CAF6BD}"/>
            </a:ext>
          </a:extLst>
        </xdr:cNvPr>
        <xdr:cNvPicPr>
          <a:picLocks noChangeAspect="1"/>
        </xdr:cNvPicPr>
      </xdr:nvPicPr>
      <xdr:blipFill>
        <a:blip xmlns:r="http://schemas.openxmlformats.org/officeDocument/2006/relationships" r:embed="rId2"/>
        <a:stretch>
          <a:fillRect/>
        </a:stretch>
      </xdr:blipFill>
      <xdr:spPr>
        <a:xfrm>
          <a:off x="355600" y="9207500"/>
          <a:ext cx="5646909" cy="5829805"/>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76200</xdr:colOff>
      <xdr:row>1</xdr:row>
      <xdr:rowOff>133350</xdr:rowOff>
    </xdr:from>
    <xdr:to>
      <xdr:col>2</xdr:col>
      <xdr:colOff>714375</xdr:colOff>
      <xdr:row>2</xdr:row>
      <xdr:rowOff>447675</xdr:rowOff>
    </xdr:to>
    <xdr:pic>
      <xdr:nvPicPr>
        <xdr:cNvPr id="3" name="Imagen 2">
          <a:extLst>
            <a:ext uri="{FF2B5EF4-FFF2-40B4-BE49-F238E27FC236}">
              <a16:creationId xmlns:a16="http://schemas.microsoft.com/office/drawing/2014/main" id="{00000000-0008-0000-2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295275"/>
          <a:ext cx="1409700" cy="476250"/>
        </a:xfrm>
        <a:prstGeom prst="rect">
          <a:avLst/>
        </a:prstGeom>
        <a:noFill/>
        <a:ln>
          <a:noFill/>
        </a:ln>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66675</xdr:colOff>
      <xdr:row>1</xdr:row>
      <xdr:rowOff>142875</xdr:rowOff>
    </xdr:from>
    <xdr:to>
      <xdr:col>2</xdr:col>
      <xdr:colOff>704850</xdr:colOff>
      <xdr:row>2</xdr:row>
      <xdr:rowOff>457200</xdr:rowOff>
    </xdr:to>
    <xdr:pic>
      <xdr:nvPicPr>
        <xdr:cNvPr id="3" name="Imagen 2">
          <a:extLst>
            <a:ext uri="{FF2B5EF4-FFF2-40B4-BE49-F238E27FC236}">
              <a16:creationId xmlns:a16="http://schemas.microsoft.com/office/drawing/2014/main" id="{00000000-0008-0000-2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304800"/>
          <a:ext cx="1409700" cy="476250"/>
        </a:xfrm>
        <a:prstGeom prst="rect">
          <a:avLst/>
        </a:prstGeom>
        <a:noFill/>
        <a:ln>
          <a:noFill/>
        </a:ln>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3" name="Imagen 2">
          <a:extLst>
            <a:ext uri="{FF2B5EF4-FFF2-40B4-BE49-F238E27FC236}">
              <a16:creationId xmlns:a16="http://schemas.microsoft.com/office/drawing/2014/main" id="{00000000-0008-0000-2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04800"/>
          <a:ext cx="1409700" cy="476250"/>
        </a:xfrm>
        <a:prstGeom prst="rect">
          <a:avLst/>
        </a:prstGeom>
        <a:noFill/>
        <a:ln>
          <a:noFill/>
        </a:ln>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57150</xdr:colOff>
      <xdr:row>1</xdr:row>
      <xdr:rowOff>123825</xdr:rowOff>
    </xdr:from>
    <xdr:to>
      <xdr:col>2</xdr:col>
      <xdr:colOff>695325</xdr:colOff>
      <xdr:row>2</xdr:row>
      <xdr:rowOff>438150</xdr:rowOff>
    </xdr:to>
    <xdr:pic>
      <xdr:nvPicPr>
        <xdr:cNvPr id="3" name="Imagen 2">
          <a:extLst>
            <a:ext uri="{FF2B5EF4-FFF2-40B4-BE49-F238E27FC236}">
              <a16:creationId xmlns:a16="http://schemas.microsoft.com/office/drawing/2014/main" id="{00000000-0008-0000-2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85750"/>
          <a:ext cx="1409700" cy="476250"/>
        </a:xfrm>
        <a:prstGeom prst="rect">
          <a:avLst/>
        </a:prstGeom>
        <a:noFill/>
        <a:ln>
          <a:noFill/>
        </a:ln>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0</xdr:col>
      <xdr:colOff>66675</xdr:colOff>
      <xdr:row>1</xdr:row>
      <xdr:rowOff>123825</xdr:rowOff>
    </xdr:from>
    <xdr:to>
      <xdr:col>2</xdr:col>
      <xdr:colOff>704850</xdr:colOff>
      <xdr:row>2</xdr:row>
      <xdr:rowOff>438150</xdr:rowOff>
    </xdr:to>
    <xdr:pic>
      <xdr:nvPicPr>
        <xdr:cNvPr id="3" name="Imagen 2">
          <a:extLst>
            <a:ext uri="{FF2B5EF4-FFF2-40B4-BE49-F238E27FC236}">
              <a16:creationId xmlns:a16="http://schemas.microsoft.com/office/drawing/2014/main" id="{00000000-0008-0000-24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285750"/>
          <a:ext cx="1409700" cy="476250"/>
        </a:xfrm>
        <a:prstGeom prst="rect">
          <a:avLst/>
        </a:prstGeom>
        <a:noFill/>
        <a:ln>
          <a:noFill/>
        </a:ln>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0</xdr:col>
      <xdr:colOff>66675</xdr:colOff>
      <xdr:row>1</xdr:row>
      <xdr:rowOff>123825</xdr:rowOff>
    </xdr:from>
    <xdr:to>
      <xdr:col>2</xdr:col>
      <xdr:colOff>704850</xdr:colOff>
      <xdr:row>2</xdr:row>
      <xdr:rowOff>438150</xdr:rowOff>
    </xdr:to>
    <xdr:pic>
      <xdr:nvPicPr>
        <xdr:cNvPr id="2" name="Imagen 1">
          <a:extLst>
            <a:ext uri="{FF2B5EF4-FFF2-40B4-BE49-F238E27FC236}">
              <a16:creationId xmlns:a16="http://schemas.microsoft.com/office/drawing/2014/main" id="{00000000-0008-0000-2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285750"/>
          <a:ext cx="1409700" cy="476250"/>
        </a:xfrm>
        <a:prstGeom prst="rect">
          <a:avLst/>
        </a:prstGeom>
        <a:noFill/>
        <a:ln>
          <a:noFill/>
        </a:ln>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0</xdr:col>
      <xdr:colOff>66675</xdr:colOff>
      <xdr:row>1</xdr:row>
      <xdr:rowOff>123825</xdr:rowOff>
    </xdr:from>
    <xdr:to>
      <xdr:col>2</xdr:col>
      <xdr:colOff>704850</xdr:colOff>
      <xdr:row>2</xdr:row>
      <xdr:rowOff>438150</xdr:rowOff>
    </xdr:to>
    <xdr:pic>
      <xdr:nvPicPr>
        <xdr:cNvPr id="2" name="Imagen 1">
          <a:extLst>
            <a:ext uri="{FF2B5EF4-FFF2-40B4-BE49-F238E27FC236}">
              <a16:creationId xmlns:a16="http://schemas.microsoft.com/office/drawing/2014/main" id="{35D3BD9F-AFC8-46CE-A63F-F33FEE4EDEB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291465"/>
          <a:ext cx="1430655" cy="481965"/>
        </a:xfrm>
        <a:prstGeom prst="rect">
          <a:avLst/>
        </a:prstGeom>
        <a:noFill/>
        <a:ln>
          <a:noFill/>
        </a:ln>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0</xdr:col>
      <xdr:colOff>66675</xdr:colOff>
      <xdr:row>1</xdr:row>
      <xdr:rowOff>123825</xdr:rowOff>
    </xdr:from>
    <xdr:to>
      <xdr:col>2</xdr:col>
      <xdr:colOff>704850</xdr:colOff>
      <xdr:row>2</xdr:row>
      <xdr:rowOff>438150</xdr:rowOff>
    </xdr:to>
    <xdr:pic>
      <xdr:nvPicPr>
        <xdr:cNvPr id="2" name="Imagen 1">
          <a:extLst>
            <a:ext uri="{FF2B5EF4-FFF2-40B4-BE49-F238E27FC236}">
              <a16:creationId xmlns:a16="http://schemas.microsoft.com/office/drawing/2014/main" id="{C90EB9F4-473A-42EE-B4D6-81391520850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291465"/>
          <a:ext cx="1430655" cy="481965"/>
        </a:xfrm>
        <a:prstGeom prst="rect">
          <a:avLst/>
        </a:prstGeom>
        <a:noFill/>
        <a:ln>
          <a:noFill/>
        </a:ln>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0</xdr:col>
      <xdr:colOff>66675</xdr:colOff>
      <xdr:row>1</xdr:row>
      <xdr:rowOff>123825</xdr:rowOff>
    </xdr:from>
    <xdr:to>
      <xdr:col>2</xdr:col>
      <xdr:colOff>704850</xdr:colOff>
      <xdr:row>2</xdr:row>
      <xdr:rowOff>438150</xdr:rowOff>
    </xdr:to>
    <xdr:pic>
      <xdr:nvPicPr>
        <xdr:cNvPr id="2" name="Imagen 1">
          <a:extLst>
            <a:ext uri="{FF2B5EF4-FFF2-40B4-BE49-F238E27FC236}">
              <a16:creationId xmlns:a16="http://schemas.microsoft.com/office/drawing/2014/main" id="{5D8D3E59-8A76-4CAB-A1AA-98ED53526AE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291465"/>
          <a:ext cx="1430655" cy="481965"/>
        </a:xfrm>
        <a:prstGeom prst="rect">
          <a:avLst/>
        </a:prstGeom>
        <a:noFill/>
        <a:ln>
          <a:noFill/>
        </a:ln>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0</xdr:col>
      <xdr:colOff>66675</xdr:colOff>
      <xdr:row>1</xdr:row>
      <xdr:rowOff>123825</xdr:rowOff>
    </xdr:from>
    <xdr:to>
      <xdr:col>2</xdr:col>
      <xdr:colOff>704850</xdr:colOff>
      <xdr:row>2</xdr:row>
      <xdr:rowOff>438150</xdr:rowOff>
    </xdr:to>
    <xdr:pic>
      <xdr:nvPicPr>
        <xdr:cNvPr id="2" name="Imagen 1">
          <a:extLst>
            <a:ext uri="{FF2B5EF4-FFF2-40B4-BE49-F238E27FC236}">
              <a16:creationId xmlns:a16="http://schemas.microsoft.com/office/drawing/2014/main" id="{5C6BA9D3-38AD-4DD9-ADD6-9E7E623F4F2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291465"/>
          <a:ext cx="1430655" cy="481965"/>
        </a:xfrm>
        <a:prstGeom prst="rect">
          <a:avLst/>
        </a:prstGeom>
        <a:noFill/>
        <a:ln>
          <a:noFill/>
        </a:ln>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0</xdr:col>
      <xdr:colOff>66675</xdr:colOff>
      <xdr:row>1</xdr:row>
      <xdr:rowOff>123825</xdr:rowOff>
    </xdr:from>
    <xdr:to>
      <xdr:col>2</xdr:col>
      <xdr:colOff>704850</xdr:colOff>
      <xdr:row>2</xdr:row>
      <xdr:rowOff>438150</xdr:rowOff>
    </xdr:to>
    <xdr:pic>
      <xdr:nvPicPr>
        <xdr:cNvPr id="2" name="Imagen 1">
          <a:extLst>
            <a:ext uri="{FF2B5EF4-FFF2-40B4-BE49-F238E27FC236}">
              <a16:creationId xmlns:a16="http://schemas.microsoft.com/office/drawing/2014/main" id="{56274872-3D44-4E2C-8F66-EAAE4E85E96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291465"/>
          <a:ext cx="1430655" cy="481965"/>
        </a:xfrm>
        <a:prstGeom prst="rect">
          <a:avLst/>
        </a:prstGeom>
        <a:noFill/>
        <a:ln>
          <a:noFill/>
        </a:ln>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0</xdr:col>
      <xdr:colOff>66675</xdr:colOff>
      <xdr:row>1</xdr:row>
      <xdr:rowOff>123825</xdr:rowOff>
    </xdr:from>
    <xdr:to>
      <xdr:col>2</xdr:col>
      <xdr:colOff>704850</xdr:colOff>
      <xdr:row>2</xdr:row>
      <xdr:rowOff>438150</xdr:rowOff>
    </xdr:to>
    <xdr:pic>
      <xdr:nvPicPr>
        <xdr:cNvPr id="2" name="Imagen 1">
          <a:extLst>
            <a:ext uri="{FF2B5EF4-FFF2-40B4-BE49-F238E27FC236}">
              <a16:creationId xmlns:a16="http://schemas.microsoft.com/office/drawing/2014/main" id="{2EB32BBF-4586-4178-9F87-1A8DF5B7030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291465"/>
          <a:ext cx="1430655" cy="481965"/>
        </a:xfrm>
        <a:prstGeom prst="rect">
          <a:avLst/>
        </a:prstGeom>
        <a:noFill/>
        <a:ln>
          <a:noFill/>
        </a:ln>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0</xdr:col>
      <xdr:colOff>66675</xdr:colOff>
      <xdr:row>1</xdr:row>
      <xdr:rowOff>123825</xdr:rowOff>
    </xdr:from>
    <xdr:to>
      <xdr:col>2</xdr:col>
      <xdr:colOff>704850</xdr:colOff>
      <xdr:row>2</xdr:row>
      <xdr:rowOff>438150</xdr:rowOff>
    </xdr:to>
    <xdr:pic>
      <xdr:nvPicPr>
        <xdr:cNvPr id="2" name="Imagen 1">
          <a:extLst>
            <a:ext uri="{FF2B5EF4-FFF2-40B4-BE49-F238E27FC236}">
              <a16:creationId xmlns:a16="http://schemas.microsoft.com/office/drawing/2014/main" id="{AF8D12AC-C449-47C7-B146-10FD28FEBBD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291465"/>
          <a:ext cx="1430655" cy="481965"/>
        </a:xfrm>
        <a:prstGeom prst="rect">
          <a:avLst/>
        </a:prstGeom>
        <a:noFill/>
        <a:ln>
          <a:noFill/>
        </a:ln>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0</xdr:col>
      <xdr:colOff>66675</xdr:colOff>
      <xdr:row>1</xdr:row>
      <xdr:rowOff>123825</xdr:rowOff>
    </xdr:from>
    <xdr:to>
      <xdr:col>2</xdr:col>
      <xdr:colOff>704850</xdr:colOff>
      <xdr:row>2</xdr:row>
      <xdr:rowOff>438150</xdr:rowOff>
    </xdr:to>
    <xdr:pic>
      <xdr:nvPicPr>
        <xdr:cNvPr id="2" name="Imagen 1">
          <a:extLst>
            <a:ext uri="{FF2B5EF4-FFF2-40B4-BE49-F238E27FC236}">
              <a16:creationId xmlns:a16="http://schemas.microsoft.com/office/drawing/2014/main" id="{00000000-0008-0000-2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285750"/>
          <a:ext cx="1409700" cy="476250"/>
        </a:xfrm>
        <a:prstGeom prst="rect">
          <a:avLst/>
        </a:prstGeom>
        <a:noFill/>
        <a:ln>
          <a:noFill/>
        </a:ln>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0</xdr:col>
      <xdr:colOff>66675</xdr:colOff>
      <xdr:row>1</xdr:row>
      <xdr:rowOff>142875</xdr:rowOff>
    </xdr:from>
    <xdr:to>
      <xdr:col>2</xdr:col>
      <xdr:colOff>704850</xdr:colOff>
      <xdr:row>2</xdr:row>
      <xdr:rowOff>457200</xdr:rowOff>
    </xdr:to>
    <xdr:pic>
      <xdr:nvPicPr>
        <xdr:cNvPr id="2" name="Imagen 1">
          <a:extLst>
            <a:ext uri="{FF2B5EF4-FFF2-40B4-BE49-F238E27FC236}">
              <a16:creationId xmlns:a16="http://schemas.microsoft.com/office/drawing/2014/main" id="{00000000-0008-0000-27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304800"/>
          <a:ext cx="1409700" cy="476250"/>
        </a:xfrm>
        <a:prstGeom prst="rect">
          <a:avLst/>
        </a:prstGeom>
        <a:noFill/>
        <a:ln>
          <a:noFill/>
        </a:ln>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0</xdr:col>
      <xdr:colOff>66675</xdr:colOff>
      <xdr:row>1</xdr:row>
      <xdr:rowOff>142875</xdr:rowOff>
    </xdr:from>
    <xdr:to>
      <xdr:col>2</xdr:col>
      <xdr:colOff>704850</xdr:colOff>
      <xdr:row>2</xdr:row>
      <xdr:rowOff>457200</xdr:rowOff>
    </xdr:to>
    <xdr:pic>
      <xdr:nvPicPr>
        <xdr:cNvPr id="2" name="Imagen 1">
          <a:extLst>
            <a:ext uri="{FF2B5EF4-FFF2-40B4-BE49-F238E27FC236}">
              <a16:creationId xmlns:a16="http://schemas.microsoft.com/office/drawing/2014/main" id="{A85C440F-564D-4253-8351-976ECC8D870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310515"/>
          <a:ext cx="1430655" cy="481965"/>
        </a:xfrm>
        <a:prstGeom prst="rect">
          <a:avLst/>
        </a:prstGeom>
        <a:noFill/>
        <a:ln>
          <a:noFill/>
        </a:ln>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0</xdr:col>
      <xdr:colOff>76200</xdr:colOff>
      <xdr:row>1</xdr:row>
      <xdr:rowOff>133350</xdr:rowOff>
    </xdr:from>
    <xdr:to>
      <xdr:col>2</xdr:col>
      <xdr:colOff>714375</xdr:colOff>
      <xdr:row>2</xdr:row>
      <xdr:rowOff>447675</xdr:rowOff>
    </xdr:to>
    <xdr:pic>
      <xdr:nvPicPr>
        <xdr:cNvPr id="2" name="Imagen 1">
          <a:extLst>
            <a:ext uri="{FF2B5EF4-FFF2-40B4-BE49-F238E27FC236}">
              <a16:creationId xmlns:a16="http://schemas.microsoft.com/office/drawing/2014/main" id="{00000000-0008-0000-28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295275"/>
          <a:ext cx="1409700" cy="476250"/>
        </a:xfrm>
        <a:prstGeom prst="rect">
          <a:avLst/>
        </a:prstGeom>
        <a:noFill/>
        <a:ln>
          <a:noFill/>
        </a:ln>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2" name="Imagen 1">
          <a:extLst>
            <a:ext uri="{FF2B5EF4-FFF2-40B4-BE49-F238E27FC236}">
              <a16:creationId xmlns:a16="http://schemas.microsoft.com/office/drawing/2014/main" id="{00000000-0008-0000-29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04800"/>
          <a:ext cx="1409700" cy="476250"/>
        </a:xfrm>
        <a:prstGeom prst="rect">
          <a:avLst/>
        </a:prstGeom>
        <a:noFill/>
        <a:ln>
          <a:noFill/>
        </a:ln>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2" name="Imagen 1">
          <a:extLst>
            <a:ext uri="{FF2B5EF4-FFF2-40B4-BE49-F238E27FC236}">
              <a16:creationId xmlns:a16="http://schemas.microsoft.com/office/drawing/2014/main" id="{1898A8C0-CDB9-4171-8D5E-E38128DE7EC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0515"/>
          <a:ext cx="1430655" cy="481965"/>
        </a:xfrm>
        <a:prstGeom prst="rect">
          <a:avLst/>
        </a:prstGeom>
        <a:noFill/>
        <a:ln>
          <a:noFill/>
        </a:ln>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2" name="Imagen 1">
          <a:extLst>
            <a:ext uri="{FF2B5EF4-FFF2-40B4-BE49-F238E27FC236}">
              <a16:creationId xmlns:a16="http://schemas.microsoft.com/office/drawing/2014/main" id="{77267D7D-19D6-47FD-8A7E-189B151270B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0515"/>
          <a:ext cx="1430655" cy="481965"/>
        </a:xfrm>
        <a:prstGeom prst="rect">
          <a:avLst/>
        </a:prstGeom>
        <a:noFill/>
        <a:ln>
          <a:noFill/>
        </a:ln>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2" name="Imagen 1">
          <a:extLst>
            <a:ext uri="{FF2B5EF4-FFF2-40B4-BE49-F238E27FC236}">
              <a16:creationId xmlns:a16="http://schemas.microsoft.com/office/drawing/2014/main" id="{F92796A9-EE3E-418B-BD42-D393E2F350F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0515"/>
          <a:ext cx="1430655" cy="481965"/>
        </a:xfrm>
        <a:prstGeom prst="rect">
          <a:avLst/>
        </a:prstGeom>
        <a:noFill/>
        <a:ln>
          <a:noFill/>
        </a:ln>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2" name="Imagen 1">
          <a:extLst>
            <a:ext uri="{FF2B5EF4-FFF2-40B4-BE49-F238E27FC236}">
              <a16:creationId xmlns:a16="http://schemas.microsoft.com/office/drawing/2014/main" id="{3E0FC4A5-F7FE-4013-ABA8-A5256CD38A4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0515"/>
          <a:ext cx="1430655" cy="481965"/>
        </a:xfrm>
        <a:prstGeom prst="rect">
          <a:avLst/>
        </a:prstGeom>
        <a:noFill/>
        <a:ln>
          <a:noFill/>
        </a:ln>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2" name="Imagen 1">
          <a:extLst>
            <a:ext uri="{FF2B5EF4-FFF2-40B4-BE49-F238E27FC236}">
              <a16:creationId xmlns:a16="http://schemas.microsoft.com/office/drawing/2014/main" id="{EDB3FA65-D74E-4886-B438-91FB9D344C4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0515"/>
          <a:ext cx="1430655" cy="481965"/>
        </a:xfrm>
        <a:prstGeom prst="rect">
          <a:avLst/>
        </a:prstGeom>
        <a:noFill/>
        <a:ln>
          <a:noFill/>
        </a:ln>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2" name="Imagen 1">
          <a:extLst>
            <a:ext uri="{FF2B5EF4-FFF2-40B4-BE49-F238E27FC236}">
              <a16:creationId xmlns:a16="http://schemas.microsoft.com/office/drawing/2014/main" id="{FC9AD493-372E-4CF1-9600-ECB3977857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0515"/>
          <a:ext cx="1430655" cy="481965"/>
        </a:xfrm>
        <a:prstGeom prst="rect">
          <a:avLst/>
        </a:prstGeom>
        <a:noFill/>
        <a:ln>
          <a:noFill/>
        </a:ln>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2" name="Imagen 1">
          <a:extLst>
            <a:ext uri="{FF2B5EF4-FFF2-40B4-BE49-F238E27FC236}">
              <a16:creationId xmlns:a16="http://schemas.microsoft.com/office/drawing/2014/main" id="{F3C3D2D7-00C8-4F7E-833B-A59A749F5A2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0515"/>
          <a:ext cx="1430655" cy="481965"/>
        </a:xfrm>
        <a:prstGeom prst="rect">
          <a:avLst/>
        </a:prstGeom>
        <a:noFill/>
        <a:ln>
          <a:noFill/>
        </a:ln>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2" name="Imagen 1">
          <a:extLst>
            <a:ext uri="{FF2B5EF4-FFF2-40B4-BE49-F238E27FC236}">
              <a16:creationId xmlns:a16="http://schemas.microsoft.com/office/drawing/2014/main" id="{403ED536-4BF8-42D2-AAFD-1257C5C8783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0515"/>
          <a:ext cx="1430655" cy="481965"/>
        </a:xfrm>
        <a:prstGeom prst="rect">
          <a:avLst/>
        </a:prstGeom>
        <a:noFill/>
        <a:ln>
          <a:noFill/>
        </a:ln>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2" name="Imagen 1">
          <a:extLst>
            <a:ext uri="{FF2B5EF4-FFF2-40B4-BE49-F238E27FC236}">
              <a16:creationId xmlns:a16="http://schemas.microsoft.com/office/drawing/2014/main" id="{6AA86BE7-322D-4D2B-B4E5-63800817F6C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0515"/>
          <a:ext cx="1430655" cy="481965"/>
        </a:xfrm>
        <a:prstGeom prst="rect">
          <a:avLst/>
        </a:prstGeom>
        <a:noFill/>
        <a:ln>
          <a:noFill/>
        </a:ln>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2" name="Imagen 1">
          <a:extLst>
            <a:ext uri="{FF2B5EF4-FFF2-40B4-BE49-F238E27FC236}">
              <a16:creationId xmlns:a16="http://schemas.microsoft.com/office/drawing/2014/main" id="{4320DC2D-863B-4271-B859-A34BFA6C153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0515"/>
          <a:ext cx="1430655" cy="481965"/>
        </a:xfrm>
        <a:prstGeom prst="rect">
          <a:avLst/>
        </a:prstGeom>
        <a:noFill/>
        <a:ln>
          <a:noFill/>
        </a:ln>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2" name="Imagen 1">
          <a:extLst>
            <a:ext uri="{FF2B5EF4-FFF2-40B4-BE49-F238E27FC236}">
              <a16:creationId xmlns:a16="http://schemas.microsoft.com/office/drawing/2014/main" id="{54065552-A8AF-48AB-A3B6-D80DBD6AD53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0515"/>
          <a:ext cx="1430655" cy="481965"/>
        </a:xfrm>
        <a:prstGeom prst="rect">
          <a:avLst/>
        </a:prstGeom>
        <a:noFill/>
        <a:ln>
          <a:noFill/>
        </a:ln>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2" name="Imagen 1">
          <a:extLst>
            <a:ext uri="{FF2B5EF4-FFF2-40B4-BE49-F238E27FC236}">
              <a16:creationId xmlns:a16="http://schemas.microsoft.com/office/drawing/2014/main" id="{C11CF787-C2DB-45E3-9B8B-8781243BE70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0515"/>
          <a:ext cx="1430655" cy="481965"/>
        </a:xfrm>
        <a:prstGeom prst="rect">
          <a:avLst/>
        </a:prstGeom>
        <a:noFill/>
        <a:ln>
          <a:noFill/>
        </a:ln>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2" name="Imagen 1">
          <a:extLst>
            <a:ext uri="{FF2B5EF4-FFF2-40B4-BE49-F238E27FC236}">
              <a16:creationId xmlns:a16="http://schemas.microsoft.com/office/drawing/2014/main" id="{5BE47672-4D41-4FCD-8FB1-5E0418DB935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0515"/>
          <a:ext cx="1430655" cy="481965"/>
        </a:xfrm>
        <a:prstGeom prst="rect">
          <a:avLst/>
        </a:prstGeom>
        <a:noFill/>
        <a:ln>
          <a:noFill/>
        </a:ln>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571500</xdr:colOff>
      <xdr:row>2</xdr:row>
      <xdr:rowOff>457200</xdr:rowOff>
    </xdr:to>
    <xdr:pic>
      <xdr:nvPicPr>
        <xdr:cNvPr id="2" name="Imagen 1">
          <a:extLst>
            <a:ext uri="{FF2B5EF4-FFF2-40B4-BE49-F238E27FC236}">
              <a16:creationId xmlns:a16="http://schemas.microsoft.com/office/drawing/2014/main" id="{E46E5EC6-0870-4DD8-AB5A-57422C5F130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0515"/>
          <a:ext cx="1430655" cy="481965"/>
        </a:xfrm>
        <a:prstGeom prst="rect">
          <a:avLst/>
        </a:prstGeom>
        <a:noFill/>
        <a:ln>
          <a:noFill/>
        </a:ln>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2" name="Imagen 1">
          <a:extLst>
            <a:ext uri="{FF2B5EF4-FFF2-40B4-BE49-F238E27FC236}">
              <a16:creationId xmlns:a16="http://schemas.microsoft.com/office/drawing/2014/main" id="{3AA260DD-D47C-42B6-930E-6FECAD94AD6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0515"/>
          <a:ext cx="1430655" cy="481965"/>
        </a:xfrm>
        <a:prstGeom prst="rect">
          <a:avLst/>
        </a:prstGeom>
        <a:noFill/>
        <a:ln>
          <a:noFill/>
        </a:ln>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47625</xdr:colOff>
      <xdr:row>1</xdr:row>
      <xdr:rowOff>142875</xdr:rowOff>
    </xdr:from>
    <xdr:to>
      <xdr:col>2</xdr:col>
      <xdr:colOff>685800</xdr:colOff>
      <xdr:row>2</xdr:row>
      <xdr:rowOff>457200</xdr:rowOff>
    </xdr:to>
    <xdr:pic>
      <xdr:nvPicPr>
        <xdr:cNvPr id="2" name="Imagen 1">
          <a:extLst>
            <a:ext uri="{FF2B5EF4-FFF2-40B4-BE49-F238E27FC236}">
              <a16:creationId xmlns:a16="http://schemas.microsoft.com/office/drawing/2014/main" id="{384C0892-58CA-47D4-8C01-95D78842E94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10515"/>
          <a:ext cx="1430655" cy="481965"/>
        </a:xfrm>
        <a:prstGeom prst="rect">
          <a:avLst/>
        </a:prstGeom>
        <a:noFill/>
        <a:ln>
          <a:noFill/>
        </a:ln>
      </xdr:spPr>
    </xdr:pic>
    <xdr:clientData/>
  </xdr:twoCellAnchor>
</xdr:wsDr>
</file>

<file path=xl/drawings/drawing70.xml><?xml version="1.0" encoding="utf-8"?>
<xdr:wsDr xmlns:xdr="http://schemas.openxmlformats.org/drawingml/2006/spreadsheetDrawing" xmlns:a="http://schemas.openxmlformats.org/drawingml/2006/main">
  <xdr:twoCellAnchor editAs="oneCell">
    <xdr:from>
      <xdr:col>0</xdr:col>
      <xdr:colOff>57150</xdr:colOff>
      <xdr:row>1</xdr:row>
      <xdr:rowOff>114300</xdr:rowOff>
    </xdr:from>
    <xdr:to>
      <xdr:col>2</xdr:col>
      <xdr:colOff>695325</xdr:colOff>
      <xdr:row>2</xdr:row>
      <xdr:rowOff>428625</xdr:rowOff>
    </xdr:to>
    <xdr:pic>
      <xdr:nvPicPr>
        <xdr:cNvPr id="3" name="Imagen 2">
          <a:extLst>
            <a:ext uri="{FF2B5EF4-FFF2-40B4-BE49-F238E27FC236}">
              <a16:creationId xmlns:a16="http://schemas.microsoft.com/office/drawing/2014/main" id="{00000000-0008-0000-2A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76225"/>
          <a:ext cx="1409700" cy="476250"/>
        </a:xfrm>
        <a:prstGeom prst="rect">
          <a:avLst/>
        </a:prstGeom>
        <a:noFill/>
        <a:ln>
          <a:noFill/>
        </a:ln>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0</xdr:col>
      <xdr:colOff>76200</xdr:colOff>
      <xdr:row>93</xdr:row>
      <xdr:rowOff>142875</xdr:rowOff>
    </xdr:from>
    <xdr:to>
      <xdr:col>2</xdr:col>
      <xdr:colOff>714375</xdr:colOff>
      <xdr:row>94</xdr:row>
      <xdr:rowOff>457200</xdr:rowOff>
    </xdr:to>
    <xdr:pic>
      <xdr:nvPicPr>
        <xdr:cNvPr id="10" name="Imagen 9">
          <a:extLst>
            <a:ext uri="{FF2B5EF4-FFF2-40B4-BE49-F238E27FC236}">
              <a16:creationId xmlns:a16="http://schemas.microsoft.com/office/drawing/2014/main" id="{00000000-0008-0000-2B00-00000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628650"/>
          <a:ext cx="1409700" cy="476250"/>
        </a:xfrm>
        <a:prstGeom prst="rect">
          <a:avLst/>
        </a:prstGeom>
        <a:noFill/>
        <a:ln>
          <a:noFill/>
        </a:ln>
      </xdr:spPr>
    </xdr:pic>
    <xdr:clientData/>
  </xdr:twoCellAnchor>
  <xdr:twoCellAnchor editAs="oneCell">
    <xdr:from>
      <xdr:col>0</xdr:col>
      <xdr:colOff>57150</xdr:colOff>
      <xdr:row>227</xdr:row>
      <xdr:rowOff>133350</xdr:rowOff>
    </xdr:from>
    <xdr:to>
      <xdr:col>2</xdr:col>
      <xdr:colOff>695325</xdr:colOff>
      <xdr:row>228</xdr:row>
      <xdr:rowOff>447675</xdr:rowOff>
    </xdr:to>
    <xdr:pic>
      <xdr:nvPicPr>
        <xdr:cNvPr id="11" name="Imagen 10">
          <a:extLst>
            <a:ext uri="{FF2B5EF4-FFF2-40B4-BE49-F238E27FC236}">
              <a16:creationId xmlns:a16="http://schemas.microsoft.com/office/drawing/2014/main" id="{00000000-0008-0000-2B00-00000B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10201275"/>
          <a:ext cx="1409700" cy="476250"/>
        </a:xfrm>
        <a:prstGeom prst="rect">
          <a:avLst/>
        </a:prstGeom>
        <a:noFill/>
        <a:ln>
          <a:noFill/>
        </a:ln>
      </xdr:spPr>
    </xdr:pic>
    <xdr:clientData/>
  </xdr:twoCellAnchor>
  <xdr:twoCellAnchor editAs="oneCell">
    <xdr:from>
      <xdr:col>0</xdr:col>
      <xdr:colOff>41275</xdr:colOff>
      <xdr:row>139</xdr:row>
      <xdr:rowOff>111125</xdr:rowOff>
    </xdr:from>
    <xdr:to>
      <xdr:col>2</xdr:col>
      <xdr:colOff>679450</xdr:colOff>
      <xdr:row>140</xdr:row>
      <xdr:rowOff>425450</xdr:rowOff>
    </xdr:to>
    <xdr:pic>
      <xdr:nvPicPr>
        <xdr:cNvPr id="12" name="Imagen 11">
          <a:extLst>
            <a:ext uri="{FF2B5EF4-FFF2-40B4-BE49-F238E27FC236}">
              <a16:creationId xmlns:a16="http://schemas.microsoft.com/office/drawing/2014/main" id="{00000000-0008-0000-2B00-00000C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275" y="29041725"/>
          <a:ext cx="1434042" cy="483658"/>
        </a:xfrm>
        <a:prstGeom prst="rect">
          <a:avLst/>
        </a:prstGeom>
        <a:noFill/>
        <a:ln>
          <a:noFill/>
        </a:ln>
      </xdr:spPr>
    </xdr:pic>
    <xdr:clientData/>
  </xdr:twoCellAnchor>
  <xdr:twoCellAnchor editAs="oneCell">
    <xdr:from>
      <xdr:col>0</xdr:col>
      <xdr:colOff>76200</xdr:colOff>
      <xdr:row>47</xdr:row>
      <xdr:rowOff>76200</xdr:rowOff>
    </xdr:from>
    <xdr:to>
      <xdr:col>2</xdr:col>
      <xdr:colOff>714375</xdr:colOff>
      <xdr:row>48</xdr:row>
      <xdr:rowOff>390525</xdr:rowOff>
    </xdr:to>
    <xdr:pic>
      <xdr:nvPicPr>
        <xdr:cNvPr id="13" name="Imagen 12">
          <a:extLst>
            <a:ext uri="{FF2B5EF4-FFF2-40B4-BE49-F238E27FC236}">
              <a16:creationId xmlns:a16="http://schemas.microsoft.com/office/drawing/2014/main" id="{00000000-0008-0000-2B00-00000D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400050"/>
          <a:ext cx="1409700" cy="476250"/>
        </a:xfrm>
        <a:prstGeom prst="rect">
          <a:avLst/>
        </a:prstGeom>
        <a:noFill/>
        <a:ln>
          <a:noFill/>
        </a:ln>
      </xdr:spPr>
    </xdr:pic>
    <xdr:clientData/>
  </xdr:twoCellAnchor>
  <xdr:twoCellAnchor editAs="oneCell">
    <xdr:from>
      <xdr:col>0</xdr:col>
      <xdr:colOff>66675</xdr:colOff>
      <xdr:row>2</xdr:row>
      <xdr:rowOff>0</xdr:rowOff>
    </xdr:from>
    <xdr:to>
      <xdr:col>2</xdr:col>
      <xdr:colOff>704850</xdr:colOff>
      <xdr:row>2</xdr:row>
      <xdr:rowOff>476250</xdr:rowOff>
    </xdr:to>
    <xdr:pic>
      <xdr:nvPicPr>
        <xdr:cNvPr id="6" name="Imagen 5">
          <a:extLst>
            <a:ext uri="{FF2B5EF4-FFF2-40B4-BE49-F238E27FC236}">
              <a16:creationId xmlns:a16="http://schemas.microsoft.com/office/drawing/2014/main" id="{00000000-0008-0000-2B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323850"/>
          <a:ext cx="1409700" cy="476250"/>
        </a:xfrm>
        <a:prstGeom prst="rect">
          <a:avLst/>
        </a:prstGeom>
        <a:noFill/>
        <a:ln>
          <a:noFill/>
        </a:ln>
      </xdr:spPr>
    </xdr:pic>
    <xdr:clientData/>
  </xdr:twoCellAnchor>
  <xdr:oneCellAnchor>
    <xdr:from>
      <xdr:col>0</xdr:col>
      <xdr:colOff>41275</xdr:colOff>
      <xdr:row>271</xdr:row>
      <xdr:rowOff>111125</xdr:rowOff>
    </xdr:from>
    <xdr:ext cx="1434042" cy="483658"/>
    <xdr:pic>
      <xdr:nvPicPr>
        <xdr:cNvPr id="2" name="Imagen 1">
          <a:extLst>
            <a:ext uri="{FF2B5EF4-FFF2-40B4-BE49-F238E27FC236}">
              <a16:creationId xmlns:a16="http://schemas.microsoft.com/office/drawing/2014/main" id="{F598ABBD-2C10-41F1-B241-5A9A3405D82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275" y="29041725"/>
          <a:ext cx="1434042" cy="483658"/>
        </a:xfrm>
        <a:prstGeom prst="rect">
          <a:avLst/>
        </a:prstGeom>
        <a:noFill/>
        <a:ln>
          <a:noFill/>
        </a:ln>
      </xdr:spPr>
    </xdr:pic>
    <xdr:clientData/>
  </xdr:oneCellAnchor>
</xdr:wsDr>
</file>

<file path=xl/drawings/drawing72.xml><?xml version="1.0" encoding="utf-8"?>
<xdr:wsDr xmlns:xdr="http://schemas.openxmlformats.org/drawingml/2006/spreadsheetDrawing" xmlns:a="http://schemas.openxmlformats.org/drawingml/2006/main">
  <xdr:twoCellAnchor editAs="oneCell">
    <xdr:from>
      <xdr:col>0</xdr:col>
      <xdr:colOff>56029</xdr:colOff>
      <xdr:row>1</xdr:row>
      <xdr:rowOff>145677</xdr:rowOff>
    </xdr:from>
    <xdr:to>
      <xdr:col>0</xdr:col>
      <xdr:colOff>1467410</xdr:colOff>
      <xdr:row>2</xdr:row>
      <xdr:rowOff>465044</xdr:rowOff>
    </xdr:to>
    <xdr:pic>
      <xdr:nvPicPr>
        <xdr:cNvPr id="3" name="Imagen 2">
          <a:extLst>
            <a:ext uri="{FF2B5EF4-FFF2-40B4-BE49-F238E27FC236}">
              <a16:creationId xmlns:a16="http://schemas.microsoft.com/office/drawing/2014/main" id="{7E1EDF60-EFFD-4760-A193-D88D1EF4117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029" y="302559"/>
          <a:ext cx="1411381" cy="476250"/>
        </a:xfrm>
        <a:prstGeom prst="rect">
          <a:avLst/>
        </a:prstGeom>
        <a:noFill/>
        <a:ln>
          <a:noFill/>
        </a:ln>
      </xdr:spPr>
    </xdr:pic>
    <xdr:clientData/>
  </xdr:twoCellAnchor>
</xdr:wsDr>
</file>

<file path=xl/drawings/drawing73.xml><?xml version="1.0" encoding="utf-8"?>
<xdr:wsDr xmlns:xdr="http://schemas.openxmlformats.org/drawingml/2006/spreadsheetDrawing" xmlns:a="http://schemas.openxmlformats.org/drawingml/2006/main">
  <xdr:twoCellAnchor editAs="oneCell">
    <xdr:from>
      <xdr:col>0</xdr:col>
      <xdr:colOff>100853</xdr:colOff>
      <xdr:row>1</xdr:row>
      <xdr:rowOff>67236</xdr:rowOff>
    </xdr:from>
    <xdr:to>
      <xdr:col>1</xdr:col>
      <xdr:colOff>1669677</xdr:colOff>
      <xdr:row>2</xdr:row>
      <xdr:rowOff>537883</xdr:rowOff>
    </xdr:to>
    <xdr:pic>
      <xdr:nvPicPr>
        <xdr:cNvPr id="4" name="Imagen 3">
          <a:extLst>
            <a:ext uri="{FF2B5EF4-FFF2-40B4-BE49-F238E27FC236}">
              <a16:creationId xmlns:a16="http://schemas.microsoft.com/office/drawing/2014/main" id="{032DB489-A003-4BCD-8457-D0777F56A80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853" y="224118"/>
          <a:ext cx="1837765" cy="627530"/>
        </a:xfrm>
        <a:prstGeom prst="rect">
          <a:avLst/>
        </a:prstGeom>
        <a:noFill/>
        <a:ln>
          <a:noFill/>
        </a:ln>
      </xdr:spPr>
    </xdr:pic>
    <xdr:clientData/>
  </xdr:twoCellAnchor>
</xdr:wsDr>
</file>

<file path=xl/drawings/drawing74.xml><?xml version="1.0" encoding="utf-8"?>
<xdr:wsDr xmlns:xdr="http://schemas.openxmlformats.org/drawingml/2006/spreadsheetDrawing" xmlns:a="http://schemas.openxmlformats.org/drawingml/2006/main">
  <xdr:twoCellAnchor editAs="oneCell">
    <xdr:from>
      <xdr:col>0</xdr:col>
      <xdr:colOff>627529</xdr:colOff>
      <xdr:row>0</xdr:row>
      <xdr:rowOff>145676</xdr:rowOff>
    </xdr:from>
    <xdr:to>
      <xdr:col>0</xdr:col>
      <xdr:colOff>3182470</xdr:colOff>
      <xdr:row>2</xdr:row>
      <xdr:rowOff>605117</xdr:rowOff>
    </xdr:to>
    <xdr:pic>
      <xdr:nvPicPr>
        <xdr:cNvPr id="4" name="Imagen 3">
          <a:extLst>
            <a:ext uri="{FF2B5EF4-FFF2-40B4-BE49-F238E27FC236}">
              <a16:creationId xmlns:a16="http://schemas.microsoft.com/office/drawing/2014/main" id="{D084C8AD-A8B9-4170-9378-0CEEA148C3A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7529" y="145676"/>
          <a:ext cx="2554941" cy="840441"/>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8.xml"/><Relationship Id="rId1" Type="http://schemas.openxmlformats.org/officeDocument/2006/relationships/printerSettings" Target="../printerSettings/printerSettings28.bin"/><Relationship Id="rId4" Type="http://schemas.openxmlformats.org/officeDocument/2006/relationships/comments" Target="../comments4.xml"/></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4.xml"/><Relationship Id="rId1" Type="http://schemas.openxmlformats.org/officeDocument/2006/relationships/printerSettings" Target="../printerSettings/printerSettings34.bin"/><Relationship Id="rId4" Type="http://schemas.openxmlformats.org/officeDocument/2006/relationships/comments" Target="../comments5.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35.xml"/><Relationship Id="rId1" Type="http://schemas.openxmlformats.org/officeDocument/2006/relationships/printerSettings" Target="../printerSettings/printerSettings35.bin"/><Relationship Id="rId4" Type="http://schemas.openxmlformats.org/officeDocument/2006/relationships/comments" Target="../comments6.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9.xml"/><Relationship Id="rId1" Type="http://schemas.openxmlformats.org/officeDocument/2006/relationships/printerSettings" Target="../printerSettings/printerSettings39.bin"/><Relationship Id="rId4" Type="http://schemas.openxmlformats.org/officeDocument/2006/relationships/comments" Target="../comments7.xml"/></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41.xml"/><Relationship Id="rId1" Type="http://schemas.openxmlformats.org/officeDocument/2006/relationships/printerSettings" Target="../printerSettings/printerSettings41.bin"/><Relationship Id="rId4" Type="http://schemas.openxmlformats.org/officeDocument/2006/relationships/comments" Target="../comments8.xml"/></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57.xml"/><Relationship Id="rId1" Type="http://schemas.openxmlformats.org/officeDocument/2006/relationships/printerSettings" Target="../printerSettings/printerSettings57.bin"/><Relationship Id="rId4" Type="http://schemas.openxmlformats.org/officeDocument/2006/relationships/comments" Target="../comments9.xml"/></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71.xml"/><Relationship Id="rId1" Type="http://schemas.openxmlformats.org/officeDocument/2006/relationships/printerSettings" Target="../printerSettings/printerSettings71.bin"/><Relationship Id="rId4" Type="http://schemas.openxmlformats.org/officeDocument/2006/relationships/comments" Target="../comments10.xml"/></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I110"/>
  <sheetViews>
    <sheetView showGridLines="0" tabSelected="1" view="pageBreakPreview" topLeftCell="A74" zoomScale="70" zoomScaleNormal="70" zoomScaleSheetLayoutView="70" workbookViewId="0">
      <selection activeCell="A101" sqref="A101:F101"/>
    </sheetView>
  </sheetViews>
  <sheetFormatPr baseColWidth="10" defaultColWidth="11.44140625" defaultRowHeight="13.8" x14ac:dyDescent="0.3"/>
  <cols>
    <col min="1" max="1" width="6.5546875" style="4" customWidth="1"/>
    <col min="2" max="2" width="79.109375" style="5" customWidth="1"/>
    <col min="3" max="3" width="10.44140625" style="4" customWidth="1"/>
    <col min="4" max="4" width="15.88671875" style="6" customWidth="1"/>
    <col min="5" max="5" width="17.109375" style="6" customWidth="1"/>
    <col min="6" max="6" width="18" style="6" customWidth="1"/>
    <col min="7" max="7" width="17.44140625" style="5" hidden="1" customWidth="1"/>
    <col min="8" max="8" width="16.6640625" style="5" hidden="1" customWidth="1"/>
    <col min="9" max="9" width="15.5546875" style="5" bestFit="1" customWidth="1"/>
    <col min="10" max="16384" width="11.44140625" style="5"/>
  </cols>
  <sheetData>
    <row r="1" spans="1:8" ht="18.600000000000001" customHeight="1" x14ac:dyDescent="0.3"/>
    <row r="2" spans="1:8" ht="18" customHeight="1" thickBot="1" x14ac:dyDescent="0.35"/>
    <row r="3" spans="1:8" s="16" customFormat="1" ht="29.4" customHeight="1" x14ac:dyDescent="0.3">
      <c r="A3" s="638" t="s">
        <v>0</v>
      </c>
      <c r="B3" s="639"/>
      <c r="C3" s="647"/>
      <c r="D3" s="648"/>
      <c r="E3" s="648"/>
      <c r="F3" s="649"/>
    </row>
    <row r="4" spans="1:8" s="16" customFormat="1" ht="29.4" customHeight="1" x14ac:dyDescent="0.3">
      <c r="A4" s="640" t="s">
        <v>1</v>
      </c>
      <c r="B4" s="641"/>
      <c r="C4" s="650"/>
      <c r="D4" s="651"/>
      <c r="E4" s="651"/>
      <c r="F4" s="652"/>
    </row>
    <row r="5" spans="1:8" s="16" customFormat="1" ht="29.4" customHeight="1" thickBot="1" x14ac:dyDescent="0.35">
      <c r="A5" s="633" t="s">
        <v>2</v>
      </c>
      <c r="B5" s="634"/>
      <c r="C5" s="653"/>
      <c r="D5" s="654"/>
      <c r="E5" s="654"/>
      <c r="F5" s="655"/>
    </row>
    <row r="6" spans="1:8" s="16" customFormat="1" thickBot="1" x14ac:dyDescent="0.35">
      <c r="A6" s="635"/>
      <c r="B6" s="636"/>
      <c r="C6" s="636"/>
      <c r="D6" s="637"/>
    </row>
    <row r="7" spans="1:8" s="16" customFormat="1" ht="52.5" customHeight="1" thickBot="1" x14ac:dyDescent="0.35">
      <c r="A7" s="658" t="s">
        <v>328</v>
      </c>
      <c r="B7" s="675"/>
      <c r="C7" s="675"/>
      <c r="D7" s="675"/>
      <c r="E7" s="675"/>
      <c r="F7" s="659"/>
      <c r="G7" s="658" t="s">
        <v>447</v>
      </c>
      <c r="H7" s="659"/>
    </row>
    <row r="8" spans="1:8" s="16" customFormat="1" thickBot="1" x14ac:dyDescent="0.35">
      <c r="A8" s="677" t="s">
        <v>437</v>
      </c>
      <c r="B8" s="678"/>
      <c r="C8" s="678"/>
      <c r="D8" s="647"/>
      <c r="E8" s="660" t="s">
        <v>438</v>
      </c>
      <c r="F8" s="661"/>
      <c r="G8" s="660" t="s">
        <v>439</v>
      </c>
      <c r="H8" s="661"/>
    </row>
    <row r="9" spans="1:8" s="16" customFormat="1" ht="13.2" customHeight="1" x14ac:dyDescent="0.3">
      <c r="A9" s="662" t="s">
        <v>3</v>
      </c>
      <c r="B9" s="642" t="s">
        <v>4</v>
      </c>
      <c r="C9" s="642" t="s">
        <v>5</v>
      </c>
      <c r="D9" s="642" t="s">
        <v>6</v>
      </c>
      <c r="E9" s="642" t="s">
        <v>10</v>
      </c>
      <c r="F9" s="664" t="s">
        <v>11</v>
      </c>
      <c r="G9" s="662" t="s">
        <v>10</v>
      </c>
      <c r="H9" s="664" t="s">
        <v>11</v>
      </c>
    </row>
    <row r="10" spans="1:8" s="16" customFormat="1" ht="13.95" customHeight="1" thickBot="1" x14ac:dyDescent="0.35">
      <c r="A10" s="679"/>
      <c r="B10" s="643"/>
      <c r="C10" s="643"/>
      <c r="D10" s="643"/>
      <c r="E10" s="643"/>
      <c r="F10" s="676"/>
      <c r="G10" s="663"/>
      <c r="H10" s="665"/>
    </row>
    <row r="11" spans="1:8" s="16" customFormat="1" ht="15" customHeight="1" thickBot="1" x14ac:dyDescent="0.35">
      <c r="A11" s="7">
        <v>1</v>
      </c>
      <c r="B11" s="8" t="s">
        <v>188</v>
      </c>
      <c r="C11" s="8"/>
      <c r="D11" s="8"/>
      <c r="E11" s="8"/>
      <c r="F11" s="606">
        <f>+SUM(F12:F15)</f>
        <v>19112108</v>
      </c>
      <c r="G11" s="283"/>
      <c r="H11" s="14">
        <f>+SUM(H12:H15)</f>
        <v>15213132</v>
      </c>
    </row>
    <row r="12" spans="1:8" s="16" customFormat="1" ht="16.8" x14ac:dyDescent="0.3">
      <c r="A12" s="281">
        <v>1.01</v>
      </c>
      <c r="B12" s="120" t="s">
        <v>503</v>
      </c>
      <c r="C12" s="119" t="s">
        <v>7</v>
      </c>
      <c r="D12" s="17">
        <v>115.13999999999999</v>
      </c>
      <c r="E12" s="153">
        <f>+'1.01'!J43</f>
        <v>41268</v>
      </c>
      <c r="F12" s="607">
        <f>ROUND(D12*E12,0)</f>
        <v>4751598</v>
      </c>
      <c r="G12" s="284">
        <f>+'1.01'!U43</f>
        <v>41268</v>
      </c>
      <c r="H12" s="285">
        <f>ROUND(D12*G12,0)</f>
        <v>4751598</v>
      </c>
    </row>
    <row r="13" spans="1:8" s="16" customFormat="1" ht="16.8" x14ac:dyDescent="0.3">
      <c r="A13" s="124">
        <f t="shared" ref="A13:A15" si="0">A12+0.01</f>
        <v>1.02</v>
      </c>
      <c r="B13" s="175" t="s">
        <v>167</v>
      </c>
      <c r="C13" s="170" t="s">
        <v>7</v>
      </c>
      <c r="D13" s="176">
        <v>9.9500096786021057</v>
      </c>
      <c r="E13" s="608">
        <f>+'1.02'!J43</f>
        <v>249302</v>
      </c>
      <c r="F13" s="285">
        <f>ROUND(D13*E13,0)</f>
        <v>2480557</v>
      </c>
      <c r="G13" s="284">
        <f>+'1.02'!$U$43</f>
        <v>177063</v>
      </c>
      <c r="H13" s="285">
        <f>ROUND(D13*G13,0)</f>
        <v>1761779</v>
      </c>
    </row>
    <row r="14" spans="1:8" s="16" customFormat="1" ht="16.8" x14ac:dyDescent="0.3">
      <c r="A14" s="124">
        <f t="shared" si="0"/>
        <v>1.03</v>
      </c>
      <c r="B14" s="175" t="s">
        <v>183</v>
      </c>
      <c r="C14" s="170" t="s">
        <v>7</v>
      </c>
      <c r="D14" s="176">
        <v>34.923981407500392</v>
      </c>
      <c r="E14" s="608">
        <f>+'1.03'!J43</f>
        <v>295704</v>
      </c>
      <c r="F14" s="285">
        <f>ROUND(D14*E14,0)</f>
        <v>10327161</v>
      </c>
      <c r="G14" s="284">
        <f>+'1.03'!U43</f>
        <v>210982</v>
      </c>
      <c r="H14" s="285">
        <f>ROUND(D14*G14,0)</f>
        <v>7368331</v>
      </c>
    </row>
    <row r="15" spans="1:8" s="16" customFormat="1" ht="17.399999999999999" thickBot="1" x14ac:dyDescent="0.35">
      <c r="A15" s="148">
        <f t="shared" si="0"/>
        <v>1.04</v>
      </c>
      <c r="B15" s="151" t="s">
        <v>168</v>
      </c>
      <c r="C15" s="127" t="s">
        <v>7</v>
      </c>
      <c r="D15" s="149">
        <v>51.029999999999994</v>
      </c>
      <c r="E15" s="150">
        <f>+'1.04'!J43</f>
        <v>30429</v>
      </c>
      <c r="F15" s="294">
        <f>ROUND(D15*E15,0)</f>
        <v>1552792</v>
      </c>
      <c r="G15" s="286">
        <f>'1.04'!U43</f>
        <v>26091</v>
      </c>
      <c r="H15" s="285">
        <f>ROUND(D15*G15,0)</f>
        <v>1331424</v>
      </c>
    </row>
    <row r="16" spans="1:8" s="16" customFormat="1" ht="15" customHeight="1" thickBot="1" x14ac:dyDescent="0.35">
      <c r="A16" s="152">
        <v>2</v>
      </c>
      <c r="B16" s="609" t="s">
        <v>165</v>
      </c>
      <c r="C16" s="609"/>
      <c r="D16" s="609"/>
      <c r="E16" s="609"/>
      <c r="F16" s="610">
        <f>+SUM(F17:F24)</f>
        <v>10843805</v>
      </c>
      <c r="G16" s="283"/>
      <c r="H16" s="14">
        <f>+SUM(H17:H24)</f>
        <v>10624974</v>
      </c>
    </row>
    <row r="17" spans="1:8" x14ac:dyDescent="0.3">
      <c r="A17" s="145">
        <f>A16+0.01</f>
        <v>2.0099999999999998</v>
      </c>
      <c r="B17" s="2" t="s">
        <v>314</v>
      </c>
      <c r="C17" s="146" t="s">
        <v>189</v>
      </c>
      <c r="D17" s="9">
        <v>1.6</v>
      </c>
      <c r="E17" s="147">
        <f>+'2.01'!J43</f>
        <v>28287</v>
      </c>
      <c r="F17" s="611">
        <f t="shared" ref="F17:F24" si="1">ROUND(D17*E17,0)</f>
        <v>45259</v>
      </c>
      <c r="G17" s="287">
        <f>+'2.01'!U43</f>
        <v>28123</v>
      </c>
      <c r="H17" s="288">
        <f t="shared" ref="H17:H24" si="2">ROUND(D17*G17,0)</f>
        <v>44997</v>
      </c>
    </row>
    <row r="18" spans="1:8" x14ac:dyDescent="0.3">
      <c r="A18" s="124">
        <f t="shared" ref="A18" si="3">A17+0.01</f>
        <v>2.0199999999999996</v>
      </c>
      <c r="B18" s="175" t="s">
        <v>315</v>
      </c>
      <c r="C18" s="170" t="s">
        <v>190</v>
      </c>
      <c r="D18" s="176">
        <v>1</v>
      </c>
      <c r="E18" s="177">
        <f>+'2.02'!J43</f>
        <v>38736</v>
      </c>
      <c r="F18" s="288">
        <f t="shared" si="1"/>
        <v>38736</v>
      </c>
      <c r="G18" s="287">
        <f>+'2.02'!U43</f>
        <v>37448</v>
      </c>
      <c r="H18" s="288">
        <f t="shared" si="2"/>
        <v>37448</v>
      </c>
    </row>
    <row r="19" spans="1:8" x14ac:dyDescent="0.3">
      <c r="A19" s="124">
        <f>+A18+0.01</f>
        <v>2.0299999999999994</v>
      </c>
      <c r="B19" s="175" t="s">
        <v>169</v>
      </c>
      <c r="C19" s="170" t="s">
        <v>190</v>
      </c>
      <c r="D19" s="176">
        <v>29.849999999999998</v>
      </c>
      <c r="E19" s="177">
        <f>+'2.03'!J43</f>
        <v>50478</v>
      </c>
      <c r="F19" s="288">
        <f t="shared" si="1"/>
        <v>1506768</v>
      </c>
      <c r="G19" s="287">
        <f>+'2.03'!U43</f>
        <v>49581</v>
      </c>
      <c r="H19" s="288">
        <f t="shared" si="2"/>
        <v>1479993</v>
      </c>
    </row>
    <row r="20" spans="1:8" x14ac:dyDescent="0.3">
      <c r="A20" s="124">
        <v>2.04</v>
      </c>
      <c r="B20" s="175" t="s">
        <v>331</v>
      </c>
      <c r="C20" s="170" t="s">
        <v>9</v>
      </c>
      <c r="D20" s="176">
        <v>4</v>
      </c>
      <c r="E20" s="177">
        <f>+'2.04'!J43</f>
        <v>6684</v>
      </c>
      <c r="F20" s="288">
        <f t="shared" si="1"/>
        <v>26736</v>
      </c>
      <c r="G20" s="287">
        <f>+'2.04'!U43</f>
        <v>6473</v>
      </c>
      <c r="H20" s="288">
        <f t="shared" si="2"/>
        <v>25892</v>
      </c>
    </row>
    <row r="21" spans="1:8" x14ac:dyDescent="0.3">
      <c r="A21" s="124">
        <v>2.0499999999999998</v>
      </c>
      <c r="B21" s="175" t="s">
        <v>332</v>
      </c>
      <c r="C21" s="170" t="s">
        <v>9</v>
      </c>
      <c r="D21" s="176">
        <v>2</v>
      </c>
      <c r="E21" s="177">
        <f>+'2.05'!J43</f>
        <v>12520</v>
      </c>
      <c r="F21" s="288">
        <f t="shared" si="1"/>
        <v>25040</v>
      </c>
      <c r="G21" s="287">
        <f>+'2.05'!U43</f>
        <v>12381</v>
      </c>
      <c r="H21" s="288">
        <f t="shared" si="2"/>
        <v>24762</v>
      </c>
    </row>
    <row r="22" spans="1:8" x14ac:dyDescent="0.3">
      <c r="A22" s="124">
        <v>2.06</v>
      </c>
      <c r="B22" s="175" t="s">
        <v>333</v>
      </c>
      <c r="C22" s="170" t="s">
        <v>9</v>
      </c>
      <c r="D22" s="176">
        <v>6</v>
      </c>
      <c r="E22" s="177">
        <f>+'2.06'!J43</f>
        <v>20791</v>
      </c>
      <c r="F22" s="288">
        <f t="shared" si="1"/>
        <v>124746</v>
      </c>
      <c r="G22" s="287">
        <f>+'2.06'!U43</f>
        <v>20493</v>
      </c>
      <c r="H22" s="288">
        <f t="shared" si="2"/>
        <v>122958</v>
      </c>
    </row>
    <row r="23" spans="1:8" ht="41.4" x14ac:dyDescent="0.3">
      <c r="A23" s="125">
        <v>2.0699999999999998</v>
      </c>
      <c r="B23" s="612" t="s">
        <v>253</v>
      </c>
      <c r="C23" s="170" t="s">
        <v>9</v>
      </c>
      <c r="D23" s="176">
        <v>4</v>
      </c>
      <c r="E23" s="177">
        <f>+'2.07'!J45</f>
        <v>946521</v>
      </c>
      <c r="F23" s="288">
        <f t="shared" si="1"/>
        <v>3786084</v>
      </c>
      <c r="G23" s="287">
        <f>+'2.07'!U45</f>
        <v>901356</v>
      </c>
      <c r="H23" s="288">
        <f t="shared" si="2"/>
        <v>3605424</v>
      </c>
    </row>
    <row r="24" spans="1:8" ht="42" thickBot="1" x14ac:dyDescent="0.35">
      <c r="A24" s="125">
        <f>+A23+0.01</f>
        <v>2.0799999999999996</v>
      </c>
      <c r="B24" s="612" t="s">
        <v>254</v>
      </c>
      <c r="C24" s="170" t="s">
        <v>9</v>
      </c>
      <c r="D24" s="176">
        <v>4</v>
      </c>
      <c r="E24" s="177">
        <f>+'2.08'!J44</f>
        <v>1322609</v>
      </c>
      <c r="F24" s="288">
        <f t="shared" si="1"/>
        <v>5290436</v>
      </c>
      <c r="G24" s="287">
        <f>+'2.08'!U44</f>
        <v>1320875</v>
      </c>
      <c r="H24" s="288">
        <f t="shared" si="2"/>
        <v>5283500</v>
      </c>
    </row>
    <row r="25" spans="1:8" ht="14.4" thickBot="1" x14ac:dyDescent="0.35">
      <c r="A25" s="7">
        <f>A16+1</f>
        <v>3</v>
      </c>
      <c r="B25" s="8" t="s">
        <v>171</v>
      </c>
      <c r="C25" s="8"/>
      <c r="D25" s="8"/>
      <c r="E25" s="8"/>
      <c r="F25" s="606">
        <f>SUM(F26:F31)</f>
        <v>792434</v>
      </c>
      <c r="G25" s="283"/>
      <c r="H25" s="14">
        <f>SUM(H26:H31)</f>
        <v>782047</v>
      </c>
    </row>
    <row r="26" spans="1:8" x14ac:dyDescent="0.3">
      <c r="A26" s="123">
        <v>3.01</v>
      </c>
      <c r="B26" s="175" t="s">
        <v>172</v>
      </c>
      <c r="C26" s="170" t="s">
        <v>190</v>
      </c>
      <c r="D26" s="176">
        <v>11</v>
      </c>
      <c r="E26" s="177">
        <f>+'3.01'!J43</f>
        <v>22164</v>
      </c>
      <c r="F26" s="613">
        <f t="shared" ref="F26:F31" si="4">ROUND(D26*E26,0)</f>
        <v>243804</v>
      </c>
      <c r="G26" s="287">
        <f>+'3.01'!U43</f>
        <v>22087</v>
      </c>
      <c r="H26" s="288">
        <f t="shared" ref="H26:H31" si="5">ROUND(D26*G26,0)</f>
        <v>242957</v>
      </c>
    </row>
    <row r="27" spans="1:8" x14ac:dyDescent="0.3">
      <c r="A27" s="123">
        <f t="shared" ref="A27:A31" si="6">A26+0.01</f>
        <v>3.0199999999999996</v>
      </c>
      <c r="B27" s="175" t="s">
        <v>173</v>
      </c>
      <c r="C27" s="170" t="s">
        <v>190</v>
      </c>
      <c r="D27" s="176">
        <v>13.5</v>
      </c>
      <c r="E27" s="177">
        <f>+'3.02'!J43</f>
        <v>18352</v>
      </c>
      <c r="F27" s="613">
        <f t="shared" si="4"/>
        <v>247752</v>
      </c>
      <c r="G27" s="287">
        <f>+'3.02'!U43</f>
        <v>18284</v>
      </c>
      <c r="H27" s="288">
        <f t="shared" si="5"/>
        <v>246834</v>
      </c>
    </row>
    <row r="28" spans="1:8" x14ac:dyDescent="0.3">
      <c r="A28" s="123">
        <f t="shared" si="6"/>
        <v>3.0299999999999994</v>
      </c>
      <c r="B28" s="175" t="s">
        <v>174</v>
      </c>
      <c r="C28" s="170" t="s">
        <v>190</v>
      </c>
      <c r="D28" s="176">
        <v>14</v>
      </c>
      <c r="E28" s="177">
        <f>+'3.03'!J43</f>
        <v>9224</v>
      </c>
      <c r="F28" s="613">
        <f t="shared" si="4"/>
        <v>129136</v>
      </c>
      <c r="G28" s="287">
        <f>+'3.03'!U43</f>
        <v>9170</v>
      </c>
      <c r="H28" s="288">
        <f t="shared" si="5"/>
        <v>128380</v>
      </c>
    </row>
    <row r="29" spans="1:8" x14ac:dyDescent="0.3">
      <c r="A29" s="123">
        <f t="shared" si="6"/>
        <v>3.0399999999999991</v>
      </c>
      <c r="B29" s="120" t="s">
        <v>214</v>
      </c>
      <c r="C29" s="119" t="s">
        <v>9</v>
      </c>
      <c r="D29" s="17">
        <v>6</v>
      </c>
      <c r="E29" s="177">
        <f>+'3.04'!J43</f>
        <v>12829</v>
      </c>
      <c r="F29" s="613">
        <f t="shared" si="4"/>
        <v>76974</v>
      </c>
      <c r="G29" s="287">
        <f>+'3.04'!U43</f>
        <v>12558</v>
      </c>
      <c r="H29" s="288">
        <f t="shared" si="5"/>
        <v>75348</v>
      </c>
    </row>
    <row r="30" spans="1:8" x14ac:dyDescent="0.3">
      <c r="A30" s="123">
        <f t="shared" si="6"/>
        <v>3.0499999999999989</v>
      </c>
      <c r="B30" s="120" t="s">
        <v>175</v>
      </c>
      <c r="C30" s="119" t="s">
        <v>9</v>
      </c>
      <c r="D30" s="17">
        <v>8</v>
      </c>
      <c r="E30" s="177">
        <f>+'3.05'!J43</f>
        <v>7966</v>
      </c>
      <c r="F30" s="613">
        <f t="shared" si="4"/>
        <v>63728</v>
      </c>
      <c r="G30" s="287">
        <f>+'3.05'!U43</f>
        <v>7610</v>
      </c>
      <c r="H30" s="288">
        <f t="shared" si="5"/>
        <v>60880</v>
      </c>
    </row>
    <row r="31" spans="1:8" ht="18" customHeight="1" thickBot="1" x14ac:dyDescent="0.35">
      <c r="A31" s="123">
        <f t="shared" si="6"/>
        <v>3.0599999999999987</v>
      </c>
      <c r="B31" s="120" t="s">
        <v>176</v>
      </c>
      <c r="C31" s="119" t="s">
        <v>9</v>
      </c>
      <c r="D31" s="17">
        <v>8</v>
      </c>
      <c r="E31" s="177">
        <f>+'3.06'!J43</f>
        <v>3880</v>
      </c>
      <c r="F31" s="613">
        <f t="shared" si="4"/>
        <v>31040</v>
      </c>
      <c r="G31" s="287">
        <f>+'3.06'!U43</f>
        <v>3456</v>
      </c>
      <c r="H31" s="288">
        <f t="shared" si="5"/>
        <v>27648</v>
      </c>
    </row>
    <row r="32" spans="1:8" ht="14.4" thickBot="1" x14ac:dyDescent="0.35">
      <c r="A32" s="140">
        <v>4</v>
      </c>
      <c r="B32" s="141" t="s">
        <v>177</v>
      </c>
      <c r="C32" s="141"/>
      <c r="D32" s="141"/>
      <c r="E32" s="141"/>
      <c r="F32" s="614">
        <f>SUM(F33:F41)</f>
        <v>22148502</v>
      </c>
      <c r="G32" s="283"/>
      <c r="H32" s="14">
        <f>SUM(H33:H41)</f>
        <v>18141617</v>
      </c>
    </row>
    <row r="33" spans="1:8" x14ac:dyDescent="0.3">
      <c r="A33" s="145">
        <v>4.01</v>
      </c>
      <c r="B33" s="2" t="s">
        <v>169</v>
      </c>
      <c r="C33" s="146" t="s">
        <v>190</v>
      </c>
      <c r="D33" s="9">
        <v>117.5</v>
      </c>
      <c r="E33" s="147">
        <f>+'4.01'!J43</f>
        <v>50478</v>
      </c>
      <c r="F33" s="611">
        <f t="shared" ref="F33:F41" si="7">ROUND(D33*E33,0)</f>
        <v>5931165</v>
      </c>
      <c r="G33" s="287">
        <f>+'4.01'!U43</f>
        <v>49581</v>
      </c>
      <c r="H33" s="288">
        <f t="shared" ref="H33:H41" si="8">ROUND(D33*G33,0)</f>
        <v>5825768</v>
      </c>
    </row>
    <row r="34" spans="1:8" x14ac:dyDescent="0.3">
      <c r="A34" s="123">
        <f t="shared" ref="A34:A41" si="9">A33+0.01</f>
        <v>4.0199999999999996</v>
      </c>
      <c r="B34" s="175" t="s">
        <v>170</v>
      </c>
      <c r="C34" s="170" t="s">
        <v>190</v>
      </c>
      <c r="D34" s="176">
        <v>17.75</v>
      </c>
      <c r="E34" s="177">
        <f>+'4.02'!J43</f>
        <v>70037</v>
      </c>
      <c r="F34" s="288">
        <f t="shared" si="7"/>
        <v>1243157</v>
      </c>
      <c r="G34" s="287">
        <f>+'4.02'!U43</f>
        <v>67669</v>
      </c>
      <c r="H34" s="288">
        <f t="shared" si="8"/>
        <v>1201125</v>
      </c>
    </row>
    <row r="35" spans="1:8" x14ac:dyDescent="0.3">
      <c r="A35" s="123">
        <f t="shared" si="9"/>
        <v>4.0299999999999994</v>
      </c>
      <c r="B35" s="175" t="s">
        <v>359</v>
      </c>
      <c r="C35" s="170" t="s">
        <v>9</v>
      </c>
      <c r="D35" s="176">
        <v>16</v>
      </c>
      <c r="E35" s="177">
        <f>+'4.03'!J43</f>
        <v>42264</v>
      </c>
      <c r="F35" s="288">
        <f t="shared" si="7"/>
        <v>676224</v>
      </c>
      <c r="G35" s="286">
        <f>+'4.03'!U43</f>
        <v>41966</v>
      </c>
      <c r="H35" s="288">
        <f t="shared" si="8"/>
        <v>671456</v>
      </c>
    </row>
    <row r="36" spans="1:8" x14ac:dyDescent="0.3">
      <c r="A36" s="123">
        <f t="shared" si="9"/>
        <v>4.0399999999999991</v>
      </c>
      <c r="B36" s="175" t="s">
        <v>178</v>
      </c>
      <c r="C36" s="170" t="s">
        <v>9</v>
      </c>
      <c r="D36" s="176">
        <v>1</v>
      </c>
      <c r="E36" s="177">
        <f>+'4.04'!J43</f>
        <v>83814</v>
      </c>
      <c r="F36" s="288">
        <f t="shared" si="7"/>
        <v>83814</v>
      </c>
      <c r="G36" s="287">
        <f>+'4.04'!U43</f>
        <v>83470</v>
      </c>
      <c r="H36" s="288">
        <f t="shared" si="8"/>
        <v>83470</v>
      </c>
    </row>
    <row r="37" spans="1:8" x14ac:dyDescent="0.3">
      <c r="A37" s="123">
        <f t="shared" si="9"/>
        <v>4.0499999999999989</v>
      </c>
      <c r="B37" s="175" t="s">
        <v>344</v>
      </c>
      <c r="C37" s="170" t="s">
        <v>9</v>
      </c>
      <c r="D37" s="176">
        <v>1</v>
      </c>
      <c r="E37" s="177">
        <f>+'4.05'!J43</f>
        <v>20660</v>
      </c>
      <c r="F37" s="288">
        <f t="shared" si="7"/>
        <v>20660</v>
      </c>
      <c r="G37" s="287">
        <f>+'4.05'!U43</f>
        <v>20055</v>
      </c>
      <c r="H37" s="288">
        <f t="shared" si="8"/>
        <v>20055</v>
      </c>
    </row>
    <row r="38" spans="1:8" x14ac:dyDescent="0.3">
      <c r="A38" s="123">
        <f t="shared" si="9"/>
        <v>4.0599999999999987</v>
      </c>
      <c r="B38" s="175" t="s">
        <v>179</v>
      </c>
      <c r="C38" s="170" t="s">
        <v>9</v>
      </c>
      <c r="D38" s="176">
        <v>4</v>
      </c>
      <c r="E38" s="177">
        <f>+'4.06'!J43</f>
        <v>24536</v>
      </c>
      <c r="F38" s="288">
        <f t="shared" si="7"/>
        <v>98144</v>
      </c>
      <c r="G38" s="287">
        <f>+'4.06'!U43</f>
        <v>23931</v>
      </c>
      <c r="H38" s="288">
        <f t="shared" si="8"/>
        <v>95724</v>
      </c>
    </row>
    <row r="39" spans="1:8" ht="16.8" x14ac:dyDescent="0.3">
      <c r="A39" s="123">
        <f t="shared" si="9"/>
        <v>4.0699999999999985</v>
      </c>
      <c r="B39" s="179" t="s">
        <v>345</v>
      </c>
      <c r="C39" s="170" t="s">
        <v>7</v>
      </c>
      <c r="D39" s="167">
        <v>6.8984071052553801</v>
      </c>
      <c r="E39" s="168">
        <f>+'4.07'!J43</f>
        <v>303181</v>
      </c>
      <c r="F39" s="615">
        <f t="shared" si="7"/>
        <v>2091466</v>
      </c>
      <c r="G39" s="287">
        <f>+'4.07'!U43</f>
        <v>213339</v>
      </c>
      <c r="H39" s="288">
        <f t="shared" si="8"/>
        <v>1471699</v>
      </c>
    </row>
    <row r="40" spans="1:8" ht="16.8" x14ac:dyDescent="0.3">
      <c r="A40" s="123">
        <f t="shared" si="9"/>
        <v>4.0799999999999983</v>
      </c>
      <c r="B40" s="179" t="s">
        <v>346</v>
      </c>
      <c r="C40" s="170" t="s">
        <v>8</v>
      </c>
      <c r="D40" s="167">
        <v>48</v>
      </c>
      <c r="E40" s="168">
        <f>+'4.08'!$J$45</f>
        <v>27657</v>
      </c>
      <c r="F40" s="615">
        <f t="shared" si="7"/>
        <v>1327536</v>
      </c>
      <c r="G40" s="287">
        <f>+'4.08'!U45</f>
        <v>22670</v>
      </c>
      <c r="H40" s="288">
        <f t="shared" si="8"/>
        <v>1088160</v>
      </c>
    </row>
    <row r="41" spans="1:8" ht="28.2" thickBot="1" x14ac:dyDescent="0.35">
      <c r="A41" s="182">
        <f t="shared" si="9"/>
        <v>4.0899999999999981</v>
      </c>
      <c r="B41" s="178" t="s">
        <v>338</v>
      </c>
      <c r="C41" s="127" t="s">
        <v>190</v>
      </c>
      <c r="D41" s="149">
        <v>88</v>
      </c>
      <c r="E41" s="150">
        <f>+'4.09'!J47</f>
        <v>121322</v>
      </c>
      <c r="F41" s="331">
        <f t="shared" si="7"/>
        <v>10676336</v>
      </c>
      <c r="G41" s="287">
        <f>+'4.09'!U47</f>
        <v>87320</v>
      </c>
      <c r="H41" s="288">
        <f t="shared" si="8"/>
        <v>7684160</v>
      </c>
    </row>
    <row r="42" spans="1:8" ht="14.4" thickBot="1" x14ac:dyDescent="0.35">
      <c r="A42" s="142">
        <v>5</v>
      </c>
      <c r="B42" s="143" t="s">
        <v>248</v>
      </c>
      <c r="C42" s="143"/>
      <c r="D42" s="143"/>
      <c r="E42" s="144"/>
      <c r="F42" s="616">
        <f>SUM(F43:F52)</f>
        <v>191221445</v>
      </c>
      <c r="G42" s="289"/>
      <c r="H42" s="290">
        <f>SUM(H43:H52)</f>
        <v>168026228</v>
      </c>
    </row>
    <row r="43" spans="1:8" ht="27.6" x14ac:dyDescent="0.3">
      <c r="A43" s="155">
        <v>5.01</v>
      </c>
      <c r="B43" s="183" t="s">
        <v>505</v>
      </c>
      <c r="C43" s="109" t="s">
        <v>8</v>
      </c>
      <c r="D43" s="9">
        <v>82.4</v>
      </c>
      <c r="E43" s="11">
        <f>+'5.01'!J43</f>
        <v>59504</v>
      </c>
      <c r="F43" s="617">
        <f t="shared" ref="F43:F52" si="10">ROUND(D43*E43,0)</f>
        <v>4903130</v>
      </c>
      <c r="G43" s="287">
        <f>+'5.01'!U43</f>
        <v>116259</v>
      </c>
      <c r="H43" s="285">
        <f t="shared" ref="H43:H52" si="11">ROUND(D43*G43,0)</f>
        <v>9579742</v>
      </c>
    </row>
    <row r="44" spans="1:8" ht="16.8" x14ac:dyDescent="0.3">
      <c r="A44" s="156">
        <v>5.0199999999999996</v>
      </c>
      <c r="B44" s="184" t="s">
        <v>504</v>
      </c>
      <c r="C44" s="170" t="s">
        <v>7</v>
      </c>
      <c r="D44" s="17">
        <f>D43*0.12</f>
        <v>9.8879999999999999</v>
      </c>
      <c r="E44" s="153">
        <f>+'5.02'!J43</f>
        <v>894048</v>
      </c>
      <c r="F44" s="607">
        <f>+ROUND(D44*E44,0)</f>
        <v>8840347</v>
      </c>
      <c r="G44" s="287"/>
      <c r="H44" s="285"/>
    </row>
    <row r="45" spans="1:8" x14ac:dyDescent="0.3">
      <c r="A45" s="156">
        <v>5.03</v>
      </c>
      <c r="B45" s="184" t="s">
        <v>592</v>
      </c>
      <c r="C45" s="170" t="s">
        <v>181</v>
      </c>
      <c r="D45" s="17">
        <v>112.8</v>
      </c>
      <c r="E45" s="153">
        <f>+'5.03'!J43</f>
        <v>8714</v>
      </c>
      <c r="F45" s="607">
        <f>+ROUND(D45*E45,0)</f>
        <v>982939</v>
      </c>
      <c r="G45" s="287"/>
      <c r="H45" s="285"/>
    </row>
    <row r="46" spans="1:8" ht="27.6" x14ac:dyDescent="0.3">
      <c r="A46" s="156">
        <v>5.04</v>
      </c>
      <c r="B46" s="184" t="s">
        <v>349</v>
      </c>
      <c r="C46" s="170" t="s">
        <v>8</v>
      </c>
      <c r="D46" s="17">
        <v>195.3</v>
      </c>
      <c r="E46" s="153">
        <f>+'5.04'!J43</f>
        <v>230545</v>
      </c>
      <c r="F46" s="607">
        <f t="shared" si="10"/>
        <v>45025439</v>
      </c>
      <c r="G46" s="287">
        <f>+'5.04'!U43</f>
        <v>225172</v>
      </c>
      <c r="H46" s="285">
        <f t="shared" si="11"/>
        <v>43976092</v>
      </c>
    </row>
    <row r="47" spans="1:8" ht="16.8" x14ac:dyDescent="0.3">
      <c r="A47" s="122">
        <v>5.05</v>
      </c>
      <c r="B47" s="175" t="s">
        <v>182</v>
      </c>
      <c r="C47" s="119" t="s">
        <v>7</v>
      </c>
      <c r="D47" s="176">
        <v>5.25</v>
      </c>
      <c r="E47" s="608">
        <f>+'5.05'!J43</f>
        <v>327955</v>
      </c>
      <c r="F47" s="285">
        <f t="shared" si="10"/>
        <v>1721764</v>
      </c>
      <c r="G47" s="287">
        <f>+'5.05'!U43</f>
        <v>153750</v>
      </c>
      <c r="H47" s="285">
        <f t="shared" si="11"/>
        <v>807188</v>
      </c>
    </row>
    <row r="48" spans="1:8" ht="16.8" x14ac:dyDescent="0.3">
      <c r="A48" s="124">
        <v>5.0599999999999996</v>
      </c>
      <c r="B48" s="120" t="s">
        <v>324</v>
      </c>
      <c r="C48" s="119" t="s">
        <v>7</v>
      </c>
      <c r="D48" s="17">
        <v>5.25</v>
      </c>
      <c r="E48" s="110">
        <f>+'5.06'!J43</f>
        <v>303181</v>
      </c>
      <c r="F48" s="613">
        <f t="shared" si="10"/>
        <v>1591700</v>
      </c>
      <c r="G48" s="286">
        <f>+'5.06'!U43</f>
        <v>203356</v>
      </c>
      <c r="H48" s="288">
        <f t="shared" si="11"/>
        <v>1067619</v>
      </c>
    </row>
    <row r="49" spans="1:9" ht="16.8" x14ac:dyDescent="0.3">
      <c r="A49" s="124">
        <v>5.07</v>
      </c>
      <c r="B49" s="120" t="s">
        <v>322</v>
      </c>
      <c r="C49" s="119" t="s">
        <v>7</v>
      </c>
      <c r="D49" s="17">
        <v>29.643599999999999</v>
      </c>
      <c r="E49" s="110">
        <f>+'5.07'!J45</f>
        <v>1381773</v>
      </c>
      <c r="F49" s="613">
        <f t="shared" si="10"/>
        <v>40960726</v>
      </c>
      <c r="G49" s="287">
        <f>+'5.07'!U45</f>
        <v>1159315</v>
      </c>
      <c r="H49" s="288">
        <f t="shared" si="11"/>
        <v>34366270</v>
      </c>
    </row>
    <row r="50" spans="1:9" ht="16.8" x14ac:dyDescent="0.3">
      <c r="A50" s="124">
        <v>5.08</v>
      </c>
      <c r="B50" s="120" t="s">
        <v>184</v>
      </c>
      <c r="C50" s="119" t="s">
        <v>7</v>
      </c>
      <c r="D50" s="17">
        <v>44.918999999999997</v>
      </c>
      <c r="E50" s="110">
        <f>+'5.08'!J42</f>
        <v>1021730</v>
      </c>
      <c r="F50" s="613">
        <f t="shared" si="10"/>
        <v>45895090</v>
      </c>
      <c r="G50" s="287">
        <f>+'5.08'!U42</f>
        <v>1057975</v>
      </c>
      <c r="H50" s="288">
        <f t="shared" si="11"/>
        <v>47523179</v>
      </c>
    </row>
    <row r="51" spans="1:9" x14ac:dyDescent="0.3">
      <c r="A51" s="124">
        <v>5.09</v>
      </c>
      <c r="B51" s="120" t="s">
        <v>180</v>
      </c>
      <c r="C51" s="170" t="s">
        <v>181</v>
      </c>
      <c r="D51" s="17">
        <v>2988.4048000000003</v>
      </c>
      <c r="E51" s="110">
        <f>+'5.09'!J45</f>
        <v>8819</v>
      </c>
      <c r="F51" s="613">
        <f t="shared" si="10"/>
        <v>26354742</v>
      </c>
      <c r="G51" s="286">
        <f>+'5.09'!U45</f>
        <v>8582</v>
      </c>
      <c r="H51" s="288">
        <f t="shared" si="11"/>
        <v>25646490</v>
      </c>
    </row>
    <row r="52" spans="1:9" ht="28.2" thickBot="1" x14ac:dyDescent="0.35">
      <c r="A52" s="185">
        <v>5.0999999999999996</v>
      </c>
      <c r="B52" s="164" t="s">
        <v>360</v>
      </c>
      <c r="C52" s="186" t="s">
        <v>9</v>
      </c>
      <c r="D52" s="187">
        <v>176</v>
      </c>
      <c r="E52" s="188">
        <f>+'5.10'!J43</f>
        <v>84918</v>
      </c>
      <c r="F52" s="618">
        <f t="shared" si="10"/>
        <v>14945568</v>
      </c>
      <c r="G52" s="286">
        <f>+'5.10'!U43</f>
        <v>28748</v>
      </c>
      <c r="H52" s="291">
        <f t="shared" si="11"/>
        <v>5059648</v>
      </c>
    </row>
    <row r="53" spans="1:9" ht="14.4" thickBot="1" x14ac:dyDescent="0.35">
      <c r="A53" s="7">
        <v>6</v>
      </c>
      <c r="B53" s="8" t="s">
        <v>356</v>
      </c>
      <c r="C53" s="8"/>
      <c r="D53" s="8"/>
      <c r="E53" s="12"/>
      <c r="F53" s="619">
        <f>SUM(F54:F67)</f>
        <v>78309594</v>
      </c>
      <c r="G53" s="289"/>
      <c r="H53" s="290">
        <f>SUM(H54:H67)</f>
        <v>14648524</v>
      </c>
    </row>
    <row r="54" spans="1:9" ht="16.8" x14ac:dyDescent="0.3">
      <c r="A54" s="155">
        <v>6.01</v>
      </c>
      <c r="B54" s="183" t="s">
        <v>364</v>
      </c>
      <c r="C54" s="119" t="s">
        <v>7</v>
      </c>
      <c r="D54" s="9">
        <v>10.704000000000001</v>
      </c>
      <c r="E54" s="11">
        <f>+'6.01'!J43</f>
        <v>55024</v>
      </c>
      <c r="F54" s="617">
        <f t="shared" ref="F54:F67" si="12">ROUND(D54*E54,0)</f>
        <v>588977</v>
      </c>
      <c r="G54" s="287">
        <f>+'6.01'!U43</f>
        <v>55024</v>
      </c>
      <c r="H54" s="285">
        <f t="shared" ref="H54:H67" si="13">ROUND(D54*G54,0)</f>
        <v>588977</v>
      </c>
    </row>
    <row r="55" spans="1:9" ht="66" customHeight="1" x14ac:dyDescent="0.3">
      <c r="A55" s="156">
        <v>6.02</v>
      </c>
      <c r="B55" s="184" t="s">
        <v>584</v>
      </c>
      <c r="C55" s="170" t="s">
        <v>190</v>
      </c>
      <c r="D55" s="17">
        <v>2</v>
      </c>
      <c r="E55" s="153">
        <f>+'6.02'!J44</f>
        <v>2669912</v>
      </c>
      <c r="F55" s="607">
        <f>ROUND(D55*E55,0)</f>
        <v>5339824</v>
      </c>
      <c r="G55" s="287">
        <f>+'6.02'!U44</f>
        <v>1167438</v>
      </c>
      <c r="H55" s="285">
        <f t="shared" si="13"/>
        <v>2334876</v>
      </c>
    </row>
    <row r="56" spans="1:9" ht="55.2" x14ac:dyDescent="0.3">
      <c r="A56" s="156">
        <v>6.03</v>
      </c>
      <c r="B56" s="184" t="s">
        <v>585</v>
      </c>
      <c r="C56" s="170" t="s">
        <v>190</v>
      </c>
      <c r="D56" s="17">
        <v>2</v>
      </c>
      <c r="E56" s="153">
        <f>+'6.03'!J44</f>
        <v>2995494</v>
      </c>
      <c r="F56" s="607">
        <f>ROUND(D56*E56,0)</f>
        <v>5990988</v>
      </c>
      <c r="G56" s="287"/>
      <c r="H56" s="285"/>
      <c r="I56" s="304"/>
    </row>
    <row r="57" spans="1:9" ht="55.2" x14ac:dyDescent="0.3">
      <c r="A57" s="156">
        <v>6.04</v>
      </c>
      <c r="B57" s="184" t="s">
        <v>586</v>
      </c>
      <c r="C57" s="170" t="s">
        <v>190</v>
      </c>
      <c r="D57" s="17">
        <v>2</v>
      </c>
      <c r="E57" s="153">
        <f>+'6.04'!J44</f>
        <v>3571956</v>
      </c>
      <c r="F57" s="607">
        <f t="shared" ref="F57:F62" si="14">ROUND(D57*E57,0)</f>
        <v>7143912</v>
      </c>
      <c r="G57" s="287"/>
      <c r="H57" s="285"/>
    </row>
    <row r="58" spans="1:9" ht="55.2" x14ac:dyDescent="0.3">
      <c r="A58" s="156">
        <v>6.05</v>
      </c>
      <c r="B58" s="184" t="s">
        <v>587</v>
      </c>
      <c r="C58" s="170" t="s">
        <v>190</v>
      </c>
      <c r="D58" s="17">
        <v>2</v>
      </c>
      <c r="E58" s="153">
        <f>+'6.05'!J44</f>
        <v>3922721</v>
      </c>
      <c r="F58" s="607">
        <f t="shared" si="14"/>
        <v>7845442</v>
      </c>
      <c r="G58" s="287"/>
      <c r="H58" s="285"/>
    </row>
    <row r="59" spans="1:9" ht="55.2" x14ac:dyDescent="0.3">
      <c r="A59" s="156">
        <v>6.06</v>
      </c>
      <c r="B59" s="184" t="s">
        <v>588</v>
      </c>
      <c r="C59" s="170" t="s">
        <v>190</v>
      </c>
      <c r="D59" s="17">
        <v>2</v>
      </c>
      <c r="E59" s="153">
        <f>+'6.06'!J44</f>
        <v>4273485</v>
      </c>
      <c r="F59" s="607">
        <f t="shared" si="14"/>
        <v>8546970</v>
      </c>
      <c r="G59" s="287"/>
      <c r="H59" s="285"/>
    </row>
    <row r="60" spans="1:9" ht="55.2" x14ac:dyDescent="0.3">
      <c r="A60" s="156">
        <v>6.07</v>
      </c>
      <c r="B60" s="184" t="s">
        <v>589</v>
      </c>
      <c r="C60" s="170" t="s">
        <v>190</v>
      </c>
      <c r="D60" s="17">
        <v>2</v>
      </c>
      <c r="E60" s="153">
        <f>+'6.07'!J44</f>
        <v>4624250</v>
      </c>
      <c r="F60" s="607">
        <f t="shared" si="14"/>
        <v>9248500</v>
      </c>
      <c r="G60" s="287"/>
      <c r="H60" s="285"/>
    </row>
    <row r="61" spans="1:9" ht="55.2" x14ac:dyDescent="0.3">
      <c r="A61" s="156">
        <v>6.08</v>
      </c>
      <c r="B61" s="184" t="s">
        <v>590</v>
      </c>
      <c r="C61" s="170" t="s">
        <v>190</v>
      </c>
      <c r="D61" s="17">
        <v>2</v>
      </c>
      <c r="E61" s="153">
        <f>+'6.08'!J44</f>
        <v>4975014</v>
      </c>
      <c r="F61" s="607">
        <f t="shared" si="14"/>
        <v>9950028</v>
      </c>
      <c r="G61" s="287"/>
      <c r="H61" s="285"/>
    </row>
    <row r="62" spans="1:9" ht="55.2" x14ac:dyDescent="0.3">
      <c r="A62" s="123">
        <v>6.09</v>
      </c>
      <c r="B62" s="184" t="s">
        <v>591</v>
      </c>
      <c r="C62" s="170" t="s">
        <v>190</v>
      </c>
      <c r="D62" s="17">
        <v>2</v>
      </c>
      <c r="E62" s="153">
        <f>+'6.09'!J44</f>
        <v>5805214</v>
      </c>
      <c r="F62" s="607">
        <f t="shared" si="14"/>
        <v>11610428</v>
      </c>
      <c r="G62" s="287"/>
      <c r="H62" s="285"/>
    </row>
    <row r="63" spans="1:9" ht="16.8" x14ac:dyDescent="0.3">
      <c r="A63" s="282">
        <v>6.1</v>
      </c>
      <c r="B63" s="175" t="s">
        <v>357</v>
      </c>
      <c r="C63" s="119" t="s">
        <v>7</v>
      </c>
      <c r="D63" s="176">
        <v>0.14399999999999999</v>
      </c>
      <c r="E63" s="608">
        <f>+'6.10'!J43</f>
        <v>894048</v>
      </c>
      <c r="F63" s="285">
        <f t="shared" si="12"/>
        <v>128743</v>
      </c>
      <c r="G63" s="287">
        <f>+'6.10'!U43</f>
        <v>609756</v>
      </c>
      <c r="H63" s="285">
        <f t="shared" si="13"/>
        <v>87805</v>
      </c>
    </row>
    <row r="64" spans="1:9" ht="16.8" x14ac:dyDescent="0.3">
      <c r="A64" s="124">
        <v>6.11</v>
      </c>
      <c r="B64" s="120" t="s">
        <v>358</v>
      </c>
      <c r="C64" s="119" t="s">
        <v>7</v>
      </c>
      <c r="D64" s="17">
        <v>7.4960000000000004</v>
      </c>
      <c r="E64" s="110">
        <f>+'6.11'!J42</f>
        <v>987027</v>
      </c>
      <c r="F64" s="613">
        <f t="shared" si="12"/>
        <v>7398754</v>
      </c>
      <c r="G64" s="287">
        <f>+'6.11'!U42</f>
        <v>978664</v>
      </c>
      <c r="H64" s="288">
        <f t="shared" si="13"/>
        <v>7336065</v>
      </c>
    </row>
    <row r="65" spans="1:8" ht="16.8" x14ac:dyDescent="0.3">
      <c r="A65" s="124">
        <v>6.12</v>
      </c>
      <c r="B65" s="120" t="s">
        <v>18</v>
      </c>
      <c r="C65" s="170" t="s">
        <v>8</v>
      </c>
      <c r="D65" s="17">
        <v>2.2399999999999998</v>
      </c>
      <c r="E65" s="110">
        <f>+'6.12'!J43</f>
        <v>27112</v>
      </c>
      <c r="F65" s="613">
        <f t="shared" si="12"/>
        <v>60731</v>
      </c>
      <c r="G65" s="287">
        <f>+'6.12'!J43</f>
        <v>27112</v>
      </c>
      <c r="H65" s="288">
        <f t="shared" si="13"/>
        <v>60731</v>
      </c>
    </row>
    <row r="66" spans="1:8" ht="16.8" x14ac:dyDescent="0.3">
      <c r="A66" s="124">
        <v>6.13</v>
      </c>
      <c r="B66" s="120" t="s">
        <v>322</v>
      </c>
      <c r="C66" s="119" t="s">
        <v>7</v>
      </c>
      <c r="D66" s="17">
        <v>0.90999999999999992</v>
      </c>
      <c r="E66" s="110">
        <f>+'6.13'!J45</f>
        <v>1381773</v>
      </c>
      <c r="F66" s="613">
        <f t="shared" si="12"/>
        <v>1257413</v>
      </c>
      <c r="G66" s="287">
        <f>+'6.13'!U45</f>
        <v>1238629</v>
      </c>
      <c r="H66" s="288">
        <f t="shared" si="13"/>
        <v>1127152</v>
      </c>
    </row>
    <row r="67" spans="1:8" ht="14.4" thickBot="1" x14ac:dyDescent="0.35">
      <c r="A67" s="123">
        <v>6.14</v>
      </c>
      <c r="B67" s="620" t="s">
        <v>180</v>
      </c>
      <c r="C67" s="121" t="s">
        <v>181</v>
      </c>
      <c r="D67" s="194">
        <v>362.72640000000001</v>
      </c>
      <c r="E67" s="196">
        <f>+'6.14'!J45</f>
        <v>8819</v>
      </c>
      <c r="F67" s="621">
        <f t="shared" si="12"/>
        <v>3198884</v>
      </c>
      <c r="G67" s="286">
        <f>+'6.14'!U45</f>
        <v>8582</v>
      </c>
      <c r="H67" s="291">
        <f t="shared" si="13"/>
        <v>3112918</v>
      </c>
    </row>
    <row r="68" spans="1:8" ht="14.4" thickBot="1" x14ac:dyDescent="0.35">
      <c r="A68" s="7">
        <v>7</v>
      </c>
      <c r="B68" s="8" t="s">
        <v>185</v>
      </c>
      <c r="C68" s="8"/>
      <c r="D68" s="8"/>
      <c r="E68" s="12"/>
      <c r="F68" s="619">
        <f>SUM(F69:F84)</f>
        <v>374048014</v>
      </c>
      <c r="G68" s="289"/>
      <c r="H68" s="290">
        <f>SUM(H69:H84)</f>
        <v>368157086</v>
      </c>
    </row>
    <row r="69" spans="1:8" ht="27.6" x14ac:dyDescent="0.3">
      <c r="A69" s="123">
        <v>7.01</v>
      </c>
      <c r="B69" s="164" t="s">
        <v>367</v>
      </c>
      <c r="C69" s="121" t="s">
        <v>9</v>
      </c>
      <c r="D69" s="194">
        <v>1</v>
      </c>
      <c r="E69" s="196">
        <f>+'7.01'!J48</f>
        <v>6386292</v>
      </c>
      <c r="F69" s="622">
        <f t="shared" ref="F69:F84" si="15">ROUND(D69*E69,0)</f>
        <v>6386292</v>
      </c>
      <c r="G69" s="286">
        <f>+'7.01'!U48</f>
        <v>6386292</v>
      </c>
      <c r="H69" s="292">
        <f t="shared" ref="H69:H84" si="16">ROUND(D69*G69,0)</f>
        <v>6386292</v>
      </c>
    </row>
    <row r="70" spans="1:8" ht="27.6" x14ac:dyDescent="0.3">
      <c r="A70" s="123">
        <f>+A69+0.01</f>
        <v>7.02</v>
      </c>
      <c r="B70" s="164" t="s">
        <v>511</v>
      </c>
      <c r="C70" s="121" t="s">
        <v>9</v>
      </c>
      <c r="D70" s="194">
        <v>32</v>
      </c>
      <c r="E70" s="196">
        <f>+'7.02'!J46</f>
        <v>57079</v>
      </c>
      <c r="F70" s="622">
        <f t="shared" si="15"/>
        <v>1826528</v>
      </c>
      <c r="G70" s="286">
        <f>+'7.02'!U46</f>
        <v>57079</v>
      </c>
      <c r="H70" s="292">
        <f t="shared" si="16"/>
        <v>1826528</v>
      </c>
    </row>
    <row r="71" spans="1:8" ht="41.4" x14ac:dyDescent="0.3">
      <c r="A71" s="123">
        <f t="shared" ref="A71:A84" si="17">+A70+0.01</f>
        <v>7.0299999999999994</v>
      </c>
      <c r="B71" s="164" t="s">
        <v>512</v>
      </c>
      <c r="C71" s="121" t="s">
        <v>9</v>
      </c>
      <c r="D71" s="194">
        <v>1</v>
      </c>
      <c r="E71" s="196">
        <f>+'7.03'!J46</f>
        <v>23433168</v>
      </c>
      <c r="F71" s="622">
        <f t="shared" si="15"/>
        <v>23433168</v>
      </c>
      <c r="G71" s="286">
        <f>+'7.03'!U46</f>
        <v>23433168</v>
      </c>
      <c r="H71" s="292">
        <f t="shared" si="16"/>
        <v>23433168</v>
      </c>
    </row>
    <row r="72" spans="1:8" ht="27.6" x14ac:dyDescent="0.3">
      <c r="A72" s="123">
        <f t="shared" si="17"/>
        <v>7.0399999999999991</v>
      </c>
      <c r="B72" s="164" t="s">
        <v>414</v>
      </c>
      <c r="C72" s="121" t="s">
        <v>9</v>
      </c>
      <c r="D72" s="194">
        <v>1</v>
      </c>
      <c r="E72" s="196">
        <f>+'7.04'!J56</f>
        <v>25340062</v>
      </c>
      <c r="F72" s="622">
        <f t="shared" si="15"/>
        <v>25340062</v>
      </c>
      <c r="G72" s="286">
        <f>+'7.04'!U48</f>
        <v>20728504</v>
      </c>
      <c r="H72" s="292">
        <f>ROUND(D72*G72,0)</f>
        <v>20728504</v>
      </c>
    </row>
    <row r="73" spans="1:8" x14ac:dyDescent="0.3">
      <c r="A73" s="123">
        <f t="shared" si="17"/>
        <v>7.0499999999999989</v>
      </c>
      <c r="B73" s="164" t="s">
        <v>415</v>
      </c>
      <c r="C73" s="121" t="s">
        <v>9</v>
      </c>
      <c r="D73" s="194">
        <v>2</v>
      </c>
      <c r="E73" s="196">
        <f>+'7.05'!J45</f>
        <v>1075315</v>
      </c>
      <c r="F73" s="622">
        <f t="shared" si="15"/>
        <v>2150630</v>
      </c>
      <c r="G73" s="286">
        <f>+'7.05'!U47</f>
        <v>1075315</v>
      </c>
      <c r="H73" s="292">
        <f t="shared" si="16"/>
        <v>2150630</v>
      </c>
    </row>
    <row r="74" spans="1:8" x14ac:dyDescent="0.3">
      <c r="A74" s="123">
        <f t="shared" si="17"/>
        <v>7.0599999999999987</v>
      </c>
      <c r="B74" s="164" t="s">
        <v>416</v>
      </c>
      <c r="C74" s="121" t="s">
        <v>9</v>
      </c>
      <c r="D74" s="194">
        <v>1</v>
      </c>
      <c r="E74" s="196">
        <f>+'7.06'!J46</f>
        <v>974515</v>
      </c>
      <c r="F74" s="622">
        <f t="shared" si="15"/>
        <v>974515</v>
      </c>
      <c r="G74" s="286">
        <f>+'7.06'!U47</f>
        <v>974515</v>
      </c>
      <c r="H74" s="292">
        <f t="shared" si="16"/>
        <v>974515</v>
      </c>
    </row>
    <row r="75" spans="1:8" x14ac:dyDescent="0.3">
      <c r="A75" s="123">
        <f t="shared" si="17"/>
        <v>7.0699999999999985</v>
      </c>
      <c r="B75" s="164" t="s">
        <v>417</v>
      </c>
      <c r="C75" s="121" t="s">
        <v>9</v>
      </c>
      <c r="D75" s="194">
        <v>66</v>
      </c>
      <c r="E75" s="196">
        <f>+'7.07'!J46</f>
        <v>27707</v>
      </c>
      <c r="F75" s="622">
        <f t="shared" si="15"/>
        <v>1828662</v>
      </c>
      <c r="G75" s="286">
        <f>+'7.07'!U46</f>
        <v>27707</v>
      </c>
      <c r="H75" s="292">
        <f t="shared" si="16"/>
        <v>1828662</v>
      </c>
    </row>
    <row r="76" spans="1:8" ht="27.6" x14ac:dyDescent="0.3">
      <c r="A76" s="123">
        <f t="shared" si="17"/>
        <v>7.0799999999999983</v>
      </c>
      <c r="B76" s="164" t="s">
        <v>368</v>
      </c>
      <c r="C76" s="121" t="s">
        <v>9</v>
      </c>
      <c r="D76" s="194">
        <v>35</v>
      </c>
      <c r="E76" s="196">
        <f>+'7.08'!J46</f>
        <v>2943981</v>
      </c>
      <c r="F76" s="622">
        <f t="shared" si="15"/>
        <v>103039335</v>
      </c>
      <c r="G76" s="286">
        <f>+'7.08'!U46</f>
        <v>2943981</v>
      </c>
      <c r="H76" s="292">
        <f t="shared" si="16"/>
        <v>103039335</v>
      </c>
    </row>
    <row r="77" spans="1:8" ht="27.6" x14ac:dyDescent="0.3">
      <c r="A77" s="123">
        <f t="shared" si="17"/>
        <v>7.0899999999999981</v>
      </c>
      <c r="B77" s="164" t="s">
        <v>369</v>
      </c>
      <c r="C77" s="121" t="s">
        <v>190</v>
      </c>
      <c r="D77" s="194">
        <v>1200</v>
      </c>
      <c r="E77" s="196">
        <f>+'7.09'!J46</f>
        <v>68370</v>
      </c>
      <c r="F77" s="622">
        <f t="shared" si="15"/>
        <v>82044000</v>
      </c>
      <c r="G77" s="286">
        <f>+'7.09'!U46</f>
        <v>68370</v>
      </c>
      <c r="H77" s="292">
        <f t="shared" si="16"/>
        <v>82044000</v>
      </c>
    </row>
    <row r="78" spans="1:8" x14ac:dyDescent="0.3">
      <c r="A78" s="123">
        <f t="shared" si="17"/>
        <v>7.0999999999999979</v>
      </c>
      <c r="B78" s="164" t="s">
        <v>370</v>
      </c>
      <c r="C78" s="121" t="s">
        <v>9</v>
      </c>
      <c r="D78" s="194">
        <v>35</v>
      </c>
      <c r="E78" s="196">
        <f>+'7.10'!J46</f>
        <v>318406</v>
      </c>
      <c r="F78" s="622">
        <f t="shared" si="15"/>
        <v>11144210</v>
      </c>
      <c r="G78" s="286">
        <f>+'7.10'!U46</f>
        <v>318406</v>
      </c>
      <c r="H78" s="292">
        <f t="shared" si="16"/>
        <v>11144210</v>
      </c>
    </row>
    <row r="79" spans="1:8" ht="27.6" x14ac:dyDescent="0.3">
      <c r="A79" s="123">
        <f t="shared" si="17"/>
        <v>7.1099999999999977</v>
      </c>
      <c r="B79" s="164" t="s">
        <v>371</v>
      </c>
      <c r="C79" s="121" t="s">
        <v>9</v>
      </c>
      <c r="D79" s="194">
        <v>155</v>
      </c>
      <c r="E79" s="196">
        <f>+'7.11'!J46</f>
        <v>318406</v>
      </c>
      <c r="F79" s="622">
        <f t="shared" si="15"/>
        <v>49352930</v>
      </c>
      <c r="G79" s="286">
        <f>+'7.11'!U47</f>
        <v>310152</v>
      </c>
      <c r="H79" s="292">
        <f t="shared" si="16"/>
        <v>48073560</v>
      </c>
    </row>
    <row r="80" spans="1:8" x14ac:dyDescent="0.3">
      <c r="A80" s="123">
        <f t="shared" si="17"/>
        <v>7.1199999999999974</v>
      </c>
      <c r="B80" s="164" t="s">
        <v>372</v>
      </c>
      <c r="C80" s="121" t="s">
        <v>190</v>
      </c>
      <c r="D80" s="194">
        <v>90</v>
      </c>
      <c r="E80" s="196">
        <f>+'7.12'!J46</f>
        <v>40406</v>
      </c>
      <c r="F80" s="622">
        <f t="shared" si="15"/>
        <v>3636540</v>
      </c>
      <c r="G80" s="286">
        <f>+'7.12'!U46</f>
        <v>40406</v>
      </c>
      <c r="H80" s="292">
        <f t="shared" si="16"/>
        <v>3636540</v>
      </c>
    </row>
    <row r="81" spans="1:8" x14ac:dyDescent="0.3">
      <c r="A81" s="123">
        <f t="shared" si="17"/>
        <v>7.1299999999999972</v>
      </c>
      <c r="B81" s="164" t="s">
        <v>373</v>
      </c>
      <c r="C81" s="121" t="s">
        <v>190</v>
      </c>
      <c r="D81" s="194">
        <v>120</v>
      </c>
      <c r="E81" s="196">
        <f>+'7.13'!J46</f>
        <v>34710</v>
      </c>
      <c r="F81" s="622">
        <f t="shared" si="15"/>
        <v>4165200</v>
      </c>
      <c r="G81" s="286">
        <f>+'7.13'!U46</f>
        <v>34710</v>
      </c>
      <c r="H81" s="292">
        <f t="shared" si="16"/>
        <v>4165200</v>
      </c>
    </row>
    <row r="82" spans="1:8" x14ac:dyDescent="0.3">
      <c r="A82" s="123">
        <f t="shared" si="17"/>
        <v>7.139999999999997</v>
      </c>
      <c r="B82" s="164" t="s">
        <v>374</v>
      </c>
      <c r="C82" s="121" t="s">
        <v>190</v>
      </c>
      <c r="D82" s="194">
        <v>210</v>
      </c>
      <c r="E82" s="196">
        <f>+'7.14'!J46</f>
        <v>28032</v>
      </c>
      <c r="F82" s="622">
        <f t="shared" si="15"/>
        <v>5886720</v>
      </c>
      <c r="G82" s="286">
        <f>+'7.14'!U46</f>
        <v>28032</v>
      </c>
      <c r="H82" s="292">
        <f t="shared" si="16"/>
        <v>5886720</v>
      </c>
    </row>
    <row r="83" spans="1:8" ht="27.6" x14ac:dyDescent="0.3">
      <c r="A83" s="123">
        <f t="shared" si="17"/>
        <v>7.1499999999999968</v>
      </c>
      <c r="B83" s="164" t="s">
        <v>375</v>
      </c>
      <c r="C83" s="121" t="s">
        <v>190</v>
      </c>
      <c r="D83" s="194">
        <v>700</v>
      </c>
      <c r="E83" s="196">
        <f>+'7.15'!J46</f>
        <v>56565</v>
      </c>
      <c r="F83" s="622">
        <f t="shared" si="15"/>
        <v>39595500</v>
      </c>
      <c r="G83" s="286">
        <f>+'7.15'!U46</f>
        <v>56565</v>
      </c>
      <c r="H83" s="292">
        <f t="shared" si="16"/>
        <v>39595500</v>
      </c>
    </row>
    <row r="84" spans="1:8" ht="14.4" thickBot="1" x14ac:dyDescent="0.35">
      <c r="A84" s="123">
        <f t="shared" si="17"/>
        <v>7.1599999999999966</v>
      </c>
      <c r="B84" s="198" t="s">
        <v>376</v>
      </c>
      <c r="C84" s="189" t="s">
        <v>9</v>
      </c>
      <c r="D84" s="194">
        <v>1</v>
      </c>
      <c r="E84" s="196">
        <f>+'7.16'!J47</f>
        <v>13243722</v>
      </c>
      <c r="F84" s="622">
        <f t="shared" si="15"/>
        <v>13243722</v>
      </c>
      <c r="G84" s="286">
        <f>+'7.16'!U47</f>
        <v>13243722</v>
      </c>
      <c r="H84" s="292">
        <f t="shared" si="16"/>
        <v>13243722</v>
      </c>
    </row>
    <row r="85" spans="1:8" ht="14.4" thickBot="1" x14ac:dyDescent="0.35">
      <c r="A85" s="7">
        <v>8</v>
      </c>
      <c r="B85" s="8" t="s">
        <v>186</v>
      </c>
      <c r="C85" s="8"/>
      <c r="D85" s="8"/>
      <c r="E85" s="8"/>
      <c r="F85" s="619">
        <f>F86</f>
        <v>1870724</v>
      </c>
      <c r="G85" s="283"/>
      <c r="H85" s="290">
        <f>H86</f>
        <v>1651893</v>
      </c>
    </row>
    <row r="86" spans="1:8" ht="28.2" thickBot="1" x14ac:dyDescent="0.35">
      <c r="A86" s="166">
        <v>8.01</v>
      </c>
      <c r="B86" s="111" t="s">
        <v>321</v>
      </c>
      <c r="C86" s="3" t="s">
        <v>513</v>
      </c>
      <c r="D86" s="10">
        <v>1122.21</v>
      </c>
      <c r="E86" s="197">
        <f>+'8.01'!J45</f>
        <v>1667</v>
      </c>
      <c r="F86" s="623">
        <f>ROUND(D86*E86,0)</f>
        <v>1870724</v>
      </c>
      <c r="G86" s="293">
        <f>+'8.01'!U45</f>
        <v>1472</v>
      </c>
      <c r="H86" s="294">
        <f>ROUND(D86*G86,0)</f>
        <v>1651893</v>
      </c>
    </row>
    <row r="87" spans="1:8" ht="14.4" thickBot="1" x14ac:dyDescent="0.35">
      <c r="A87" s="18"/>
      <c r="B87" s="624"/>
      <c r="C87" s="625"/>
      <c r="D87" s="626"/>
      <c r="E87" s="626"/>
      <c r="F87" s="19"/>
      <c r="G87" s="230"/>
      <c r="H87" s="231"/>
    </row>
    <row r="88" spans="1:8" x14ac:dyDescent="0.3">
      <c r="A88" s="644" t="s">
        <v>13</v>
      </c>
      <c r="B88" s="645"/>
      <c r="C88" s="645"/>
      <c r="D88" s="645"/>
      <c r="E88" s="646"/>
      <c r="F88" s="13">
        <f>+F11+F16+F25+F32+F42+F53+F68+F85</f>
        <v>698346626</v>
      </c>
      <c r="G88" s="216"/>
      <c r="H88" s="13">
        <f>+H85+H68+H42+H32+H25+H16+H11+H53</f>
        <v>597245501</v>
      </c>
    </row>
    <row r="89" spans="1:8" x14ac:dyDescent="0.3">
      <c r="A89" s="628" t="s">
        <v>14</v>
      </c>
      <c r="B89" s="629"/>
      <c r="C89" s="629"/>
      <c r="D89" s="629"/>
      <c r="E89" s="627">
        <v>0.25</v>
      </c>
      <c r="F89" s="14">
        <f>ROUND($F$88*E89,0)</f>
        <v>174586657</v>
      </c>
      <c r="G89" s="217"/>
      <c r="H89" s="14">
        <f>ROUND($H$88*E89,0)</f>
        <v>149311375</v>
      </c>
    </row>
    <row r="90" spans="1:8" x14ac:dyDescent="0.3">
      <c r="A90" s="628" t="s">
        <v>15</v>
      </c>
      <c r="B90" s="629"/>
      <c r="C90" s="629"/>
      <c r="D90" s="629"/>
      <c r="E90" s="627">
        <v>0</v>
      </c>
      <c r="F90" s="14">
        <f>ROUND($F$88*E90,0)</f>
        <v>0</v>
      </c>
      <c r="G90" s="217"/>
      <c r="H90" s="14"/>
    </row>
    <row r="91" spans="1:8" x14ac:dyDescent="0.3">
      <c r="A91" s="628" t="s">
        <v>16</v>
      </c>
      <c r="B91" s="629"/>
      <c r="C91" s="629"/>
      <c r="D91" s="629"/>
      <c r="E91" s="627">
        <v>0.05</v>
      </c>
      <c r="F91" s="14">
        <f>ROUND($F$88*E91,0)</f>
        <v>34917331</v>
      </c>
      <c r="G91" s="217"/>
      <c r="H91" s="14">
        <f>ROUND($H$88*E91,0)</f>
        <v>29862275</v>
      </c>
    </row>
    <row r="92" spans="1:8" x14ac:dyDescent="0.3">
      <c r="A92" s="630" t="s">
        <v>17</v>
      </c>
      <c r="B92" s="631"/>
      <c r="C92" s="631"/>
      <c r="D92" s="631"/>
      <c r="E92" s="632"/>
      <c r="F92" s="14">
        <f>SUM(F89:F91)</f>
        <v>209503988</v>
      </c>
      <c r="G92" s="218"/>
      <c r="H92" s="14">
        <f>SUM(H89:H91)</f>
        <v>179173650</v>
      </c>
    </row>
    <row r="93" spans="1:8" x14ac:dyDescent="0.3">
      <c r="A93" s="112"/>
      <c r="B93" s="113"/>
      <c r="C93" s="113"/>
      <c r="D93" s="113"/>
      <c r="E93" s="114" t="s">
        <v>187</v>
      </c>
      <c r="F93" s="219">
        <f>ROUNDUP(SUM(F92+F88)*2%,0)</f>
        <v>18157013</v>
      </c>
      <c r="G93" s="112"/>
      <c r="H93" s="219">
        <f>ROUNDUP(SUM(H92+H88)*2%,0)</f>
        <v>15528384</v>
      </c>
    </row>
    <row r="94" spans="1:8" ht="14.4" thickBot="1" x14ac:dyDescent="0.35">
      <c r="A94" s="666" t="s">
        <v>12</v>
      </c>
      <c r="B94" s="667"/>
      <c r="C94" s="667"/>
      <c r="D94" s="667"/>
      <c r="E94" s="668"/>
      <c r="F94" s="15">
        <f>F88+F92+F93</f>
        <v>926007627</v>
      </c>
      <c r="G94" s="220"/>
      <c r="H94" s="15">
        <f>H88+H92+H93</f>
        <v>791947535</v>
      </c>
    </row>
    <row r="95" spans="1:8" x14ac:dyDescent="0.3">
      <c r="A95" s="233"/>
      <c r="B95" s="234"/>
      <c r="C95" s="235"/>
      <c r="D95" s="236"/>
      <c r="E95" s="236"/>
      <c r="F95" s="225"/>
      <c r="G95" s="6"/>
      <c r="H95" s="237"/>
    </row>
    <row r="96" spans="1:8" x14ac:dyDescent="0.3">
      <c r="A96" s="18"/>
      <c r="B96" s="624"/>
      <c r="C96" s="625"/>
      <c r="D96" s="626"/>
      <c r="E96" s="626"/>
      <c r="F96" s="322"/>
      <c r="G96" s="6"/>
      <c r="H96" s="237"/>
    </row>
    <row r="97" spans="1:8" x14ac:dyDescent="0.3">
      <c r="A97" s="18"/>
      <c r="B97" s="624"/>
      <c r="C97" s="625"/>
      <c r="D97" s="626"/>
      <c r="E97" s="626"/>
      <c r="F97" s="322"/>
      <c r="G97" s="6"/>
      <c r="H97" s="6"/>
    </row>
    <row r="98" spans="1:8" x14ac:dyDescent="0.3">
      <c r="A98" s="18"/>
      <c r="B98" s="624"/>
      <c r="C98" s="625"/>
      <c r="D98" s="626"/>
      <c r="E98" s="626"/>
      <c r="F98" s="19"/>
      <c r="G98" s="6"/>
      <c r="H98" s="6"/>
    </row>
    <row r="99" spans="1:8" x14ac:dyDescent="0.3">
      <c r="A99" s="18"/>
      <c r="B99" s="624"/>
      <c r="C99" s="625"/>
      <c r="D99" s="626"/>
      <c r="E99" s="626"/>
      <c r="F99" s="19"/>
      <c r="G99" s="6"/>
      <c r="H99" s="6"/>
    </row>
    <row r="100" spans="1:8" x14ac:dyDescent="0.25">
      <c r="A100" s="669"/>
      <c r="B100" s="670"/>
      <c r="C100" s="670"/>
      <c r="D100" s="670"/>
      <c r="E100" s="670"/>
      <c r="F100" s="671"/>
      <c r="G100" s="232"/>
      <c r="H100" s="232"/>
    </row>
    <row r="101" spans="1:8" ht="15" customHeight="1" thickBot="1" x14ac:dyDescent="0.3">
      <c r="A101" s="672"/>
      <c r="B101" s="673"/>
      <c r="C101" s="673"/>
      <c r="D101" s="673"/>
      <c r="E101" s="673"/>
      <c r="F101" s="674"/>
      <c r="G101" s="232"/>
      <c r="H101" s="232"/>
    </row>
    <row r="102" spans="1:8" ht="14.4" thickBot="1" x14ac:dyDescent="0.35"/>
    <row r="103" spans="1:8" ht="14.4" thickBot="1" x14ac:dyDescent="0.35">
      <c r="F103" s="221" t="s">
        <v>440</v>
      </c>
      <c r="G103" s="222" t="s">
        <v>439</v>
      </c>
      <c r="H103" s="223" t="s">
        <v>441</v>
      </c>
    </row>
    <row r="104" spans="1:8" x14ac:dyDescent="0.3">
      <c r="D104" s="656" t="s">
        <v>442</v>
      </c>
      <c r="E104" s="9" t="s">
        <v>443</v>
      </c>
      <c r="F104" s="224">
        <f>+F85+F42+F32+F25+F16+F11+F53</f>
        <v>324298612</v>
      </c>
      <c r="G104" s="224">
        <f>+H85+H42+H32+H25+H16+H11+H53</f>
        <v>229088415</v>
      </c>
      <c r="H104" s="225"/>
    </row>
    <row r="105" spans="1:8" ht="14.4" thickBot="1" x14ac:dyDescent="0.35">
      <c r="D105" s="657"/>
      <c r="E105" s="149" t="s">
        <v>444</v>
      </c>
      <c r="F105" s="226">
        <f>+F104*E110</f>
        <v>430019959.84234053</v>
      </c>
      <c r="G105" s="226">
        <f>+G104*E110</f>
        <v>303771238.5233565</v>
      </c>
      <c r="H105" s="227">
        <f>+F105-G105</f>
        <v>126248721.31898403</v>
      </c>
    </row>
    <row r="106" spans="1:8" x14ac:dyDescent="0.3">
      <c r="D106" s="656" t="s">
        <v>445</v>
      </c>
      <c r="E106" s="9" t="s">
        <v>443</v>
      </c>
      <c r="F106" s="224">
        <f>+F68</f>
        <v>374048014</v>
      </c>
      <c r="G106" s="224">
        <f>+H68</f>
        <v>368157086</v>
      </c>
      <c r="H106" s="225"/>
    </row>
    <row r="107" spans="1:8" ht="14.4" thickBot="1" x14ac:dyDescent="0.35">
      <c r="D107" s="657"/>
      <c r="E107" s="149" t="s">
        <v>444</v>
      </c>
      <c r="F107" s="226">
        <f>+F106*E110</f>
        <v>495987666.9450168</v>
      </c>
      <c r="G107" s="226">
        <f>+G106*E110</f>
        <v>488176296.41101617</v>
      </c>
      <c r="H107" s="227">
        <f>+F107-G107</f>
        <v>7811370.5340006351</v>
      </c>
    </row>
    <row r="108" spans="1:8" ht="14.4" thickBot="1" x14ac:dyDescent="0.35">
      <c r="D108" s="221"/>
      <c r="E108" s="222" t="s">
        <v>446</v>
      </c>
      <c r="F108" s="228">
        <f>+F107+F105</f>
        <v>926007626.78735733</v>
      </c>
      <c r="G108" s="228">
        <f>+G105+G107</f>
        <v>791947534.93437266</v>
      </c>
      <c r="H108" s="229">
        <f>+F108-G108</f>
        <v>134060091.85298467</v>
      </c>
    </row>
    <row r="110" spans="1:8" x14ac:dyDescent="0.3">
      <c r="E110" s="6">
        <v>1.3260000010186308</v>
      </c>
    </row>
  </sheetData>
  <mergeCells count="28">
    <mergeCell ref="D104:D105"/>
    <mergeCell ref="D106:D107"/>
    <mergeCell ref="G7:H7"/>
    <mergeCell ref="E8:F8"/>
    <mergeCell ref="G8:H8"/>
    <mergeCell ref="G9:G10"/>
    <mergeCell ref="H9:H10"/>
    <mergeCell ref="A94:E94"/>
    <mergeCell ref="A100:F100"/>
    <mergeCell ref="A101:F101"/>
    <mergeCell ref="A7:F7"/>
    <mergeCell ref="E9:E10"/>
    <mergeCell ref="F9:F10"/>
    <mergeCell ref="A8:D8"/>
    <mergeCell ref="A9:A10"/>
    <mergeCell ref="B9:B10"/>
    <mergeCell ref="A91:D91"/>
    <mergeCell ref="A92:E92"/>
    <mergeCell ref="A5:B5"/>
    <mergeCell ref="A6:D6"/>
    <mergeCell ref="A3:B3"/>
    <mergeCell ref="A4:B4"/>
    <mergeCell ref="C9:C10"/>
    <mergeCell ref="D9:D10"/>
    <mergeCell ref="A88:E88"/>
    <mergeCell ref="A89:D89"/>
    <mergeCell ref="A90:D90"/>
    <mergeCell ref="C3:F5"/>
  </mergeCells>
  <phoneticPr fontId="22" type="noConversion"/>
  <hyperlinks>
    <hyperlink ref="A12" location="'1.01'!A1" display="'1.01'!A1" xr:uid="{00000000-0004-0000-0000-000000000000}"/>
    <hyperlink ref="A13" location="'1.02'!A1" display="'1.02'!A1" xr:uid="{00000000-0004-0000-0000-000001000000}"/>
    <hyperlink ref="A14" location="'1.03'!A1" display="'1.03'!A1" xr:uid="{00000000-0004-0000-0000-000002000000}"/>
    <hyperlink ref="A15" location="'1.04'!A1" display="'1.04'!A1" xr:uid="{00000000-0004-0000-0000-000003000000}"/>
    <hyperlink ref="A17" location="'2.01'!A1" display="'2.01'!A1" xr:uid="{00000000-0004-0000-0000-000004000000}"/>
    <hyperlink ref="A18" location="'2.02'!A1" display="'2.02'!A1" xr:uid="{00000000-0004-0000-0000-000005000000}"/>
    <hyperlink ref="A49" location="'5.07'!A1" display="'5.07'!A1" xr:uid="{00000000-0004-0000-0000-000006000000}"/>
    <hyperlink ref="A50" location="'5.08'!A1" display="'5.08'!A1" xr:uid="{00000000-0004-0000-0000-000007000000}"/>
    <hyperlink ref="A51" location="'5.09'!A1" display="'5.09'!A1" xr:uid="{00000000-0004-0000-0000-000008000000}"/>
    <hyperlink ref="A33" location="'4.01'!A1" display="'4.01'!A1" xr:uid="{00000000-0004-0000-0000-000009000000}"/>
    <hyperlink ref="A19" location="'2.03'!A1" display="'2.03'!A1" xr:uid="{00000000-0004-0000-0000-00000A000000}"/>
    <hyperlink ref="A23" location="'2.10'!A1" display="'2.10'!A1" xr:uid="{00000000-0004-0000-0000-00000B000000}"/>
    <hyperlink ref="A24" location="'2.08'!A1" display="'2.08'!A1" xr:uid="{00000000-0004-0000-0000-00000C000000}"/>
    <hyperlink ref="A26" location="'3.01'!A1" display="'3.01'!A1" xr:uid="{00000000-0004-0000-0000-00000D000000}"/>
    <hyperlink ref="A27" location="'3.02'!A1" display="'3.02'!A1" xr:uid="{00000000-0004-0000-0000-00000E000000}"/>
    <hyperlink ref="A43" location="'5.01'!A1" display="'5.01'!A1" xr:uid="{00000000-0004-0000-0000-00000F000000}"/>
    <hyperlink ref="A47" location="'5.05'!A1" display="'5.05'!A1" xr:uid="{00000000-0004-0000-0000-000010000000}"/>
    <hyperlink ref="A48" location="'5.06'!O8" display="'5.06'!O8" xr:uid="{00000000-0004-0000-0000-000011000000}"/>
    <hyperlink ref="A52" location="'5.10'!A1" display="'5.10'!A1" xr:uid="{00000000-0004-0000-0000-000012000000}"/>
    <hyperlink ref="A86" location="'8.01'!A1" display="'8.01'!A1" xr:uid="{00000000-0004-0000-0000-000013000000}"/>
    <hyperlink ref="A28" location="'3.03'!A1" display="'3.03'!A1" xr:uid="{00000000-0004-0000-0000-000014000000}"/>
    <hyperlink ref="A29" location="'3.04'!A1" display="'3.04'!A1" xr:uid="{00000000-0004-0000-0000-000015000000}"/>
    <hyperlink ref="A30" location="'3.05'!A1" display="'3.05'!A1" xr:uid="{00000000-0004-0000-0000-000016000000}"/>
    <hyperlink ref="A31" location="'3.06'!A1" display="'3.06'!A1" xr:uid="{00000000-0004-0000-0000-000017000000}"/>
    <hyperlink ref="A34:A41" location="'3.04'!A1" display="'3.04'!A1" xr:uid="{00000000-0004-0000-0000-000018000000}"/>
    <hyperlink ref="A65" location="'6.12'!A1" display="'6.12'!A1" xr:uid="{00000000-0004-0000-0000-000019000000}"/>
    <hyperlink ref="A66" location="'6.14'!A1" display="'6.14'!A1" xr:uid="{00000000-0004-0000-0000-00001A000000}"/>
    <hyperlink ref="A54" location="'6.01'!A1" display="'6.01'!A1" xr:uid="{00000000-0004-0000-0000-00001B000000}"/>
    <hyperlink ref="A55" location="'6.02'!A1" display="'6.02'!A1" xr:uid="{00000000-0004-0000-0000-00001C000000}"/>
    <hyperlink ref="A63" location="'6.10'!A1" display="'6.10'!A1" xr:uid="{00000000-0004-0000-0000-00001D000000}"/>
    <hyperlink ref="A64" location="'6.11'!O8" display="'6.11'!O8" xr:uid="{00000000-0004-0000-0000-00001E000000}"/>
    <hyperlink ref="A67" location="'6.15'!A1" display="'6.15'!A1" xr:uid="{00000000-0004-0000-0000-00001F000000}"/>
    <hyperlink ref="A46" location="'5.04'!A1" display="'5.04'!A1" xr:uid="{00000000-0004-0000-0000-000020000000}"/>
    <hyperlink ref="A20" location="'2.04'!A1" display="'2.04'!A1" xr:uid="{00000000-0004-0000-0000-000021000000}"/>
    <hyperlink ref="A21" location="'2.05'!A1" display="'2.05'!A1" xr:uid="{00000000-0004-0000-0000-000022000000}"/>
    <hyperlink ref="A22" location="'2.07'!A1" display="'2.07'!A1" xr:uid="{00000000-0004-0000-0000-000023000000}"/>
    <hyperlink ref="A34" location="'4.02'!A1" display="'4.02'!A1" xr:uid="{00000000-0004-0000-0000-000024000000}"/>
    <hyperlink ref="A35" location="'4.03'!A1" display="'4.03'!A1" xr:uid="{00000000-0004-0000-0000-000025000000}"/>
    <hyperlink ref="A36" location="'4.04'!A1" display="'4.04'!A1" xr:uid="{00000000-0004-0000-0000-000026000000}"/>
    <hyperlink ref="A37" location="'4.05'!A1" display="'4.05'!A1" xr:uid="{00000000-0004-0000-0000-000027000000}"/>
    <hyperlink ref="A38" location="'4.06'!A1" display="'4.06'!A1" xr:uid="{00000000-0004-0000-0000-000028000000}"/>
    <hyperlink ref="A39" location="'4.07'!A1" display="'4.07'!A1" xr:uid="{00000000-0004-0000-0000-000029000000}"/>
    <hyperlink ref="A40" location="'4.08'!A1" display="'4.08'!A1" xr:uid="{00000000-0004-0000-0000-00002A000000}"/>
    <hyperlink ref="A41" location="'4.09'!A1" display="'4.09'!A1" xr:uid="{00000000-0004-0000-0000-00002B000000}"/>
    <hyperlink ref="A44" location="'5.02'!A1" display="'5.02'!A1" xr:uid="{00000000-0004-0000-0000-00002C000000}"/>
    <hyperlink ref="A45" location="'5.03'!A1" display="'5.03'!A1" xr:uid="{00000000-0004-0000-0000-00002D000000}"/>
    <hyperlink ref="A69" location="'7.01'!A1" display="'7.01'!A1" xr:uid="{00000000-0004-0000-0000-00002E000000}"/>
    <hyperlink ref="A70" location="'7.02'!A1" display="'7.02'!A1" xr:uid="{00000000-0004-0000-0000-00002F000000}"/>
    <hyperlink ref="A71" location="'7.03'!A1" display="'7.03'!A1" xr:uid="{00000000-0004-0000-0000-000030000000}"/>
    <hyperlink ref="A72" location="'7.04'!A1" display="'7.04'!A1" xr:uid="{00000000-0004-0000-0000-000031000000}"/>
    <hyperlink ref="A73" location="'7.05'!A1" display="'7.05'!A1" xr:uid="{00000000-0004-0000-0000-000032000000}"/>
    <hyperlink ref="A74" location="'7.06'!A1" display="'7.06'!A1" xr:uid="{00000000-0004-0000-0000-000033000000}"/>
    <hyperlink ref="A75" location="'7.07'!A1" display="'7.07'!A1" xr:uid="{00000000-0004-0000-0000-000034000000}"/>
    <hyperlink ref="A76" location="'7.08'!A1" display="'7.08'!A1" xr:uid="{00000000-0004-0000-0000-000035000000}"/>
    <hyperlink ref="A77" location="'7.09'!A1" display="'7.09'!A1" xr:uid="{00000000-0004-0000-0000-000036000000}"/>
    <hyperlink ref="A78" location="'7.10'!A1" display="'7.10'!A1" xr:uid="{00000000-0004-0000-0000-000037000000}"/>
    <hyperlink ref="A79" location="'7.11'!A1" display="'7.11'!A1" xr:uid="{00000000-0004-0000-0000-000038000000}"/>
    <hyperlink ref="A80" location="'7.12'!A1" display="'7.12'!A1" xr:uid="{00000000-0004-0000-0000-000039000000}"/>
    <hyperlink ref="A81" location="'7.13'!A1" display="'7.13'!A1" xr:uid="{00000000-0004-0000-0000-00003A000000}"/>
    <hyperlink ref="A82" location="'7.14'!A1" display="'7.14'!A1" xr:uid="{00000000-0004-0000-0000-00003B000000}"/>
    <hyperlink ref="A83" location="'7.15'!A1" display="'7.15'!A1" xr:uid="{00000000-0004-0000-0000-00003C000000}"/>
    <hyperlink ref="A84" location="'7.16'!A1" display="'7.16'!A1" xr:uid="{00000000-0004-0000-0000-00003D000000}"/>
    <hyperlink ref="A56" location="'6.03'!A1" display="'6.03'!A1" xr:uid="{00000000-0004-0000-0000-00003E000000}"/>
    <hyperlink ref="A57" location="'6.04'!A1" display="'6.04'!A1" xr:uid="{00000000-0004-0000-0000-00003F000000}"/>
    <hyperlink ref="A58" location="'6.05'!A1" display="'6.05'!A1" xr:uid="{00000000-0004-0000-0000-000040000000}"/>
    <hyperlink ref="A59" location="'6.06'!A1" display="'6.06'!A1" xr:uid="{00000000-0004-0000-0000-000041000000}"/>
    <hyperlink ref="A60" location="'6.07'!A1" display="'6.07'!A1" xr:uid="{00000000-0004-0000-0000-000042000000}"/>
    <hyperlink ref="A61" location="'6.08'!A1" display="'6.08'!A1" xr:uid="{00000000-0004-0000-0000-000043000000}"/>
    <hyperlink ref="A62" location="'6.09'!A1" display="'6.09'!A1" xr:uid="{00000000-0004-0000-0000-000044000000}"/>
  </hyperlinks>
  <printOptions horizontalCentered="1"/>
  <pageMargins left="0.70866141732283472" right="0.70866141732283472" top="0.74803149606299213" bottom="0.74803149606299213" header="0.31496062992125984" footer="0.31496062992125984"/>
  <pageSetup paperSize="9" scale="59" fitToHeight="2"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80"/>
  <sheetViews>
    <sheetView topLeftCell="A7" zoomScale="70" zoomScaleNormal="70" workbookViewId="0">
      <selection activeCell="A2" sqref="A2:G2"/>
    </sheetView>
  </sheetViews>
  <sheetFormatPr baseColWidth="10" defaultColWidth="22.88671875" defaultRowHeight="17.399999999999999" x14ac:dyDescent="0.3"/>
  <cols>
    <col min="1" max="1" width="17.33203125" style="333" customWidth="1"/>
    <col min="2" max="2" width="28.44140625" style="333" customWidth="1"/>
    <col min="3" max="3" width="64.109375" style="333" customWidth="1"/>
    <col min="4" max="4" width="37.33203125" style="333" customWidth="1"/>
    <col min="5" max="5" width="27.88671875" style="333" customWidth="1"/>
    <col min="6" max="6" width="29.6640625" style="334" bestFit="1" customWidth="1"/>
    <col min="7" max="7" width="21.109375" style="333" customWidth="1"/>
    <col min="8" max="8" width="29.109375" style="333" customWidth="1"/>
    <col min="9" max="9" width="32.5546875" style="333" hidden="1" customWidth="1"/>
    <col min="10" max="10" width="21.109375" style="333" hidden="1" customWidth="1"/>
    <col min="11" max="11" width="17.6640625" style="333" hidden="1" customWidth="1"/>
    <col min="12" max="13" width="22.88671875" style="333" hidden="1" customWidth="1"/>
    <col min="14" max="14" width="34.6640625" style="335" hidden="1" customWidth="1"/>
    <col min="15" max="18" width="0" style="333" hidden="1" customWidth="1"/>
    <col min="19" max="16384" width="22.88671875" style="333"/>
  </cols>
  <sheetData>
    <row r="1" spans="1:16" ht="18" thickBot="1" x14ac:dyDescent="0.35"/>
    <row r="2" spans="1:16" ht="117" customHeight="1" thickBot="1" x14ac:dyDescent="0.35">
      <c r="A2" s="680" t="s">
        <v>593</v>
      </c>
      <c r="B2" s="681"/>
      <c r="C2" s="681"/>
      <c r="D2" s="681"/>
      <c r="E2" s="681"/>
      <c r="F2" s="681"/>
      <c r="G2" s="682"/>
      <c r="H2" s="336"/>
      <c r="N2" s="333"/>
    </row>
    <row r="3" spans="1:16" ht="13.8" x14ac:dyDescent="0.3">
      <c r="A3" s="683" t="str">
        <f>+'PPTO HOJA'!A7</f>
        <v>CONSTRUCCION DE OBRAS CIVILES COMPLEMENTARIAS PARA EL CORRECTO FUNCIONAMIENTO DEL PROYECTO DENOMINADO “PARQUE GEOLÓGICO, NATURAL, AMBIENTAL, CULTURAL Y TURÍSTICO, VOLCÁN DE LODO DE ARBOLETES”, QUE SE LLEVARÁ A CABO EN EL MUNICIPIO DE ARBOLETES-ANTIOQUIA</v>
      </c>
      <c r="B3" s="684"/>
      <c r="C3" s="684"/>
      <c r="D3" s="684"/>
      <c r="E3" s="684"/>
      <c r="F3" s="684"/>
      <c r="G3" s="684"/>
      <c r="H3" s="685"/>
      <c r="N3" s="333"/>
    </row>
    <row r="4" spans="1:16" ht="43.5" customHeight="1" thickBot="1" x14ac:dyDescent="0.35">
      <c r="A4" s="686"/>
      <c r="B4" s="687"/>
      <c r="C4" s="687"/>
      <c r="D4" s="687"/>
      <c r="E4" s="687"/>
      <c r="F4" s="687"/>
      <c r="G4" s="687"/>
      <c r="H4" s="688"/>
      <c r="N4" s="333"/>
    </row>
    <row r="5" spans="1:16" ht="17.25" customHeight="1" thickBot="1" x14ac:dyDescent="0.3">
      <c r="A5" s="689" t="s">
        <v>594</v>
      </c>
      <c r="B5" s="690"/>
      <c r="C5" s="690"/>
      <c r="D5" s="690"/>
      <c r="E5" s="690"/>
      <c r="F5" s="690"/>
      <c r="G5" s="690"/>
      <c r="H5" s="691"/>
      <c r="N5" s="333"/>
    </row>
    <row r="6" spans="1:16" ht="18" thickBot="1" x14ac:dyDescent="0.35">
      <c r="A6" s="337"/>
      <c r="B6" s="338"/>
      <c r="C6" s="338"/>
      <c r="D6" s="338"/>
      <c r="E6" s="338"/>
      <c r="F6" s="339"/>
      <c r="G6" s="338"/>
      <c r="H6" s="340"/>
      <c r="O6" s="333">
        <v>1.2</v>
      </c>
    </row>
    <row r="7" spans="1:16" ht="18" thickTop="1" x14ac:dyDescent="0.3">
      <c r="A7" s="341"/>
      <c r="B7" s="342"/>
      <c r="C7" s="343" t="s">
        <v>595</v>
      </c>
      <c r="D7" s="344">
        <f>+'PPTO HOJA'!F88</f>
        <v>698346626</v>
      </c>
      <c r="E7" s="345"/>
      <c r="F7" s="346"/>
      <c r="G7" s="342"/>
      <c r="H7" s="347"/>
      <c r="I7" s="348"/>
      <c r="N7" s="349">
        <v>4973212298</v>
      </c>
      <c r="O7" s="333">
        <v>0.26</v>
      </c>
      <c r="P7" s="350">
        <v>979572119</v>
      </c>
    </row>
    <row r="8" spans="1:16" ht="18" thickBot="1" x14ac:dyDescent="0.35">
      <c r="A8" s="341"/>
      <c r="B8" s="342"/>
      <c r="C8" s="351" t="s">
        <v>596</v>
      </c>
      <c r="D8" s="352">
        <v>2</v>
      </c>
      <c r="E8" s="342"/>
      <c r="F8" s="346"/>
      <c r="G8" s="342"/>
      <c r="H8" s="347"/>
      <c r="I8" s="353"/>
      <c r="N8" s="354">
        <v>277061101.38</v>
      </c>
      <c r="O8" s="333">
        <v>0.01</v>
      </c>
      <c r="P8" s="333">
        <v>37675851</v>
      </c>
    </row>
    <row r="9" spans="1:16" s="353" customFormat="1" ht="18" thickTop="1" x14ac:dyDescent="0.3">
      <c r="A9" s="355" t="s">
        <v>597</v>
      </c>
      <c r="B9" s="356"/>
      <c r="C9" s="356"/>
      <c r="D9" s="356"/>
      <c r="E9" s="356"/>
      <c r="F9" s="357"/>
      <c r="G9" s="356"/>
      <c r="H9" s="358"/>
      <c r="N9" s="335">
        <v>69265275.344999999</v>
      </c>
      <c r="O9" s="353">
        <v>0.05</v>
      </c>
      <c r="P9" s="333">
        <v>188379254</v>
      </c>
    </row>
    <row r="10" spans="1:16" x14ac:dyDescent="0.3">
      <c r="A10" s="692"/>
      <c r="B10" s="693"/>
      <c r="C10" s="693"/>
      <c r="D10" s="693"/>
      <c r="E10" s="693"/>
      <c r="F10" s="693"/>
      <c r="G10" s="693"/>
      <c r="H10" s="694"/>
      <c r="P10" s="333">
        <v>4973212298</v>
      </c>
    </row>
    <row r="11" spans="1:16" s="362" customFormat="1" ht="55.2" x14ac:dyDescent="0.3">
      <c r="A11" s="695" t="s">
        <v>19</v>
      </c>
      <c r="B11" s="696"/>
      <c r="C11" s="359" t="s">
        <v>598</v>
      </c>
      <c r="D11" s="359" t="s">
        <v>599</v>
      </c>
      <c r="E11" s="359" t="s">
        <v>600</v>
      </c>
      <c r="F11" s="360" t="s">
        <v>601</v>
      </c>
      <c r="G11" s="359" t="s">
        <v>602</v>
      </c>
      <c r="H11" s="361" t="s">
        <v>603</v>
      </c>
      <c r="J11" s="363">
        <v>1</v>
      </c>
      <c r="N11" s="364"/>
      <c r="P11" s="365">
        <v>0</v>
      </c>
    </row>
    <row r="12" spans="1:16" s="362" customFormat="1" x14ac:dyDescent="0.3">
      <c r="A12" s="695" t="s">
        <v>604</v>
      </c>
      <c r="B12" s="697"/>
      <c r="C12" s="366"/>
      <c r="D12" s="359" t="s">
        <v>605</v>
      </c>
      <c r="E12" s="359" t="s">
        <v>606</v>
      </c>
      <c r="F12" s="367" t="s">
        <v>607</v>
      </c>
      <c r="G12" s="359" t="s">
        <v>606</v>
      </c>
      <c r="H12" s="361" t="s">
        <v>608</v>
      </c>
      <c r="N12" s="364"/>
      <c r="P12" s="362">
        <v>51126445.454545453</v>
      </c>
    </row>
    <row r="13" spans="1:16" s="362" customFormat="1" x14ac:dyDescent="0.3">
      <c r="A13" s="368" t="s">
        <v>609</v>
      </c>
      <c r="B13" s="369"/>
      <c r="C13" s="370"/>
      <c r="D13" s="370"/>
      <c r="E13" s="370"/>
      <c r="F13" s="371"/>
      <c r="G13" s="370"/>
      <c r="H13" s="372"/>
      <c r="I13" s="362">
        <v>1.1599999999999999</v>
      </c>
      <c r="N13" s="364"/>
      <c r="P13" s="373">
        <v>1.02803665701354E-2</v>
      </c>
    </row>
    <row r="14" spans="1:16" x14ac:dyDescent="0.3">
      <c r="A14" s="698">
        <v>1</v>
      </c>
      <c r="B14" s="699"/>
      <c r="C14" s="374" t="s">
        <v>610</v>
      </c>
      <c r="D14" s="375">
        <v>0.25</v>
      </c>
      <c r="E14" s="376">
        <f>4000000*1.19</f>
        <v>4760000</v>
      </c>
      <c r="F14" s="377">
        <v>1.8</v>
      </c>
      <c r="G14" s="378">
        <f>+D8</f>
        <v>2</v>
      </c>
      <c r="H14" s="379">
        <f>A14*D14*E14*F14*G14</f>
        <v>4284000</v>
      </c>
      <c r="I14" s="704"/>
      <c r="J14" s="333">
        <v>3550000</v>
      </c>
      <c r="O14" s="380"/>
    </row>
    <row r="15" spans="1:16" s="382" customFormat="1" ht="48" customHeight="1" x14ac:dyDescent="0.3">
      <c r="A15" s="700" t="s">
        <v>611</v>
      </c>
      <c r="B15" s="701"/>
      <c r="C15" s="706" t="s">
        <v>612</v>
      </c>
      <c r="D15" s="707"/>
      <c r="E15" s="707"/>
      <c r="F15" s="707"/>
      <c r="G15" s="707"/>
      <c r="H15" s="381"/>
      <c r="I15" s="704"/>
      <c r="N15" s="335"/>
    </row>
    <row r="16" spans="1:16" x14ac:dyDescent="0.3">
      <c r="A16" s="698">
        <v>1</v>
      </c>
      <c r="B16" s="699"/>
      <c r="C16" s="374" t="s">
        <v>613</v>
      </c>
      <c r="D16" s="375">
        <v>1</v>
      </c>
      <c r="E16" s="376">
        <f>1300000*1.16</f>
        <v>1508000</v>
      </c>
      <c r="F16" s="377">
        <v>1.8</v>
      </c>
      <c r="G16" s="378">
        <f>+G14</f>
        <v>2</v>
      </c>
      <c r="H16" s="379">
        <f>A16*D16*E16*F16*G16</f>
        <v>5428800</v>
      </c>
      <c r="I16" s="705"/>
      <c r="J16" s="333">
        <v>3500000</v>
      </c>
      <c r="O16" s="380"/>
    </row>
    <row r="17" spans="1:15" s="382" customFormat="1" ht="36" customHeight="1" x14ac:dyDescent="0.3">
      <c r="A17" s="700" t="s">
        <v>611</v>
      </c>
      <c r="B17" s="701"/>
      <c r="C17" s="702" t="s">
        <v>614</v>
      </c>
      <c r="D17" s="703"/>
      <c r="E17" s="703"/>
      <c r="F17" s="703"/>
      <c r="G17" s="703"/>
      <c r="H17" s="381"/>
      <c r="I17" s="383"/>
      <c r="N17" s="335"/>
    </row>
    <row r="18" spans="1:15" hidden="1" x14ac:dyDescent="0.3">
      <c r="A18" s="698">
        <v>0</v>
      </c>
      <c r="B18" s="699"/>
      <c r="C18" s="374" t="s">
        <v>615</v>
      </c>
      <c r="D18" s="375">
        <v>0.5</v>
      </c>
      <c r="E18" s="376">
        <f>+E16</f>
        <v>1508000</v>
      </c>
      <c r="F18" s="377">
        <v>1.8</v>
      </c>
      <c r="G18" s="378">
        <f>+G16</f>
        <v>2</v>
      </c>
      <c r="H18" s="379">
        <f>A18*D18*E18*F18*G18</f>
        <v>0</v>
      </c>
      <c r="I18" s="383"/>
      <c r="J18" s="333">
        <v>3500000</v>
      </c>
      <c r="O18" s="380"/>
    </row>
    <row r="19" spans="1:15" s="382" customFormat="1" ht="36" hidden="1" customHeight="1" x14ac:dyDescent="0.3">
      <c r="A19" s="700" t="s">
        <v>611</v>
      </c>
      <c r="B19" s="701"/>
      <c r="C19" s="702" t="s">
        <v>614</v>
      </c>
      <c r="D19" s="703"/>
      <c r="E19" s="703"/>
      <c r="F19" s="703"/>
      <c r="G19" s="703"/>
      <c r="H19" s="381"/>
      <c r="I19" s="383"/>
      <c r="N19" s="335"/>
    </row>
    <row r="20" spans="1:15" hidden="1" x14ac:dyDescent="0.3">
      <c r="A20" s="698">
        <v>0</v>
      </c>
      <c r="B20" s="699"/>
      <c r="C20" s="374" t="s">
        <v>616</v>
      </c>
      <c r="D20" s="375">
        <v>1</v>
      </c>
      <c r="E20" s="376">
        <f>+E16</f>
        <v>1508000</v>
      </c>
      <c r="F20" s="377">
        <v>1.8</v>
      </c>
      <c r="G20" s="378">
        <f>+G16</f>
        <v>2</v>
      </c>
      <c r="H20" s="379">
        <f>A20*D20*E20*F20*G20</f>
        <v>0</v>
      </c>
      <c r="I20" s="383"/>
      <c r="J20" s="333">
        <v>3500000</v>
      </c>
      <c r="O20" s="380"/>
    </row>
    <row r="21" spans="1:15" s="382" customFormat="1" ht="20.25" hidden="1" customHeight="1" x14ac:dyDescent="0.3">
      <c r="A21" s="700" t="s">
        <v>611</v>
      </c>
      <c r="B21" s="701"/>
      <c r="C21" s="702" t="s">
        <v>617</v>
      </c>
      <c r="D21" s="703"/>
      <c r="E21" s="703"/>
      <c r="F21" s="703"/>
      <c r="G21" s="703"/>
      <c r="H21" s="381"/>
      <c r="I21" s="383"/>
      <c r="N21" s="335"/>
    </row>
    <row r="22" spans="1:15" s="386" customFormat="1" ht="15.6" hidden="1" x14ac:dyDescent="0.3">
      <c r="A22" s="698">
        <v>0</v>
      </c>
      <c r="B22" s="699"/>
      <c r="C22" s="374" t="s">
        <v>618</v>
      </c>
      <c r="D22" s="375">
        <v>1</v>
      </c>
      <c r="E22" s="384">
        <f>1160000*1.16</f>
        <v>1345600</v>
      </c>
      <c r="F22" s="377">
        <v>1.8</v>
      </c>
      <c r="G22" s="385">
        <f>+G16</f>
        <v>2</v>
      </c>
      <c r="H22" s="379">
        <f>A22*D22*E22*F22*G22</f>
        <v>0</v>
      </c>
      <c r="J22" s="386">
        <v>3500000</v>
      </c>
    </row>
    <row r="23" spans="1:15" s="382" customFormat="1" ht="40.5" hidden="1" customHeight="1" x14ac:dyDescent="0.3">
      <c r="A23" s="700" t="s">
        <v>611</v>
      </c>
      <c r="B23" s="701"/>
      <c r="C23" s="712" t="s">
        <v>619</v>
      </c>
      <c r="D23" s="713"/>
      <c r="E23" s="713"/>
      <c r="F23" s="713"/>
      <c r="G23" s="713"/>
      <c r="H23" s="381"/>
      <c r="I23" s="383"/>
      <c r="N23" s="335"/>
    </row>
    <row r="24" spans="1:15" s="388" customFormat="1" hidden="1" x14ac:dyDescent="0.3">
      <c r="A24" s="708">
        <v>0</v>
      </c>
      <c r="B24" s="709"/>
      <c r="C24" s="374" t="s">
        <v>620</v>
      </c>
      <c r="D24" s="375">
        <v>0</v>
      </c>
      <c r="E24" s="376">
        <v>3290603.49</v>
      </c>
      <c r="F24" s="377">
        <v>1.69</v>
      </c>
      <c r="G24" s="378">
        <v>11</v>
      </c>
      <c r="H24" s="379">
        <v>0</v>
      </c>
      <c r="I24" s="387"/>
      <c r="J24" s="388">
        <v>3500000</v>
      </c>
      <c r="N24" s="389"/>
      <c r="O24" s="390"/>
    </row>
    <row r="25" spans="1:15" s="392" customFormat="1" ht="38.25" hidden="1" customHeight="1" x14ac:dyDescent="0.3">
      <c r="A25" s="700" t="s">
        <v>611</v>
      </c>
      <c r="B25" s="701"/>
      <c r="C25" s="706" t="s">
        <v>621</v>
      </c>
      <c r="D25" s="707"/>
      <c r="E25" s="707"/>
      <c r="F25" s="707"/>
      <c r="G25" s="707"/>
      <c r="H25" s="381"/>
      <c r="I25" s="391"/>
      <c r="N25" s="393"/>
    </row>
    <row r="26" spans="1:15" x14ac:dyDescent="0.3">
      <c r="A26" s="708">
        <v>1</v>
      </c>
      <c r="B26" s="709"/>
      <c r="C26" s="374" t="s">
        <v>622</v>
      </c>
      <c r="D26" s="394">
        <v>1</v>
      </c>
      <c r="E26" s="376">
        <f>+E20</f>
        <v>1508000</v>
      </c>
      <c r="F26" s="377">
        <f>+F22</f>
        <v>1.8</v>
      </c>
      <c r="G26" s="378">
        <f>+G22</f>
        <v>2</v>
      </c>
      <c r="H26" s="379">
        <f>A26*D26*E26*F26*G26</f>
        <v>5428800</v>
      </c>
      <c r="I26" s="395"/>
      <c r="M26" s="333" t="s">
        <v>623</v>
      </c>
      <c r="O26" s="380"/>
    </row>
    <row r="27" spans="1:15" s="382" customFormat="1" ht="30.75" customHeight="1" x14ac:dyDescent="0.3">
      <c r="A27" s="700" t="s">
        <v>611</v>
      </c>
      <c r="B27" s="701"/>
      <c r="C27" s="710" t="s">
        <v>624</v>
      </c>
      <c r="D27" s="711"/>
      <c r="E27" s="711"/>
      <c r="F27" s="711"/>
      <c r="G27" s="711"/>
      <c r="H27" s="381"/>
      <c r="I27" s="383"/>
      <c r="M27" s="382" t="s">
        <v>625</v>
      </c>
      <c r="N27" s="335"/>
    </row>
    <row r="28" spans="1:15" hidden="1" x14ac:dyDescent="0.3">
      <c r="A28" s="708">
        <v>0</v>
      </c>
      <c r="B28" s="709"/>
      <c r="C28" s="374" t="s">
        <v>626</v>
      </c>
      <c r="D28" s="394">
        <v>0</v>
      </c>
      <c r="E28" s="376">
        <v>3290603.49</v>
      </c>
      <c r="F28" s="396">
        <v>1.69</v>
      </c>
      <c r="G28" s="378">
        <v>11</v>
      </c>
      <c r="H28" s="379">
        <v>0</v>
      </c>
      <c r="I28" s="395"/>
      <c r="J28" s="333">
        <v>3500000</v>
      </c>
      <c r="M28" s="333" t="s">
        <v>627</v>
      </c>
      <c r="O28" s="380"/>
    </row>
    <row r="29" spans="1:15" s="382" customFormat="1" ht="40.5" hidden="1" customHeight="1" x14ac:dyDescent="0.3">
      <c r="A29" s="700" t="s">
        <v>611</v>
      </c>
      <c r="B29" s="701"/>
      <c r="C29" s="710" t="s">
        <v>628</v>
      </c>
      <c r="D29" s="711"/>
      <c r="E29" s="711"/>
      <c r="F29" s="711"/>
      <c r="G29" s="711"/>
      <c r="H29" s="381"/>
      <c r="I29" s="383"/>
      <c r="N29" s="335"/>
    </row>
    <row r="30" spans="1:15" hidden="1" x14ac:dyDescent="0.3">
      <c r="A30" s="708">
        <v>0</v>
      </c>
      <c r="B30" s="709"/>
      <c r="C30" s="374" t="s">
        <v>629</v>
      </c>
      <c r="D30" s="394">
        <v>0</v>
      </c>
      <c r="E30" s="376">
        <v>3104340</v>
      </c>
      <c r="F30" s="396"/>
      <c r="G30" s="378">
        <v>11</v>
      </c>
      <c r="H30" s="379">
        <v>0</v>
      </c>
      <c r="I30" s="395"/>
      <c r="J30" s="333">
        <v>3500000</v>
      </c>
      <c r="O30" s="380"/>
    </row>
    <row r="31" spans="1:15" s="382" customFormat="1" ht="39.75" hidden="1" customHeight="1" x14ac:dyDescent="0.3">
      <c r="A31" s="700" t="s">
        <v>611</v>
      </c>
      <c r="B31" s="701"/>
      <c r="C31" s="710" t="s">
        <v>630</v>
      </c>
      <c r="D31" s="711"/>
      <c r="E31" s="711"/>
      <c r="F31" s="711"/>
      <c r="G31" s="711"/>
      <c r="H31" s="381"/>
      <c r="I31" s="383"/>
      <c r="N31" s="335"/>
    </row>
    <row r="32" spans="1:15" s="382" customFormat="1" ht="23.25" hidden="1" customHeight="1" x14ac:dyDescent="0.3">
      <c r="A32" s="708">
        <v>0</v>
      </c>
      <c r="B32" s="709"/>
      <c r="C32" s="374" t="s">
        <v>631</v>
      </c>
      <c r="D32" s="397">
        <v>1</v>
      </c>
      <c r="E32" s="376">
        <v>2500000</v>
      </c>
      <c r="F32" s="377">
        <v>1.69</v>
      </c>
      <c r="G32" s="378">
        <v>11</v>
      </c>
      <c r="H32" s="379">
        <v>0</v>
      </c>
      <c r="I32" s="383"/>
      <c r="N32" s="398"/>
    </row>
    <row r="33" spans="1:15" s="382" customFormat="1" ht="42.75" hidden="1" customHeight="1" x14ac:dyDescent="0.3">
      <c r="A33" s="700" t="s">
        <v>611</v>
      </c>
      <c r="B33" s="701"/>
      <c r="C33" s="706" t="s">
        <v>632</v>
      </c>
      <c r="D33" s="707"/>
      <c r="E33" s="707"/>
      <c r="F33" s="707"/>
      <c r="G33" s="707"/>
      <c r="H33" s="381"/>
      <c r="I33" s="383"/>
      <c r="N33" s="335"/>
    </row>
    <row r="34" spans="1:15" s="382" customFormat="1" ht="33" hidden="1" customHeight="1" x14ac:dyDescent="0.3">
      <c r="A34" s="698">
        <v>0</v>
      </c>
      <c r="B34" s="699"/>
      <c r="C34" s="374" t="s">
        <v>633</v>
      </c>
      <c r="D34" s="375">
        <v>0.25</v>
      </c>
      <c r="E34" s="376">
        <v>2443721.9900000002</v>
      </c>
      <c r="F34" s="377">
        <v>1.69</v>
      </c>
      <c r="G34" s="378">
        <v>11</v>
      </c>
      <c r="H34" s="379">
        <v>0</v>
      </c>
      <c r="I34" s="383"/>
      <c r="N34" s="398"/>
    </row>
    <row r="35" spans="1:15" s="382" customFormat="1" ht="38.25" hidden="1" customHeight="1" x14ac:dyDescent="0.3">
      <c r="A35" s="700" t="s">
        <v>611</v>
      </c>
      <c r="B35" s="701"/>
      <c r="C35" s="706" t="s">
        <v>634</v>
      </c>
      <c r="D35" s="707"/>
      <c r="E35" s="707"/>
      <c r="F35" s="707"/>
      <c r="G35" s="707"/>
      <c r="H35" s="381"/>
      <c r="I35" s="383"/>
      <c r="N35" s="398"/>
    </row>
    <row r="36" spans="1:15" hidden="1" x14ac:dyDescent="0.3">
      <c r="A36" s="708">
        <v>0</v>
      </c>
      <c r="B36" s="709"/>
      <c r="C36" s="374" t="s">
        <v>635</v>
      </c>
      <c r="D36" s="375">
        <v>1</v>
      </c>
      <c r="E36" s="376">
        <f>1800000*1.16</f>
        <v>2087999.9999999998</v>
      </c>
      <c r="F36" s="377">
        <v>1.8</v>
      </c>
      <c r="G36" s="378">
        <f>+G22</f>
        <v>2</v>
      </c>
      <c r="H36" s="379">
        <f>A36*D36*E36*F36*G36</f>
        <v>0</v>
      </c>
      <c r="I36" s="395"/>
      <c r="J36" s="333">
        <v>2000000</v>
      </c>
      <c r="N36" s="398"/>
      <c r="O36" s="380"/>
    </row>
    <row r="37" spans="1:15" s="382" customFormat="1" ht="25.5" hidden="1" customHeight="1" x14ac:dyDescent="0.3">
      <c r="A37" s="700" t="s">
        <v>611</v>
      </c>
      <c r="B37" s="701"/>
      <c r="C37" s="706" t="s">
        <v>636</v>
      </c>
      <c r="D37" s="707"/>
      <c r="E37" s="707"/>
      <c r="F37" s="707"/>
      <c r="G37" s="707"/>
      <c r="H37" s="381"/>
      <c r="I37" s="383"/>
      <c r="N37" s="398"/>
    </row>
    <row r="38" spans="1:15" x14ac:dyDescent="0.3">
      <c r="A38" s="708">
        <v>1</v>
      </c>
      <c r="B38" s="715"/>
      <c r="C38" s="399" t="s">
        <v>637</v>
      </c>
      <c r="D38" s="375">
        <v>0.2</v>
      </c>
      <c r="E38" s="376">
        <f>+E26</f>
        <v>1508000</v>
      </c>
      <c r="F38" s="377">
        <v>1.8</v>
      </c>
      <c r="G38" s="378">
        <f>+G36</f>
        <v>2</v>
      </c>
      <c r="H38" s="379">
        <f>A38*D38*E38*F38*G38</f>
        <v>1085760</v>
      </c>
      <c r="I38" s="395"/>
      <c r="J38" s="333">
        <v>1500000</v>
      </c>
      <c r="N38" s="398"/>
      <c r="O38" s="380"/>
    </row>
    <row r="39" spans="1:15" s="382" customFormat="1" ht="57" customHeight="1" x14ac:dyDescent="0.3">
      <c r="A39" s="700" t="s">
        <v>611</v>
      </c>
      <c r="B39" s="716"/>
      <c r="C39" s="706" t="s">
        <v>638</v>
      </c>
      <c r="D39" s="707"/>
      <c r="E39" s="707"/>
      <c r="F39" s="707"/>
      <c r="G39" s="707"/>
      <c r="H39" s="381"/>
      <c r="I39" s="383"/>
      <c r="N39" s="398"/>
    </row>
    <row r="40" spans="1:15" x14ac:dyDescent="0.3">
      <c r="A40" s="341"/>
      <c r="B40" s="342"/>
      <c r="C40" s="342"/>
      <c r="D40" s="342"/>
      <c r="E40" s="342"/>
      <c r="F40" s="346"/>
      <c r="G40" s="342"/>
      <c r="H40" s="347"/>
      <c r="N40" s="349"/>
    </row>
    <row r="41" spans="1:15" s="362" customFormat="1" x14ac:dyDescent="0.3">
      <c r="A41" s="368" t="s">
        <v>639</v>
      </c>
      <c r="B41" s="369"/>
      <c r="C41" s="369"/>
      <c r="D41" s="369"/>
      <c r="E41" s="369"/>
      <c r="F41" s="400"/>
      <c r="G41" s="369"/>
      <c r="H41" s="401"/>
      <c r="I41" s="333"/>
      <c r="N41" s="364"/>
    </row>
    <row r="42" spans="1:15" x14ac:dyDescent="0.3">
      <c r="A42" s="698">
        <v>1</v>
      </c>
      <c r="B42" s="714"/>
      <c r="C42" s="399" t="s">
        <v>640</v>
      </c>
      <c r="D42" s="394">
        <v>0.25</v>
      </c>
      <c r="E42" s="376">
        <f>1800000*1.16</f>
        <v>2087999.9999999998</v>
      </c>
      <c r="F42" s="377">
        <v>1.8</v>
      </c>
      <c r="G42" s="378">
        <f>+G38</f>
        <v>2</v>
      </c>
      <c r="H42" s="379">
        <f t="shared" ref="H42:H47" si="0">A42*D42*E42*F42*G42</f>
        <v>1879199.9999999998</v>
      </c>
      <c r="I42" s="402"/>
      <c r="J42" s="403"/>
      <c r="O42" s="380"/>
    </row>
    <row r="43" spans="1:15" x14ac:dyDescent="0.3">
      <c r="A43" s="698">
        <v>1</v>
      </c>
      <c r="B43" s="714"/>
      <c r="C43" s="399" t="s">
        <v>641</v>
      </c>
      <c r="D43" s="394">
        <f>+D42</f>
        <v>0.25</v>
      </c>
      <c r="E43" s="376">
        <v>1200000</v>
      </c>
      <c r="F43" s="377">
        <v>1.8</v>
      </c>
      <c r="G43" s="378">
        <f>+G42</f>
        <v>2</v>
      </c>
      <c r="H43" s="379">
        <f t="shared" si="0"/>
        <v>1080000</v>
      </c>
      <c r="I43" s="402"/>
      <c r="J43" s="403"/>
      <c r="O43" s="380"/>
    </row>
    <row r="44" spans="1:15" hidden="1" x14ac:dyDescent="0.3">
      <c r="A44" s="698">
        <v>0</v>
      </c>
      <c r="B44" s="714"/>
      <c r="C44" s="399" t="s">
        <v>642</v>
      </c>
      <c r="D44" s="394">
        <v>1</v>
      </c>
      <c r="E44" s="376">
        <f>1400000*1.16</f>
        <v>1624000</v>
      </c>
      <c r="F44" s="377">
        <v>1.8</v>
      </c>
      <c r="G44" s="378">
        <f>+G43</f>
        <v>2</v>
      </c>
      <c r="H44" s="379">
        <f t="shared" si="0"/>
        <v>0</v>
      </c>
      <c r="I44" s="402"/>
      <c r="J44" s="403">
        <v>1000000</v>
      </c>
      <c r="O44" s="380"/>
    </row>
    <row r="45" spans="1:15" s="406" customFormat="1" hidden="1" x14ac:dyDescent="0.3">
      <c r="A45" s="698">
        <v>1</v>
      </c>
      <c r="B45" s="714"/>
      <c r="C45" s="399" t="s">
        <v>643</v>
      </c>
      <c r="D45" s="394">
        <v>0</v>
      </c>
      <c r="E45" s="376">
        <v>1160000</v>
      </c>
      <c r="F45" s="377">
        <v>1.8</v>
      </c>
      <c r="G45" s="378">
        <f>+G44</f>
        <v>2</v>
      </c>
      <c r="H45" s="379">
        <f t="shared" si="0"/>
        <v>0</v>
      </c>
      <c r="I45" s="404"/>
      <c r="J45" s="405"/>
      <c r="N45" s="407"/>
      <c r="O45" s="408"/>
    </row>
    <row r="46" spans="1:15" s="406" customFormat="1" hidden="1" x14ac:dyDescent="0.3">
      <c r="A46" s="698">
        <v>0</v>
      </c>
      <c r="B46" s="714"/>
      <c r="C46" s="399" t="s">
        <v>644</v>
      </c>
      <c r="D46" s="394">
        <v>0</v>
      </c>
      <c r="E46" s="376">
        <v>1500000</v>
      </c>
      <c r="F46" s="377">
        <v>1.8</v>
      </c>
      <c r="G46" s="378">
        <f>+G45</f>
        <v>2</v>
      </c>
      <c r="H46" s="379">
        <f t="shared" si="0"/>
        <v>0</v>
      </c>
      <c r="I46" s="404"/>
      <c r="J46" s="405"/>
      <c r="N46" s="407"/>
      <c r="O46" s="408"/>
    </row>
    <row r="47" spans="1:15" hidden="1" x14ac:dyDescent="0.3">
      <c r="A47" s="698">
        <v>0</v>
      </c>
      <c r="B47" s="714"/>
      <c r="C47" s="399" t="s">
        <v>645</v>
      </c>
      <c r="D47" s="394">
        <v>0</v>
      </c>
      <c r="E47" s="376">
        <v>2500000</v>
      </c>
      <c r="F47" s="377">
        <v>1.8</v>
      </c>
      <c r="G47" s="378">
        <f>+G45</f>
        <v>2</v>
      </c>
      <c r="H47" s="379">
        <f t="shared" si="0"/>
        <v>0</v>
      </c>
      <c r="I47" s="395"/>
      <c r="J47" s="333">
        <v>5506360</v>
      </c>
      <c r="O47" s="380"/>
    </row>
    <row r="48" spans="1:15" s="362" customFormat="1" x14ac:dyDescent="0.3">
      <c r="A48" s="409" t="s">
        <v>646</v>
      </c>
      <c r="B48" s="370"/>
      <c r="C48" s="370"/>
      <c r="D48" s="370"/>
      <c r="E48" s="370"/>
      <c r="F48" s="371"/>
      <c r="G48" s="370"/>
      <c r="H48" s="401"/>
      <c r="I48" s="333"/>
      <c r="N48" s="364"/>
      <c r="O48" s="380"/>
    </row>
    <row r="49" spans="1:15" x14ac:dyDescent="0.3">
      <c r="A49" s="698">
        <v>1</v>
      </c>
      <c r="B49" s="714"/>
      <c r="C49" s="410" t="s">
        <v>647</v>
      </c>
      <c r="D49" s="394">
        <v>0.5</v>
      </c>
      <c r="E49" s="376">
        <f>+E45</f>
        <v>1160000</v>
      </c>
      <c r="F49" s="377">
        <v>1.8</v>
      </c>
      <c r="G49" s="378">
        <f>+G47</f>
        <v>2</v>
      </c>
      <c r="H49" s="379">
        <f t="shared" ref="H49:H55" si="1">A49*D49*E49*F49*G49</f>
        <v>2088000</v>
      </c>
      <c r="I49" s="402"/>
      <c r="J49" s="403">
        <v>1000000</v>
      </c>
      <c r="O49" s="380"/>
    </row>
    <row r="50" spans="1:15" x14ac:dyDescent="0.3">
      <c r="A50" s="698">
        <v>1</v>
      </c>
      <c r="B50" s="714"/>
      <c r="C50" s="410" t="s">
        <v>648</v>
      </c>
      <c r="D50" s="394">
        <v>1</v>
      </c>
      <c r="E50" s="376">
        <f>+E49</f>
        <v>1160000</v>
      </c>
      <c r="F50" s="377">
        <v>1.8</v>
      </c>
      <c r="G50" s="378">
        <f>+G49</f>
        <v>2</v>
      </c>
      <c r="H50" s="379">
        <f t="shared" si="1"/>
        <v>4176000</v>
      </c>
      <c r="I50" s="402"/>
      <c r="J50" s="403">
        <v>1000000</v>
      </c>
      <c r="N50" s="398"/>
      <c r="O50" s="380"/>
    </row>
    <row r="51" spans="1:15" hidden="1" x14ac:dyDescent="0.3">
      <c r="A51" s="698">
        <v>0</v>
      </c>
      <c r="B51" s="714"/>
      <c r="C51" s="410" t="s">
        <v>649</v>
      </c>
      <c r="D51" s="394">
        <v>0.3</v>
      </c>
      <c r="E51" s="376">
        <f>+E50</f>
        <v>1160000</v>
      </c>
      <c r="F51" s="377">
        <v>1.8</v>
      </c>
      <c r="G51" s="378">
        <f>+G50</f>
        <v>2</v>
      </c>
      <c r="H51" s="379">
        <f t="shared" si="1"/>
        <v>0</v>
      </c>
      <c r="I51" s="402"/>
      <c r="J51" s="403"/>
      <c r="O51" s="380"/>
    </row>
    <row r="52" spans="1:15" hidden="1" x14ac:dyDescent="0.3">
      <c r="A52" s="698">
        <v>0</v>
      </c>
      <c r="B52" s="709"/>
      <c r="C52" s="410" t="s">
        <v>650</v>
      </c>
      <c r="D52" s="394">
        <v>0</v>
      </c>
      <c r="E52" s="376">
        <f>+E53</f>
        <v>1200000</v>
      </c>
      <c r="F52" s="377">
        <v>1.8</v>
      </c>
      <c r="G52" s="378">
        <f>+G51</f>
        <v>2</v>
      </c>
      <c r="H52" s="379">
        <f t="shared" si="1"/>
        <v>0</v>
      </c>
      <c r="I52" s="402"/>
      <c r="J52" s="403">
        <v>2500000</v>
      </c>
      <c r="O52" s="380"/>
    </row>
    <row r="53" spans="1:15" hidden="1" x14ac:dyDescent="0.3">
      <c r="A53" s="698">
        <v>0</v>
      </c>
      <c r="B53" s="709"/>
      <c r="C53" s="410" t="s">
        <v>651</v>
      </c>
      <c r="D53" s="394">
        <v>0</v>
      </c>
      <c r="E53" s="376">
        <f>+E43</f>
        <v>1200000</v>
      </c>
      <c r="F53" s="377">
        <v>1.8</v>
      </c>
      <c r="G53" s="378">
        <f>+G52</f>
        <v>2</v>
      </c>
      <c r="H53" s="379">
        <f t="shared" si="1"/>
        <v>0</v>
      </c>
      <c r="I53" s="402"/>
      <c r="J53" s="403"/>
      <c r="O53" s="380"/>
    </row>
    <row r="54" spans="1:15" hidden="1" x14ac:dyDescent="0.3">
      <c r="A54" s="698">
        <v>0</v>
      </c>
      <c r="B54" s="709"/>
      <c r="C54" s="410" t="s">
        <v>652</v>
      </c>
      <c r="D54" s="394"/>
      <c r="E54" s="376">
        <v>965583.3</v>
      </c>
      <c r="F54" s="377">
        <v>1.85</v>
      </c>
      <c r="G54" s="378">
        <v>11</v>
      </c>
      <c r="H54" s="379">
        <f t="shared" si="1"/>
        <v>0</v>
      </c>
      <c r="I54" s="402"/>
      <c r="J54" s="403"/>
      <c r="O54" s="380"/>
    </row>
    <row r="55" spans="1:15" s="406" customFormat="1" hidden="1" x14ac:dyDescent="0.3">
      <c r="A55" s="698"/>
      <c r="B55" s="714"/>
      <c r="C55" s="399" t="s">
        <v>653</v>
      </c>
      <c r="D55" s="394">
        <v>1</v>
      </c>
      <c r="E55" s="376">
        <f>+E52</f>
        <v>1200000</v>
      </c>
      <c r="F55" s="377">
        <v>1.69</v>
      </c>
      <c r="G55" s="378">
        <f>+G53</f>
        <v>2</v>
      </c>
      <c r="H55" s="379">
        <f t="shared" si="1"/>
        <v>0</v>
      </c>
      <c r="I55" s="404"/>
      <c r="J55" s="405"/>
      <c r="N55" s="407"/>
      <c r="O55" s="408"/>
    </row>
    <row r="56" spans="1:15" x14ac:dyDescent="0.3">
      <c r="A56" s="722" t="s">
        <v>654</v>
      </c>
      <c r="B56" s="723"/>
      <c r="C56" s="723"/>
      <c r="D56" s="723"/>
      <c r="E56" s="723"/>
      <c r="F56" s="723"/>
      <c r="G56" s="723"/>
      <c r="H56" s="411">
        <f>SUM(H14:H55)</f>
        <v>25450560</v>
      </c>
      <c r="I56" s="380"/>
      <c r="N56" s="398"/>
    </row>
    <row r="57" spans="1:15" x14ac:dyDescent="0.3">
      <c r="A57" s="341"/>
      <c r="B57" s="342"/>
      <c r="C57" s="342"/>
      <c r="D57" s="342"/>
      <c r="E57" s="412"/>
      <c r="F57" s="346"/>
      <c r="G57" s="342"/>
      <c r="H57" s="347"/>
      <c r="I57" s="413"/>
    </row>
    <row r="58" spans="1:15" s="362" customFormat="1" hidden="1" x14ac:dyDescent="0.3">
      <c r="A58" s="368" t="s">
        <v>655</v>
      </c>
      <c r="B58" s="369"/>
      <c r="C58" s="369"/>
      <c r="D58" s="369"/>
      <c r="E58" s="369"/>
      <c r="F58" s="400"/>
      <c r="G58" s="369"/>
      <c r="H58" s="401"/>
      <c r="I58" s="333"/>
      <c r="N58" s="364"/>
    </row>
    <row r="59" spans="1:15" s="362" customFormat="1" hidden="1" x14ac:dyDescent="0.3">
      <c r="A59" s="414" t="s">
        <v>656</v>
      </c>
      <c r="B59" s="415"/>
      <c r="C59" s="415"/>
      <c r="D59" s="415"/>
      <c r="E59" s="415"/>
      <c r="F59" s="416"/>
      <c r="G59" s="415"/>
      <c r="H59" s="417"/>
      <c r="I59" s="333"/>
      <c r="N59" s="364"/>
    </row>
    <row r="60" spans="1:15" s="418" customFormat="1" hidden="1" x14ac:dyDescent="0.3">
      <c r="A60" s="695" t="s">
        <v>657</v>
      </c>
      <c r="B60" s="720"/>
      <c r="C60" s="721"/>
      <c r="D60" s="359" t="s">
        <v>658</v>
      </c>
      <c r="E60" s="359" t="s">
        <v>659</v>
      </c>
      <c r="F60" s="367" t="s">
        <v>660</v>
      </c>
      <c r="G60" s="359" t="s">
        <v>661</v>
      </c>
      <c r="H60" s="361" t="s">
        <v>662</v>
      </c>
      <c r="N60" s="419"/>
    </row>
    <row r="61" spans="1:15" ht="17.25" hidden="1" customHeight="1" x14ac:dyDescent="0.3">
      <c r="A61" s="717" t="s">
        <v>663</v>
      </c>
      <c r="B61" s="718"/>
      <c r="C61" s="719"/>
      <c r="D61" s="420">
        <v>0</v>
      </c>
      <c r="E61" s="421">
        <v>25000</v>
      </c>
      <c r="F61" s="422">
        <f>+D61*E61</f>
        <v>0</v>
      </c>
      <c r="G61" s="423">
        <f>+G53</f>
        <v>2</v>
      </c>
      <c r="H61" s="424">
        <f>+F61*G61</f>
        <v>0</v>
      </c>
      <c r="I61" s="395"/>
      <c r="J61" s="333">
        <v>1500</v>
      </c>
      <c r="N61" s="425"/>
    </row>
    <row r="62" spans="1:15" ht="17.25" hidden="1" customHeight="1" x14ac:dyDescent="0.3">
      <c r="A62" s="717" t="s">
        <v>664</v>
      </c>
      <c r="B62" s="718"/>
      <c r="C62" s="719"/>
      <c r="D62" s="420">
        <v>0</v>
      </c>
      <c r="E62" s="421">
        <v>30000</v>
      </c>
      <c r="F62" s="422">
        <f>+D62*E62</f>
        <v>0</v>
      </c>
      <c r="G62" s="423">
        <f>+G61</f>
        <v>2</v>
      </c>
      <c r="H62" s="424">
        <f>+F62*G62</f>
        <v>0</v>
      </c>
      <c r="I62" s="395"/>
      <c r="N62" s="349"/>
    </row>
    <row r="63" spans="1:15" s="362" customFormat="1" x14ac:dyDescent="0.3">
      <c r="A63" s="414" t="s">
        <v>665</v>
      </c>
      <c r="B63" s="415"/>
      <c r="C63" s="415"/>
      <c r="D63" s="415"/>
      <c r="E63" s="415"/>
      <c r="F63" s="416"/>
      <c r="G63" s="415"/>
      <c r="H63" s="417"/>
      <c r="I63" s="333"/>
      <c r="N63" s="426"/>
    </row>
    <row r="64" spans="1:15" s="427" customFormat="1" ht="28.5" customHeight="1" x14ac:dyDescent="0.3">
      <c r="A64" s="695" t="s">
        <v>657</v>
      </c>
      <c r="B64" s="720"/>
      <c r="C64" s="721"/>
      <c r="D64" s="359" t="s">
        <v>19</v>
      </c>
      <c r="E64" s="359" t="s">
        <v>660</v>
      </c>
      <c r="F64" s="367" t="s">
        <v>666</v>
      </c>
      <c r="G64" s="359" t="s">
        <v>661</v>
      </c>
      <c r="H64" s="361" t="s">
        <v>662</v>
      </c>
      <c r="N64" s="428"/>
    </row>
    <row r="65" spans="1:15" x14ac:dyDescent="0.3">
      <c r="A65" s="717" t="s">
        <v>667</v>
      </c>
      <c r="B65" s="718"/>
      <c r="C65" s="719"/>
      <c r="D65" s="429">
        <v>1</v>
      </c>
      <c r="E65" s="430">
        <v>400000</v>
      </c>
      <c r="F65" s="431">
        <v>1</v>
      </c>
      <c r="G65" s="423">
        <f>+G62</f>
        <v>2</v>
      </c>
      <c r="H65" s="432">
        <f>+E65*F65*G65</f>
        <v>800000</v>
      </c>
      <c r="I65" s="395">
        <v>8607155</v>
      </c>
      <c r="J65" s="333">
        <v>500000</v>
      </c>
      <c r="N65" s="335">
        <v>11681000</v>
      </c>
      <c r="O65" s="433">
        <v>-413500</v>
      </c>
    </row>
    <row r="66" spans="1:15" ht="14.1" customHeight="1" x14ac:dyDescent="0.3">
      <c r="A66" s="717" t="s">
        <v>668</v>
      </c>
      <c r="B66" s="718"/>
      <c r="C66" s="719"/>
      <c r="D66" s="429">
        <v>1</v>
      </c>
      <c r="E66" s="430">
        <v>150000</v>
      </c>
      <c r="F66" s="431">
        <v>1</v>
      </c>
      <c r="G66" s="423">
        <f>+G65</f>
        <v>2</v>
      </c>
      <c r="H66" s="432">
        <f t="shared" ref="H66:H73" si="2">+E66*F66*G66</f>
        <v>300000</v>
      </c>
      <c r="I66" s="395"/>
      <c r="J66" s="333">
        <v>500000</v>
      </c>
    </row>
    <row r="67" spans="1:15" ht="14.1" customHeight="1" x14ac:dyDescent="0.3">
      <c r="A67" s="717" t="s">
        <v>669</v>
      </c>
      <c r="B67" s="718"/>
      <c r="C67" s="719"/>
      <c r="D67" s="429">
        <v>1</v>
      </c>
      <c r="E67" s="430">
        <v>50000</v>
      </c>
      <c r="F67" s="431">
        <v>1</v>
      </c>
      <c r="G67" s="423">
        <f t="shared" ref="G67:G73" si="3">+G66</f>
        <v>2</v>
      </c>
      <c r="H67" s="432">
        <f t="shared" si="2"/>
        <v>100000</v>
      </c>
      <c r="I67" s="395"/>
      <c r="J67" s="333">
        <v>500000</v>
      </c>
    </row>
    <row r="68" spans="1:15" ht="14.1" customHeight="1" x14ac:dyDescent="0.3">
      <c r="A68" s="717" t="s">
        <v>670</v>
      </c>
      <c r="B68" s="718"/>
      <c r="C68" s="719"/>
      <c r="D68" s="429">
        <v>1</v>
      </c>
      <c r="E68" s="430">
        <v>150000</v>
      </c>
      <c r="F68" s="431">
        <v>1</v>
      </c>
      <c r="G68" s="423">
        <f t="shared" si="3"/>
        <v>2</v>
      </c>
      <c r="H68" s="432">
        <f t="shared" si="2"/>
        <v>300000</v>
      </c>
      <c r="I68" s="395"/>
      <c r="J68" s="333">
        <v>500000</v>
      </c>
    </row>
    <row r="69" spans="1:15" x14ac:dyDescent="0.3">
      <c r="A69" s="717" t="s">
        <v>671</v>
      </c>
      <c r="B69" s="718"/>
      <c r="C69" s="719"/>
      <c r="D69" s="429">
        <v>1</v>
      </c>
      <c r="E69" s="430">
        <v>100000</v>
      </c>
      <c r="F69" s="431">
        <v>1</v>
      </c>
      <c r="G69" s="423">
        <f t="shared" si="3"/>
        <v>2</v>
      </c>
      <c r="H69" s="432">
        <f t="shared" si="2"/>
        <v>200000</v>
      </c>
      <c r="I69" s="395"/>
      <c r="J69" s="333">
        <v>500000</v>
      </c>
      <c r="N69" s="335">
        <v>14157085</v>
      </c>
    </row>
    <row r="70" spans="1:15" x14ac:dyDescent="0.3">
      <c r="A70" s="735" t="s">
        <v>672</v>
      </c>
      <c r="B70" s="736"/>
      <c r="C70" s="737"/>
      <c r="D70" s="434">
        <v>1</v>
      </c>
      <c r="E70" s="435">
        <v>422685.18722197332</v>
      </c>
      <c r="F70" s="436">
        <v>1</v>
      </c>
      <c r="G70" s="423">
        <f t="shared" si="3"/>
        <v>2</v>
      </c>
      <c r="H70" s="432">
        <f>+E70*F70*G70</f>
        <v>845370.37444394664</v>
      </c>
      <c r="I70" s="395"/>
      <c r="J70" s="333">
        <v>500000</v>
      </c>
      <c r="N70" s="437">
        <v>2062585</v>
      </c>
    </row>
    <row r="71" spans="1:15" ht="13.5" customHeight="1" x14ac:dyDescent="0.3">
      <c r="A71" s="717" t="s">
        <v>673</v>
      </c>
      <c r="B71" s="718"/>
      <c r="C71" s="719"/>
      <c r="D71" s="429">
        <v>1</v>
      </c>
      <c r="E71" s="430">
        <v>200000</v>
      </c>
      <c r="F71" s="431">
        <v>1</v>
      </c>
      <c r="G71" s="423">
        <f t="shared" si="3"/>
        <v>2</v>
      </c>
      <c r="H71" s="432">
        <f t="shared" si="2"/>
        <v>400000</v>
      </c>
      <c r="I71" s="395"/>
      <c r="J71" s="333">
        <v>500000</v>
      </c>
      <c r="N71" s="438"/>
    </row>
    <row r="72" spans="1:15" ht="13.5" customHeight="1" x14ac:dyDescent="0.3">
      <c r="A72" s="717" t="s">
        <v>674</v>
      </c>
      <c r="B72" s="718"/>
      <c r="C72" s="719"/>
      <c r="D72" s="429">
        <v>1</v>
      </c>
      <c r="E72" s="430">
        <v>1000000</v>
      </c>
      <c r="F72" s="431">
        <v>1</v>
      </c>
      <c r="G72" s="423">
        <f t="shared" si="3"/>
        <v>2</v>
      </c>
      <c r="H72" s="432">
        <f t="shared" si="2"/>
        <v>2000000</v>
      </c>
      <c r="I72" s="395"/>
      <c r="N72" s="438"/>
    </row>
    <row r="73" spans="1:15" ht="14.1" customHeight="1" x14ac:dyDescent="0.3">
      <c r="A73" s="724" t="s">
        <v>675</v>
      </c>
      <c r="B73" s="725"/>
      <c r="C73" s="725"/>
      <c r="D73" s="439">
        <v>1</v>
      </c>
      <c r="E73" s="440">
        <v>2000000</v>
      </c>
      <c r="F73" s="441">
        <f>+D43</f>
        <v>0.25</v>
      </c>
      <c r="G73" s="423">
        <f t="shared" si="3"/>
        <v>2</v>
      </c>
      <c r="H73" s="432">
        <f t="shared" si="2"/>
        <v>1000000</v>
      </c>
      <c r="I73" s="395"/>
    </row>
    <row r="74" spans="1:15" s="388" customFormat="1" ht="14.1" hidden="1" customHeight="1" x14ac:dyDescent="0.3">
      <c r="A74" s="724"/>
      <c r="B74" s="725"/>
      <c r="C74" s="725"/>
      <c r="D74" s="439"/>
      <c r="E74" s="440"/>
      <c r="F74" s="441"/>
      <c r="G74" s="442"/>
      <c r="H74" s="432"/>
      <c r="I74" s="387"/>
      <c r="N74" s="393"/>
    </row>
    <row r="75" spans="1:15" ht="14.1" hidden="1" customHeight="1" x14ac:dyDescent="0.3">
      <c r="A75" s="443"/>
      <c r="B75" s="444"/>
      <c r="C75" s="444"/>
      <c r="D75" s="439"/>
      <c r="E75" s="440"/>
      <c r="F75" s="441"/>
      <c r="G75" s="445"/>
      <c r="H75" s="432"/>
      <c r="I75" s="395"/>
    </row>
    <row r="76" spans="1:15" ht="14.1" hidden="1" customHeight="1" x14ac:dyDescent="0.3">
      <c r="A76" s="443"/>
      <c r="B76" s="444"/>
      <c r="C76" s="444"/>
      <c r="D76" s="439"/>
      <c r="E76" s="440"/>
      <c r="F76" s="441"/>
      <c r="G76" s="445"/>
      <c r="H76" s="432"/>
      <c r="I76" s="395"/>
    </row>
    <row r="77" spans="1:15" ht="21" customHeight="1" x14ac:dyDescent="0.3">
      <c r="A77" s="726" t="s">
        <v>676</v>
      </c>
      <c r="B77" s="727"/>
      <c r="C77" s="727"/>
      <c r="D77" s="727"/>
      <c r="E77" s="727"/>
      <c r="F77" s="727"/>
      <c r="G77" s="728"/>
      <c r="H77" s="446">
        <f>SUM(H61:H73)</f>
        <v>5945370.3744439464</v>
      </c>
    </row>
    <row r="78" spans="1:15" ht="13.5" customHeight="1" x14ac:dyDescent="0.3">
      <c r="A78" s="447"/>
      <c r="B78" s="448"/>
      <c r="C78" s="448"/>
      <c r="D78" s="448"/>
      <c r="E78" s="448"/>
      <c r="F78" s="449"/>
      <c r="G78" s="448"/>
      <c r="H78" s="450"/>
    </row>
    <row r="79" spans="1:15" ht="13.5" customHeight="1" x14ac:dyDescent="0.3">
      <c r="A79" s="451" t="s">
        <v>677</v>
      </c>
      <c r="B79" s="452"/>
      <c r="C79" s="453"/>
      <c r="D79" s="453"/>
      <c r="E79" s="453"/>
      <c r="F79" s="454"/>
      <c r="G79" s="455"/>
      <c r="H79" s="456">
        <f>+H77+H56</f>
        <v>31395930.374443948</v>
      </c>
    </row>
    <row r="80" spans="1:15" ht="13.5" customHeight="1" x14ac:dyDescent="0.3">
      <c r="A80" s="451" t="s">
        <v>678</v>
      </c>
      <c r="B80" s="452"/>
      <c r="C80" s="453"/>
      <c r="D80" s="453"/>
      <c r="E80" s="453"/>
      <c r="F80" s="454"/>
      <c r="G80" s="455"/>
      <c r="H80" s="457">
        <f>H79/D7</f>
        <v>4.4957517091868855E-2</v>
      </c>
      <c r="I80" s="458">
        <v>7.6999999999999999E-2</v>
      </c>
    </row>
    <row r="81" spans="1:14" ht="10.5" customHeight="1" x14ac:dyDescent="0.3">
      <c r="A81" s="447"/>
      <c r="B81" s="448"/>
      <c r="C81" s="448"/>
      <c r="D81" s="448"/>
      <c r="E81" s="448"/>
      <c r="F81" s="449"/>
      <c r="G81" s="448"/>
      <c r="H81" s="459"/>
      <c r="I81" s="460"/>
    </row>
    <row r="82" spans="1:14" ht="18.75" customHeight="1" x14ac:dyDescent="0.3">
      <c r="A82" s="692" t="s">
        <v>679</v>
      </c>
      <c r="B82" s="693"/>
      <c r="C82" s="693"/>
      <c r="D82" s="693"/>
      <c r="E82" s="693"/>
      <c r="F82" s="693"/>
      <c r="G82" s="693"/>
      <c r="H82" s="694"/>
    </row>
    <row r="83" spans="1:14" s="427" customFormat="1" ht="14.25" customHeight="1" x14ac:dyDescent="0.3">
      <c r="A83" s="729" t="s">
        <v>680</v>
      </c>
      <c r="B83" s="730"/>
      <c r="C83" s="730"/>
      <c r="D83" s="730"/>
      <c r="E83" s="730"/>
      <c r="F83" s="730"/>
      <c r="G83" s="730"/>
      <c r="H83" s="731"/>
      <c r="N83" s="428"/>
    </row>
    <row r="84" spans="1:14" s="427" customFormat="1" ht="12" customHeight="1" x14ac:dyDescent="0.3">
      <c r="A84" s="732" t="s">
        <v>4</v>
      </c>
      <c r="B84" s="733"/>
      <c r="C84" s="733"/>
      <c r="D84" s="733"/>
      <c r="E84" s="733"/>
      <c r="F84" s="461" t="s">
        <v>681</v>
      </c>
      <c r="G84" s="462" t="s">
        <v>682</v>
      </c>
      <c r="H84" s="463" t="s">
        <v>662</v>
      </c>
      <c r="N84" s="428"/>
    </row>
    <row r="85" spans="1:14" x14ac:dyDescent="0.3">
      <c r="A85" s="724" t="s">
        <v>683</v>
      </c>
      <c r="B85" s="725"/>
      <c r="C85" s="734"/>
      <c r="D85" s="410"/>
      <c r="E85" s="410"/>
      <c r="F85" s="464">
        <v>919274286</v>
      </c>
      <c r="G85" s="465">
        <v>0.01</v>
      </c>
      <c r="H85" s="466">
        <f>+F85*G85</f>
        <v>9192742.8599999994</v>
      </c>
      <c r="I85" s="467"/>
      <c r="K85" s="468"/>
      <c r="L85" s="468"/>
      <c r="M85" s="468"/>
    </row>
    <row r="86" spans="1:14" ht="17.25" customHeight="1" x14ac:dyDescent="0.3">
      <c r="A86" s="724" t="s">
        <v>684</v>
      </c>
      <c r="B86" s="725"/>
      <c r="C86" s="734"/>
      <c r="D86" s="410"/>
      <c r="E86" s="410"/>
      <c r="F86" s="464">
        <f>+F85</f>
        <v>919274286</v>
      </c>
      <c r="G86" s="465">
        <v>0.02</v>
      </c>
      <c r="H86" s="466">
        <f t="shared" ref="H86:H94" si="4">+F86*G86</f>
        <v>18385485.719999999</v>
      </c>
      <c r="I86" s="467"/>
      <c r="K86" s="468"/>
      <c r="L86" s="468"/>
      <c r="M86" s="468"/>
    </row>
    <row r="87" spans="1:14" ht="17.25" customHeight="1" x14ac:dyDescent="0.3">
      <c r="A87" s="724" t="s">
        <v>685</v>
      </c>
      <c r="B87" s="725"/>
      <c r="C87" s="734"/>
      <c r="D87" s="410"/>
      <c r="E87" s="410"/>
      <c r="F87" s="464">
        <f>+F86</f>
        <v>919274286</v>
      </c>
      <c r="G87" s="465">
        <v>6.0000000000000001E-3</v>
      </c>
      <c r="H87" s="466">
        <f t="shared" si="4"/>
        <v>5515645.716</v>
      </c>
      <c r="I87" s="467"/>
      <c r="K87" s="468"/>
      <c r="L87" s="468"/>
      <c r="M87" s="468"/>
    </row>
    <row r="88" spans="1:14" ht="17.25" customHeight="1" x14ac:dyDescent="0.3">
      <c r="A88" s="724" t="s">
        <v>686</v>
      </c>
      <c r="B88" s="725"/>
      <c r="C88" s="734"/>
      <c r="D88" s="410"/>
      <c r="E88" s="410"/>
      <c r="F88" s="464">
        <f>+F87</f>
        <v>919274286</v>
      </c>
      <c r="G88" s="465">
        <v>4.0000000000000001E-3</v>
      </c>
      <c r="H88" s="466">
        <f t="shared" si="4"/>
        <v>3677097.1439999999</v>
      </c>
      <c r="I88" s="467"/>
      <c r="K88" s="468"/>
      <c r="L88" s="468"/>
      <c r="M88" s="468"/>
    </row>
    <row r="89" spans="1:14" ht="17.25" customHeight="1" x14ac:dyDescent="0.3">
      <c r="A89" s="724" t="s">
        <v>687</v>
      </c>
      <c r="B89" s="725"/>
      <c r="C89" s="734"/>
      <c r="D89" s="410"/>
      <c r="E89" s="410"/>
      <c r="F89" s="464">
        <f t="shared" ref="F89:F94" si="5">+F88</f>
        <v>919274286</v>
      </c>
      <c r="G89" s="465">
        <v>0.01</v>
      </c>
      <c r="H89" s="466">
        <f t="shared" si="4"/>
        <v>9192742.8599999994</v>
      </c>
      <c r="I89" s="467"/>
      <c r="K89" s="468"/>
      <c r="L89" s="468"/>
      <c r="M89" s="468"/>
    </row>
    <row r="90" spans="1:14" ht="17.25" customHeight="1" x14ac:dyDescent="0.3">
      <c r="A90" s="724" t="s">
        <v>688</v>
      </c>
      <c r="B90" s="725"/>
      <c r="C90" s="734"/>
      <c r="D90" s="410"/>
      <c r="E90" s="410"/>
      <c r="F90" s="464">
        <f t="shared" si="5"/>
        <v>919274286</v>
      </c>
      <c r="G90" s="465">
        <v>0.01</v>
      </c>
      <c r="H90" s="466">
        <f t="shared" si="4"/>
        <v>9192742.8599999994</v>
      </c>
      <c r="I90" s="467"/>
      <c r="K90" s="468"/>
      <c r="L90" s="468"/>
      <c r="M90" s="468"/>
    </row>
    <row r="91" spans="1:14" ht="17.25" customHeight="1" x14ac:dyDescent="0.3">
      <c r="A91" s="724" t="s">
        <v>689</v>
      </c>
      <c r="B91" s="725"/>
      <c r="C91" s="734"/>
      <c r="D91" s="410"/>
      <c r="E91" s="410"/>
      <c r="F91" s="464">
        <f t="shared" si="5"/>
        <v>919274286</v>
      </c>
      <c r="G91" s="465">
        <v>4.0000000000000001E-3</v>
      </c>
      <c r="H91" s="466">
        <f t="shared" si="4"/>
        <v>3677097.1439999999</v>
      </c>
      <c r="I91" s="467"/>
      <c r="K91" s="468"/>
      <c r="L91" s="468"/>
      <c r="M91" s="468"/>
    </row>
    <row r="92" spans="1:14" ht="17.25" customHeight="1" x14ac:dyDescent="0.3">
      <c r="A92" s="724" t="s">
        <v>690</v>
      </c>
      <c r="B92" s="725"/>
      <c r="C92" s="734"/>
      <c r="D92" s="410"/>
      <c r="E92" s="410"/>
      <c r="F92" s="464">
        <f t="shared" si="5"/>
        <v>919274286</v>
      </c>
      <c r="G92" s="465">
        <f>+G91</f>
        <v>4.0000000000000001E-3</v>
      </c>
      <c r="H92" s="466">
        <f t="shared" si="4"/>
        <v>3677097.1439999999</v>
      </c>
      <c r="I92" s="467"/>
      <c r="K92" s="468"/>
      <c r="L92" s="468"/>
      <c r="M92" s="468"/>
    </row>
    <row r="93" spans="1:14" ht="17.25" customHeight="1" x14ac:dyDescent="0.3">
      <c r="A93" s="724" t="s">
        <v>691</v>
      </c>
      <c r="B93" s="725"/>
      <c r="C93" s="734"/>
      <c r="D93" s="410"/>
      <c r="E93" s="410"/>
      <c r="F93" s="464">
        <f t="shared" si="5"/>
        <v>919274286</v>
      </c>
      <c r="G93" s="465">
        <v>0.05</v>
      </c>
      <c r="H93" s="466">
        <f t="shared" si="4"/>
        <v>45963714.300000004</v>
      </c>
      <c r="I93" s="467"/>
      <c r="K93" s="468"/>
      <c r="L93" s="468"/>
      <c r="M93" s="468"/>
    </row>
    <row r="94" spans="1:14" ht="17.25" customHeight="1" x14ac:dyDescent="0.3">
      <c r="A94" s="724" t="s">
        <v>692</v>
      </c>
      <c r="B94" s="725"/>
      <c r="C94" s="734"/>
      <c r="D94" s="410"/>
      <c r="E94" s="410"/>
      <c r="F94" s="464">
        <f t="shared" si="5"/>
        <v>919274286</v>
      </c>
      <c r="G94" s="465">
        <v>0.02</v>
      </c>
      <c r="H94" s="466">
        <f t="shared" si="4"/>
        <v>18385485.719999999</v>
      </c>
      <c r="I94" s="467"/>
      <c r="K94" s="468"/>
      <c r="L94" s="468"/>
      <c r="M94" s="468"/>
    </row>
    <row r="95" spans="1:14" ht="17.25" customHeight="1" x14ac:dyDescent="0.3">
      <c r="A95" s="724"/>
      <c r="B95" s="725"/>
      <c r="C95" s="734"/>
      <c r="D95" s="410"/>
      <c r="E95" s="410"/>
      <c r="F95" s="464"/>
      <c r="G95" s="469"/>
      <c r="H95" s="466"/>
      <c r="I95" s="467"/>
      <c r="K95" s="468"/>
      <c r="L95" s="468"/>
      <c r="M95" s="468"/>
    </row>
    <row r="96" spans="1:14" ht="16.5" customHeight="1" x14ac:dyDescent="0.3">
      <c r="A96" s="738" t="s">
        <v>693</v>
      </c>
      <c r="B96" s="739"/>
      <c r="C96" s="739"/>
      <c r="D96" s="739"/>
      <c r="E96" s="739"/>
      <c r="F96" s="739"/>
      <c r="G96" s="739"/>
      <c r="H96" s="411">
        <f>SUM(H85:H95)</f>
        <v>126859851.46799999</v>
      </c>
      <c r="I96" s="470"/>
      <c r="J96" s="468"/>
      <c r="K96" s="468"/>
      <c r="L96" s="468"/>
      <c r="M96" s="468"/>
    </row>
    <row r="97" spans="1:20" ht="16.5" customHeight="1" x14ac:dyDescent="0.3">
      <c r="A97" s="740" t="s">
        <v>694</v>
      </c>
      <c r="B97" s="741"/>
      <c r="C97" s="741"/>
      <c r="D97" s="741"/>
      <c r="E97" s="741"/>
      <c r="F97" s="741"/>
      <c r="G97" s="741"/>
      <c r="H97" s="742"/>
    </row>
    <row r="98" spans="1:20" s="353" customFormat="1" x14ac:dyDescent="0.3">
      <c r="A98" s="743" t="s">
        <v>4</v>
      </c>
      <c r="B98" s="744"/>
      <c r="C98" s="744"/>
      <c r="D98" s="471" t="s">
        <v>681</v>
      </c>
      <c r="E98" s="471" t="s">
        <v>695</v>
      </c>
      <c r="F98" s="367" t="s">
        <v>696</v>
      </c>
      <c r="G98" s="359"/>
      <c r="H98" s="463" t="s">
        <v>697</v>
      </c>
      <c r="N98" s="335"/>
      <c r="O98" s="353">
        <v>31134588044</v>
      </c>
    </row>
    <row r="99" spans="1:20" x14ac:dyDescent="0.3">
      <c r="A99" s="745" t="s">
        <v>698</v>
      </c>
      <c r="B99" s="748" t="s">
        <v>699</v>
      </c>
      <c r="C99" s="749"/>
      <c r="D99" s="472">
        <f>+F85</f>
        <v>919274286</v>
      </c>
      <c r="E99" s="473">
        <v>0.1</v>
      </c>
      <c r="F99" s="474">
        <f>+D99*E99</f>
        <v>91927428.600000009</v>
      </c>
      <c r="G99" s="475">
        <v>5.4246576110567144E-4</v>
      </c>
      <c r="H99" s="476">
        <f>+D99*G99</f>
        <v>498674.82521986269</v>
      </c>
      <c r="I99" s="477">
        <v>18757055.560318258</v>
      </c>
      <c r="J99" s="380"/>
    </row>
    <row r="100" spans="1:20" x14ac:dyDescent="0.3">
      <c r="A100" s="746"/>
      <c r="B100" s="748" t="s">
        <v>700</v>
      </c>
      <c r="C100" s="749"/>
      <c r="D100" s="472">
        <f>+D99</f>
        <v>919274286</v>
      </c>
      <c r="E100" s="473">
        <v>0.1</v>
      </c>
      <c r="F100" s="474">
        <f t="shared" ref="F100:F105" si="6">+D100*E100</f>
        <v>91927428.600000009</v>
      </c>
      <c r="G100" s="475">
        <v>1.44246575341005E-3</v>
      </c>
      <c r="H100" s="476">
        <f t="shared" ref="H100:H101" si="7">+D100*G100</f>
        <v>1326021.6755454759</v>
      </c>
      <c r="I100" s="477">
        <v>49876715.215023682</v>
      </c>
    </row>
    <row r="101" spans="1:20" ht="18" customHeight="1" x14ac:dyDescent="0.3">
      <c r="A101" s="746"/>
      <c r="B101" s="748" t="s">
        <v>701</v>
      </c>
      <c r="C101" s="749"/>
      <c r="D101" s="472">
        <f>+D100</f>
        <v>919274286</v>
      </c>
      <c r="E101" s="473">
        <v>0.1</v>
      </c>
      <c r="F101" s="474">
        <f t="shared" si="6"/>
        <v>91927428.600000009</v>
      </c>
      <c r="G101" s="475">
        <v>1.4999999978801712E-3</v>
      </c>
      <c r="H101" s="476">
        <f t="shared" si="7"/>
        <v>1378911.427051296</v>
      </c>
      <c r="I101" s="477">
        <v>51866099.79470183</v>
      </c>
    </row>
    <row r="102" spans="1:20" ht="28.5" customHeight="1" x14ac:dyDescent="0.3">
      <c r="A102" s="746"/>
      <c r="B102" s="750" t="s">
        <v>702</v>
      </c>
      <c r="C102" s="751"/>
      <c r="D102" s="472"/>
      <c r="E102" s="473"/>
      <c r="F102" s="474">
        <f t="shared" si="6"/>
        <v>0</v>
      </c>
      <c r="G102" s="465"/>
      <c r="H102" s="476">
        <v>7000</v>
      </c>
      <c r="I102" s="477">
        <v>7000</v>
      </c>
    </row>
    <row r="103" spans="1:20" ht="30.75" customHeight="1" x14ac:dyDescent="0.3">
      <c r="A103" s="746"/>
      <c r="B103" s="750" t="s">
        <v>703</v>
      </c>
      <c r="C103" s="751"/>
      <c r="D103" s="472">
        <f>SUM(H99:H102)</f>
        <v>3210607.9278166345</v>
      </c>
      <c r="E103" s="473"/>
      <c r="F103" s="474">
        <f t="shared" si="6"/>
        <v>0</v>
      </c>
      <c r="G103" s="475">
        <v>0.19</v>
      </c>
      <c r="H103" s="476">
        <f>+D103*G103</f>
        <v>610015.50628516055</v>
      </c>
      <c r="I103" s="477">
        <v>22896305.408308316</v>
      </c>
    </row>
    <row r="104" spans="1:20" ht="18" customHeight="1" x14ac:dyDescent="0.3">
      <c r="A104" s="746"/>
      <c r="B104" s="748" t="s">
        <v>704</v>
      </c>
      <c r="C104" s="749"/>
      <c r="D104" s="472">
        <f>+D101</f>
        <v>919274286</v>
      </c>
      <c r="E104" s="473">
        <v>0.05</v>
      </c>
      <c r="F104" s="474">
        <f t="shared" si="6"/>
        <v>45963714.300000004</v>
      </c>
      <c r="G104" s="475">
        <v>2.7123288055283572E-4</v>
      </c>
      <c r="H104" s="476">
        <f t="shared" ref="H104" si="8">+D104*G104</f>
        <v>249337.41260993134</v>
      </c>
      <c r="I104" s="477">
        <v>9378527.7801591288</v>
      </c>
    </row>
    <row r="105" spans="1:20" ht="18" customHeight="1" x14ac:dyDescent="0.3">
      <c r="A105" s="746"/>
      <c r="B105" s="750" t="s">
        <v>705</v>
      </c>
      <c r="C105" s="751"/>
      <c r="D105" s="472"/>
      <c r="E105" s="473"/>
      <c r="F105" s="474">
        <f t="shared" si="6"/>
        <v>0</v>
      </c>
      <c r="G105" s="465"/>
      <c r="H105" s="476">
        <v>7000</v>
      </c>
      <c r="I105" s="477">
        <v>7000</v>
      </c>
    </row>
    <row r="106" spans="1:20" ht="18" customHeight="1" x14ac:dyDescent="0.3">
      <c r="A106" s="747"/>
      <c r="B106" s="750" t="s">
        <v>706</v>
      </c>
      <c r="C106" s="751"/>
      <c r="D106" s="472">
        <f>SUM(H104:H105)</f>
        <v>256337.41260993134</v>
      </c>
      <c r="E106" s="473"/>
      <c r="F106" s="474">
        <f>+D106*E106</f>
        <v>0</v>
      </c>
      <c r="G106" s="475">
        <v>0.19</v>
      </c>
      <c r="H106" s="476">
        <f>+D106*G106</f>
        <v>48704.108395886957</v>
      </c>
      <c r="I106" s="477">
        <v>1783250.2782302345</v>
      </c>
      <c r="N106" s="478"/>
      <c r="O106" s="334"/>
    </row>
    <row r="107" spans="1:20" x14ac:dyDescent="0.3">
      <c r="A107" s="754" t="s">
        <v>707</v>
      </c>
      <c r="B107" s="755"/>
      <c r="C107" s="755"/>
      <c r="D107" s="755"/>
      <c r="E107" s="755"/>
      <c r="F107" s="755"/>
      <c r="G107" s="755"/>
      <c r="H107" s="411">
        <f>SUM(H99:H106)</f>
        <v>4125664.9551076135</v>
      </c>
      <c r="I107" s="479">
        <v>154571954.03674144</v>
      </c>
    </row>
    <row r="108" spans="1:20" x14ac:dyDescent="0.3">
      <c r="A108" s="447"/>
      <c r="B108" s="448"/>
      <c r="C108" s="448"/>
      <c r="D108" s="480"/>
      <c r="E108" s="481"/>
      <c r="F108" s="482"/>
      <c r="G108" s="481"/>
      <c r="H108" s="483"/>
    </row>
    <row r="109" spans="1:20" x14ac:dyDescent="0.3">
      <c r="A109" s="451" t="s">
        <v>708</v>
      </c>
      <c r="B109" s="452"/>
      <c r="C109" s="453"/>
      <c r="D109" s="484"/>
      <c r="E109" s="485"/>
      <c r="F109" s="486"/>
      <c r="G109" s="487"/>
      <c r="H109" s="411">
        <f>+H107+H96</f>
        <v>130985516.42310761</v>
      </c>
      <c r="I109" s="413"/>
      <c r="N109" s="488"/>
    </row>
    <row r="110" spans="1:20" x14ac:dyDescent="0.3">
      <c r="A110" s="451" t="s">
        <v>709</v>
      </c>
      <c r="B110" s="452"/>
      <c r="C110" s="453"/>
      <c r="D110" s="484"/>
      <c r="E110" s="485"/>
      <c r="F110" s="489"/>
      <c r="G110" s="490"/>
      <c r="H110" s="457">
        <f>+H109/D7</f>
        <v>0.18756518832684618</v>
      </c>
      <c r="I110" s="491">
        <f>+H110+H80</f>
        <v>0.23252270541871503</v>
      </c>
      <c r="N110" s="492"/>
      <c r="O110" s="493"/>
    </row>
    <row r="111" spans="1:20" x14ac:dyDescent="0.3">
      <c r="A111" s="447"/>
      <c r="B111" s="448"/>
      <c r="C111" s="448"/>
      <c r="D111" s="480"/>
      <c r="E111" s="494"/>
      <c r="F111" s="482"/>
      <c r="G111" s="481"/>
      <c r="H111" s="495"/>
      <c r="I111" s="433"/>
      <c r="O111" s="493"/>
    </row>
    <row r="112" spans="1:20" ht="18" x14ac:dyDescent="0.3">
      <c r="A112" s="496" t="s">
        <v>710</v>
      </c>
      <c r="B112" s="497"/>
      <c r="C112" s="498"/>
      <c r="D112" s="499"/>
      <c r="E112" s="500"/>
      <c r="F112" s="501"/>
      <c r="G112" s="502"/>
      <c r="H112" s="503">
        <f>+H109+L112+H79</f>
        <v>174586657</v>
      </c>
      <c r="I112" s="504"/>
      <c r="J112" s="505"/>
      <c r="L112" s="333">
        <v>12205210.202448428</v>
      </c>
      <c r="O112" s="506"/>
      <c r="T112" s="507"/>
    </row>
    <row r="113" spans="1:15" x14ac:dyDescent="0.3">
      <c r="A113" s="496" t="s">
        <v>710</v>
      </c>
      <c r="B113" s="497"/>
      <c r="C113" s="498"/>
      <c r="D113" s="499"/>
      <c r="E113" s="500"/>
      <c r="F113" s="501"/>
      <c r="G113" s="502"/>
      <c r="H113" s="508">
        <f>+H112/D7</f>
        <v>0.25000000071597683</v>
      </c>
      <c r="I113" s="509"/>
      <c r="O113" s="493"/>
    </row>
    <row r="114" spans="1:15" hidden="1" x14ac:dyDescent="0.3">
      <c r="A114" s="510"/>
      <c r="B114" s="511"/>
      <c r="C114" s="511"/>
      <c r="D114" s="512"/>
      <c r="E114" s="513"/>
      <c r="F114" s="514"/>
      <c r="G114" s="515"/>
      <c r="H114" s="516"/>
      <c r="I114" s="433"/>
      <c r="N114" s="349"/>
    </row>
    <row r="115" spans="1:15" hidden="1" x14ac:dyDescent="0.3">
      <c r="A115" s="517" t="s">
        <v>711</v>
      </c>
      <c r="B115" s="518"/>
      <c r="C115" s="519"/>
      <c r="D115" s="520"/>
      <c r="E115" s="521"/>
      <c r="F115" s="522"/>
      <c r="G115" s="523"/>
      <c r="H115" s="524">
        <f>ROUND(+H116*$D$7,0)</f>
        <v>0</v>
      </c>
      <c r="I115" s="413"/>
      <c r="N115" s="509"/>
    </row>
    <row r="116" spans="1:15" hidden="1" x14ac:dyDescent="0.3">
      <c r="A116" s="517" t="s">
        <v>712</v>
      </c>
      <c r="B116" s="518"/>
      <c r="C116" s="519"/>
      <c r="D116" s="520"/>
      <c r="E116" s="521"/>
      <c r="F116" s="522"/>
      <c r="G116" s="523"/>
      <c r="H116" s="525">
        <v>0</v>
      </c>
      <c r="I116" s="413"/>
    </row>
    <row r="117" spans="1:15" x14ac:dyDescent="0.3">
      <c r="A117" s="510"/>
      <c r="B117" s="511"/>
      <c r="C117" s="511"/>
      <c r="D117" s="512"/>
      <c r="E117" s="513"/>
      <c r="F117" s="514"/>
      <c r="G117" s="515"/>
      <c r="H117" s="516"/>
      <c r="I117" s="433"/>
      <c r="N117" s="526"/>
    </row>
    <row r="118" spans="1:15" x14ac:dyDescent="0.3">
      <c r="A118" s="496" t="s">
        <v>713</v>
      </c>
      <c r="B118" s="497"/>
      <c r="C118" s="498"/>
      <c r="D118" s="499"/>
      <c r="E118" s="500"/>
      <c r="F118" s="501"/>
      <c r="G118" s="502"/>
      <c r="H118" s="527">
        <f>ROUND(+H119*$D$7,0)</f>
        <v>34917331</v>
      </c>
      <c r="I118" s="413"/>
      <c r="N118" s="335">
        <v>69265275.25</v>
      </c>
    </row>
    <row r="119" spans="1:15" x14ac:dyDescent="0.3">
      <c r="A119" s="496" t="s">
        <v>713</v>
      </c>
      <c r="B119" s="497"/>
      <c r="C119" s="498"/>
      <c r="D119" s="499"/>
      <c r="E119" s="500"/>
      <c r="F119" s="528"/>
      <c r="G119" s="529"/>
      <c r="H119" s="508">
        <v>0.05</v>
      </c>
      <c r="I119" s="491"/>
    </row>
    <row r="120" spans="1:15" ht="18" thickBot="1" x14ac:dyDescent="0.35">
      <c r="A120" s="510"/>
      <c r="B120" s="511"/>
      <c r="C120" s="511"/>
      <c r="D120" s="512"/>
      <c r="E120" s="513"/>
      <c r="F120" s="514"/>
      <c r="G120" s="515"/>
      <c r="H120" s="516"/>
      <c r="I120" s="433"/>
      <c r="N120" s="530"/>
    </row>
    <row r="121" spans="1:15" ht="21.6" thickTop="1" thickBot="1" x14ac:dyDescent="0.35">
      <c r="A121" s="510" t="s">
        <v>714</v>
      </c>
      <c r="B121" s="511"/>
      <c r="C121" s="511"/>
      <c r="D121" s="369"/>
      <c r="E121" s="369"/>
      <c r="F121" s="400"/>
      <c r="G121" s="531"/>
      <c r="H121" s="532">
        <f>+H118+H115+H112</f>
        <v>209503988</v>
      </c>
      <c r="I121" s="533"/>
      <c r="J121" s="468"/>
      <c r="K121" s="468"/>
      <c r="N121" s="349"/>
      <c r="O121" s="505"/>
    </row>
    <row r="122" spans="1:15" ht="28.8" thickTop="1" thickBot="1" x14ac:dyDescent="0.35">
      <c r="A122" s="510" t="s">
        <v>714</v>
      </c>
      <c r="B122" s="511"/>
      <c r="C122" s="511"/>
      <c r="D122" s="369"/>
      <c r="E122" s="369"/>
      <c r="F122" s="400"/>
      <c r="G122" s="531" t="s">
        <v>715</v>
      </c>
      <c r="H122" s="534">
        <f>+H113+H119</f>
        <v>0.30000000071597682</v>
      </c>
      <c r="I122" s="533"/>
      <c r="J122" s="535"/>
      <c r="K122" s="468"/>
      <c r="N122" s="509"/>
    </row>
    <row r="123" spans="1:15" ht="18" thickTop="1" x14ac:dyDescent="0.3">
      <c r="A123" s="510"/>
      <c r="B123" s="511"/>
      <c r="C123" s="511"/>
      <c r="D123" s="512"/>
      <c r="E123" s="513"/>
      <c r="F123" s="514"/>
      <c r="G123" s="515"/>
      <c r="H123" s="516"/>
      <c r="I123" s="433"/>
      <c r="N123" s="438"/>
      <c r="O123" s="493"/>
    </row>
    <row r="124" spans="1:15" ht="18" customHeight="1" x14ac:dyDescent="0.3">
      <c r="A124" s="536" t="s">
        <v>716</v>
      </c>
      <c r="B124" s="537"/>
      <c r="C124" s="537"/>
      <c r="D124" s="538"/>
      <c r="E124" s="539"/>
      <c r="F124" s="540"/>
      <c r="G124" s="541"/>
      <c r="H124" s="542"/>
      <c r="I124" s="433"/>
      <c r="N124" s="438"/>
    </row>
    <row r="125" spans="1:15" s="427" customFormat="1" ht="18.75" customHeight="1" x14ac:dyDescent="0.3">
      <c r="A125" s="743" t="s">
        <v>4</v>
      </c>
      <c r="B125" s="744"/>
      <c r="C125" s="744"/>
      <c r="D125" s="744"/>
      <c r="E125" s="471" t="s">
        <v>34</v>
      </c>
      <c r="F125" s="461" t="s">
        <v>681</v>
      </c>
      <c r="G125" s="471" t="s">
        <v>19</v>
      </c>
      <c r="H125" s="463" t="s">
        <v>662</v>
      </c>
      <c r="N125" s="428"/>
    </row>
    <row r="126" spans="1:15" s="353" customFormat="1" ht="18" customHeight="1" x14ac:dyDescent="0.3">
      <c r="A126" s="510" t="s">
        <v>717</v>
      </c>
      <c r="B126" s="511"/>
      <c r="C126" s="511"/>
      <c r="D126" s="512"/>
      <c r="E126" s="513"/>
      <c r="F126" s="514" t="s">
        <v>501</v>
      </c>
      <c r="G126" s="543"/>
      <c r="H126" s="544"/>
      <c r="I126" s="545"/>
      <c r="N126" s="335"/>
    </row>
    <row r="127" spans="1:15" ht="49.5" hidden="1" customHeight="1" x14ac:dyDescent="0.3">
      <c r="A127" s="546"/>
      <c r="B127" s="718" t="s">
        <v>718</v>
      </c>
      <c r="C127" s="718"/>
      <c r="D127" s="719"/>
      <c r="E127" s="547" t="s">
        <v>454</v>
      </c>
      <c r="F127" s="548">
        <v>12500</v>
      </c>
      <c r="G127" s="549">
        <v>0</v>
      </c>
      <c r="H127" s="550">
        <v>0</v>
      </c>
      <c r="I127" s="433"/>
      <c r="O127" s="551"/>
    </row>
    <row r="128" spans="1:15" ht="46.5" customHeight="1" x14ac:dyDescent="0.3">
      <c r="A128" s="546"/>
      <c r="B128" s="718" t="s">
        <v>719</v>
      </c>
      <c r="C128" s="718"/>
      <c r="D128" s="719"/>
      <c r="E128" s="547" t="s">
        <v>720</v>
      </c>
      <c r="F128" s="548">
        <v>200000</v>
      </c>
      <c r="G128" s="549">
        <f>+D8</f>
        <v>2</v>
      </c>
      <c r="H128" s="550">
        <f>+F128*G128</f>
        <v>400000</v>
      </c>
      <c r="I128" s="433"/>
      <c r="O128" s="551"/>
    </row>
    <row r="129" spans="1:15" ht="30.75" hidden="1" customHeight="1" x14ac:dyDescent="0.3">
      <c r="A129" s="546"/>
      <c r="B129" s="718" t="s">
        <v>721</v>
      </c>
      <c r="C129" s="718"/>
      <c r="D129" s="719"/>
      <c r="E129" s="547" t="s">
        <v>454</v>
      </c>
      <c r="F129" s="548">
        <f>53000*1.2</f>
        <v>63600</v>
      </c>
      <c r="G129" s="549">
        <v>0</v>
      </c>
      <c r="H129" s="550">
        <f t="shared" ref="H129:H132" si="9">+F129*G129</f>
        <v>0</v>
      </c>
      <c r="I129" s="433"/>
      <c r="O129" s="551"/>
    </row>
    <row r="130" spans="1:15" ht="29.25" customHeight="1" x14ac:dyDescent="0.3">
      <c r="A130" s="546"/>
      <c r="B130" s="718" t="s">
        <v>722</v>
      </c>
      <c r="C130" s="718"/>
      <c r="D130" s="719"/>
      <c r="E130" s="547" t="s">
        <v>720</v>
      </c>
      <c r="F130" s="548">
        <v>273497.50000000035</v>
      </c>
      <c r="G130" s="549">
        <f>+G128</f>
        <v>2</v>
      </c>
      <c r="H130" s="550">
        <f t="shared" si="9"/>
        <v>546995.0000000007</v>
      </c>
      <c r="I130" s="433"/>
      <c r="O130" s="551"/>
    </row>
    <row r="131" spans="1:15" ht="45" customHeight="1" x14ac:dyDescent="0.3">
      <c r="A131" s="546"/>
      <c r="B131" s="718" t="s">
        <v>723</v>
      </c>
      <c r="C131" s="718"/>
      <c r="D131" s="719"/>
      <c r="E131" s="547" t="s">
        <v>454</v>
      </c>
      <c r="F131" s="548">
        <f>50000*1.2</f>
        <v>60000</v>
      </c>
      <c r="G131" s="549">
        <v>30</v>
      </c>
      <c r="H131" s="550">
        <f t="shared" si="9"/>
        <v>1800000</v>
      </c>
      <c r="I131" s="433"/>
      <c r="O131" s="551"/>
    </row>
    <row r="132" spans="1:15" ht="32.25" customHeight="1" x14ac:dyDescent="0.3">
      <c r="A132" s="546"/>
      <c r="B132" s="736" t="s">
        <v>724</v>
      </c>
      <c r="C132" s="736"/>
      <c r="D132" s="737"/>
      <c r="E132" s="547" t="s">
        <v>720</v>
      </c>
      <c r="F132" s="548">
        <v>250000</v>
      </c>
      <c r="G132" s="549">
        <f>+G128</f>
        <v>2</v>
      </c>
      <c r="H132" s="550">
        <f t="shared" si="9"/>
        <v>500000</v>
      </c>
      <c r="I132" s="433"/>
      <c r="O132" s="551"/>
    </row>
    <row r="133" spans="1:15" ht="13.5" customHeight="1" x14ac:dyDescent="0.3">
      <c r="A133" s="510"/>
      <c r="B133" s="552"/>
      <c r="C133" s="552"/>
      <c r="D133" s="553"/>
      <c r="E133" s="554"/>
      <c r="F133" s="555"/>
      <c r="G133" s="556"/>
      <c r="H133" s="557"/>
      <c r="I133" s="433"/>
    </row>
    <row r="134" spans="1:15" ht="13.5" customHeight="1" x14ac:dyDescent="0.3">
      <c r="A134" s="510" t="s">
        <v>725</v>
      </c>
      <c r="B134" s="511"/>
      <c r="C134" s="558"/>
      <c r="D134" s="558"/>
      <c r="E134" s="558"/>
      <c r="F134" s="559"/>
      <c r="G134" s="560"/>
      <c r="H134" s="456">
        <f>SUM(H127:H133)</f>
        <v>3246995.0000000009</v>
      </c>
    </row>
    <row r="135" spans="1:15" ht="13.5" customHeight="1" x14ac:dyDescent="0.3">
      <c r="A135" s="510" t="s">
        <v>726</v>
      </c>
      <c r="B135" s="511"/>
      <c r="C135" s="558"/>
      <c r="D135" s="558"/>
      <c r="E135" s="558"/>
      <c r="F135" s="561"/>
      <c r="G135" s="455"/>
      <c r="H135" s="516">
        <f>+H134/(D7+'PPTO HOJA'!F88)</f>
        <v>2.3247731707377083E-3</v>
      </c>
      <c r="I135" s="413"/>
      <c r="N135" s="562"/>
    </row>
    <row r="136" spans="1:15" ht="10.5" customHeight="1" x14ac:dyDescent="0.3">
      <c r="A136" s="510"/>
      <c r="B136" s="511"/>
      <c r="C136" s="511"/>
      <c r="D136" s="512"/>
      <c r="E136" s="513"/>
      <c r="F136" s="563"/>
      <c r="G136" s="564"/>
      <c r="H136" s="516"/>
      <c r="I136" s="433"/>
    </row>
    <row r="137" spans="1:15" s="353" customFormat="1" ht="18" customHeight="1" x14ac:dyDescent="0.3">
      <c r="A137" s="510" t="s">
        <v>727</v>
      </c>
      <c r="B137" s="511"/>
      <c r="C137" s="511"/>
      <c r="D137" s="512"/>
      <c r="E137" s="513"/>
      <c r="F137" s="563" t="s">
        <v>501</v>
      </c>
      <c r="G137" s="565"/>
      <c r="H137" s="544"/>
      <c r="I137" s="545"/>
      <c r="N137" s="335"/>
    </row>
    <row r="138" spans="1:15" ht="30.75" customHeight="1" x14ac:dyDescent="0.3">
      <c r="A138" s="546"/>
      <c r="B138" s="752" t="s">
        <v>728</v>
      </c>
      <c r="C138" s="752"/>
      <c r="D138" s="753"/>
      <c r="E138" s="547" t="s">
        <v>720</v>
      </c>
      <c r="F138" s="548">
        <v>50000</v>
      </c>
      <c r="G138" s="549">
        <f>+G132</f>
        <v>2</v>
      </c>
      <c r="H138" s="550">
        <f t="shared" ref="H138:H150" si="10">+F138*G138</f>
        <v>100000</v>
      </c>
      <c r="I138" s="433"/>
      <c r="O138" s="551"/>
    </row>
    <row r="139" spans="1:15" ht="36" hidden="1" customHeight="1" x14ac:dyDescent="0.3">
      <c r="A139" s="546"/>
      <c r="B139" s="752" t="s">
        <v>729</v>
      </c>
      <c r="C139" s="752"/>
      <c r="D139" s="753"/>
      <c r="E139" s="547" t="s">
        <v>730</v>
      </c>
      <c r="F139" s="548">
        <v>2100</v>
      </c>
      <c r="G139" s="549">
        <v>0</v>
      </c>
      <c r="H139" s="550">
        <f t="shared" si="10"/>
        <v>0</v>
      </c>
      <c r="I139" s="433"/>
      <c r="O139" s="551"/>
    </row>
    <row r="140" spans="1:15" ht="61.5" hidden="1" customHeight="1" x14ac:dyDescent="0.3">
      <c r="A140" s="546"/>
      <c r="B140" s="752" t="s">
        <v>731</v>
      </c>
      <c r="C140" s="752"/>
      <c r="D140" s="753"/>
      <c r="E140" s="547" t="s">
        <v>454</v>
      </c>
      <c r="F140" s="548">
        <v>0</v>
      </c>
      <c r="G140" s="549">
        <v>0</v>
      </c>
      <c r="H140" s="550">
        <f t="shared" si="10"/>
        <v>0</v>
      </c>
      <c r="I140" s="433"/>
      <c r="O140" s="551"/>
    </row>
    <row r="141" spans="1:15" ht="60" customHeight="1" x14ac:dyDescent="0.3">
      <c r="A141" s="546"/>
      <c r="B141" s="752" t="s">
        <v>732</v>
      </c>
      <c r="C141" s="752"/>
      <c r="D141" s="753"/>
      <c r="E141" s="547" t="s">
        <v>454</v>
      </c>
      <c r="F141" s="548">
        <f>200000</f>
        <v>200000</v>
      </c>
      <c r="G141" s="549">
        <v>1</v>
      </c>
      <c r="H141" s="550">
        <f t="shared" si="10"/>
        <v>200000</v>
      </c>
      <c r="I141" s="433"/>
      <c r="O141" s="551"/>
    </row>
    <row r="142" spans="1:15" ht="47.25" customHeight="1" x14ac:dyDescent="0.3">
      <c r="A142" s="546"/>
      <c r="B142" s="752" t="s">
        <v>733</v>
      </c>
      <c r="C142" s="752"/>
      <c r="D142" s="753"/>
      <c r="E142" s="566" t="s">
        <v>720</v>
      </c>
      <c r="F142" s="548">
        <v>50000</v>
      </c>
      <c r="G142" s="549">
        <f>+G138</f>
        <v>2</v>
      </c>
      <c r="H142" s="550">
        <f t="shared" si="10"/>
        <v>100000</v>
      </c>
      <c r="I142" s="433"/>
      <c r="O142" s="551"/>
    </row>
    <row r="143" spans="1:15" ht="36.75" hidden="1" customHeight="1" x14ac:dyDescent="0.3">
      <c r="A143" s="546"/>
      <c r="B143" s="752" t="s">
        <v>734</v>
      </c>
      <c r="C143" s="752"/>
      <c r="D143" s="753"/>
      <c r="E143" s="566" t="s">
        <v>720</v>
      </c>
      <c r="F143" s="548">
        <v>0</v>
      </c>
      <c r="G143" s="549">
        <f>+G142</f>
        <v>2</v>
      </c>
      <c r="H143" s="550">
        <f t="shared" si="10"/>
        <v>0</v>
      </c>
      <c r="I143" s="433"/>
      <c r="O143" s="551"/>
    </row>
    <row r="144" spans="1:15" ht="38.25" hidden="1" customHeight="1" x14ac:dyDescent="0.3">
      <c r="A144" s="546"/>
      <c r="B144" s="752" t="s">
        <v>735</v>
      </c>
      <c r="C144" s="752"/>
      <c r="D144" s="753"/>
      <c r="E144" s="566" t="s">
        <v>454</v>
      </c>
      <c r="F144" s="548">
        <v>0</v>
      </c>
      <c r="G144" s="549">
        <v>0</v>
      </c>
      <c r="H144" s="550">
        <f t="shared" si="10"/>
        <v>0</v>
      </c>
      <c r="I144" s="433"/>
      <c r="O144" s="551"/>
    </row>
    <row r="145" spans="1:18" hidden="1" x14ac:dyDescent="0.3">
      <c r="A145" s="546"/>
      <c r="B145" s="752" t="s">
        <v>736</v>
      </c>
      <c r="C145" s="752"/>
      <c r="D145" s="753"/>
      <c r="E145" s="566" t="s">
        <v>454</v>
      </c>
      <c r="F145" s="548">
        <v>150000</v>
      </c>
      <c r="G145" s="549">
        <v>0</v>
      </c>
      <c r="H145" s="550">
        <f t="shared" si="10"/>
        <v>0</v>
      </c>
      <c r="I145" s="433"/>
      <c r="O145" s="551"/>
    </row>
    <row r="146" spans="1:18" ht="30.75" hidden="1" customHeight="1" x14ac:dyDescent="0.3">
      <c r="A146" s="546"/>
      <c r="B146" s="752" t="s">
        <v>737</v>
      </c>
      <c r="C146" s="752"/>
      <c r="D146" s="753"/>
      <c r="E146" s="566" t="s">
        <v>454</v>
      </c>
      <c r="F146" s="548">
        <v>25000</v>
      </c>
      <c r="G146" s="549">
        <v>0</v>
      </c>
      <c r="H146" s="550">
        <f t="shared" si="10"/>
        <v>0</v>
      </c>
      <c r="I146" s="433"/>
      <c r="O146" s="551"/>
    </row>
    <row r="147" spans="1:18" ht="29.25" hidden="1" customHeight="1" x14ac:dyDescent="0.3">
      <c r="A147" s="546"/>
      <c r="B147" s="752" t="s">
        <v>738</v>
      </c>
      <c r="C147" s="752"/>
      <c r="D147" s="753"/>
      <c r="E147" s="566" t="s">
        <v>454</v>
      </c>
      <c r="F147" s="548"/>
      <c r="G147" s="549">
        <v>0</v>
      </c>
      <c r="H147" s="550">
        <f t="shared" si="10"/>
        <v>0</v>
      </c>
      <c r="I147" s="433"/>
      <c r="O147" s="551"/>
    </row>
    <row r="148" spans="1:18" ht="43.5" customHeight="1" x14ac:dyDescent="0.3">
      <c r="A148" s="546"/>
      <c r="B148" s="752" t="s">
        <v>739</v>
      </c>
      <c r="C148" s="752"/>
      <c r="D148" s="753"/>
      <c r="E148" s="566" t="s">
        <v>720</v>
      </c>
      <c r="F148" s="548">
        <f>E49/30*1*30*1.8</f>
        <v>2088000</v>
      </c>
      <c r="G148" s="549">
        <f>+G143</f>
        <v>2</v>
      </c>
      <c r="H148" s="550">
        <f t="shared" si="10"/>
        <v>4176000</v>
      </c>
      <c r="I148" s="433"/>
      <c r="O148" s="551"/>
    </row>
    <row r="149" spans="1:18" ht="39" customHeight="1" x14ac:dyDescent="0.3">
      <c r="A149" s="546"/>
      <c r="B149" s="718" t="s">
        <v>740</v>
      </c>
      <c r="C149" s="718"/>
      <c r="D149" s="719"/>
      <c r="E149" s="566" t="s">
        <v>454</v>
      </c>
      <c r="F149" s="548">
        <f>+F142</f>
        <v>50000</v>
      </c>
      <c r="G149" s="549">
        <v>1</v>
      </c>
      <c r="H149" s="550">
        <f t="shared" si="10"/>
        <v>50000</v>
      </c>
      <c r="I149" s="433"/>
      <c r="O149" s="551"/>
    </row>
    <row r="150" spans="1:18" ht="30" customHeight="1" x14ac:dyDescent="0.3">
      <c r="A150" s="546"/>
      <c r="B150" s="736" t="s">
        <v>741</v>
      </c>
      <c r="C150" s="736"/>
      <c r="D150" s="737"/>
      <c r="E150" s="566" t="s">
        <v>720</v>
      </c>
      <c r="F150" s="548">
        <f>250000</f>
        <v>250000</v>
      </c>
      <c r="G150" s="549">
        <f>+G148</f>
        <v>2</v>
      </c>
      <c r="H150" s="550">
        <f t="shared" si="10"/>
        <v>500000</v>
      </c>
      <c r="I150" s="433"/>
      <c r="O150" s="551"/>
    </row>
    <row r="151" spans="1:18" ht="13.5" customHeight="1" x14ac:dyDescent="0.3">
      <c r="A151" s="510" t="s">
        <v>742</v>
      </c>
      <c r="B151" s="511"/>
      <c r="C151" s="558"/>
      <c r="D151" s="558"/>
      <c r="E151" s="558"/>
      <c r="F151" s="561"/>
      <c r="G151" s="455"/>
      <c r="H151" s="456">
        <f>SUM(H138:H150)</f>
        <v>5126000</v>
      </c>
      <c r="O151" s="551"/>
      <c r="R151" s="333">
        <v>-381322</v>
      </c>
    </row>
    <row r="152" spans="1:18" ht="13.5" customHeight="1" x14ac:dyDescent="0.3">
      <c r="A152" s="510" t="s">
        <v>743</v>
      </c>
      <c r="B152" s="511"/>
      <c r="C152" s="558"/>
      <c r="D152" s="558"/>
      <c r="E152" s="558"/>
      <c r="F152" s="561"/>
      <c r="G152" s="455"/>
      <c r="H152" s="516">
        <f>+H151/(D7+'PPTO HOJA'!F88)</f>
        <v>3.6700972047081959E-3</v>
      </c>
      <c r="I152" s="458">
        <v>5.4000000000000003E-3</v>
      </c>
      <c r="N152" s="562"/>
    </row>
    <row r="153" spans="1:18" ht="8.25" customHeight="1" x14ac:dyDescent="0.3">
      <c r="A153" s="510"/>
      <c r="B153" s="511"/>
      <c r="C153" s="511"/>
      <c r="D153" s="512"/>
      <c r="E153" s="513"/>
      <c r="F153" s="563"/>
      <c r="G153" s="564"/>
      <c r="H153" s="516"/>
      <c r="I153" s="433"/>
    </row>
    <row r="154" spans="1:18" s="353" customFormat="1" ht="18" hidden="1" customHeight="1" x14ac:dyDescent="0.3">
      <c r="A154" s="567" t="s">
        <v>744</v>
      </c>
      <c r="B154" s="568"/>
      <c r="C154" s="568"/>
      <c r="D154" s="569"/>
      <c r="E154" s="570"/>
      <c r="F154" s="571" t="s">
        <v>501</v>
      </c>
      <c r="G154" s="572"/>
      <c r="H154" s="573"/>
      <c r="I154" s="545"/>
      <c r="N154" s="335"/>
    </row>
    <row r="155" spans="1:18" s="353" customFormat="1" hidden="1" x14ac:dyDescent="0.3">
      <c r="A155" s="574"/>
      <c r="B155" s="756" t="s">
        <v>745</v>
      </c>
      <c r="C155" s="756"/>
      <c r="D155" s="757"/>
      <c r="E155" s="575" t="s">
        <v>746</v>
      </c>
      <c r="F155" s="576">
        <f>1500000*1.2</f>
        <v>1800000</v>
      </c>
      <c r="G155" s="577">
        <v>0</v>
      </c>
      <c r="H155" s="550">
        <f t="shared" ref="H155:H157" si="11">+F155*G155</f>
        <v>0</v>
      </c>
      <c r="I155" s="545"/>
      <c r="N155" s="335"/>
    </row>
    <row r="156" spans="1:18" ht="26.25" hidden="1" customHeight="1" x14ac:dyDescent="0.3">
      <c r="A156" s="578"/>
      <c r="B156" s="758" t="s">
        <v>747</v>
      </c>
      <c r="C156" s="758"/>
      <c r="D156" s="759"/>
      <c r="E156" s="579" t="s">
        <v>748</v>
      </c>
      <c r="F156" s="580">
        <f>1.2*2050</f>
        <v>2460</v>
      </c>
      <c r="G156" s="549"/>
      <c r="H156" s="581">
        <v>0</v>
      </c>
      <c r="I156" s="433"/>
    </row>
    <row r="157" spans="1:18" ht="48.75" hidden="1" customHeight="1" x14ac:dyDescent="0.3">
      <c r="A157" s="546"/>
      <c r="B157" s="736" t="s">
        <v>749</v>
      </c>
      <c r="C157" s="736"/>
      <c r="D157" s="737"/>
      <c r="E157" s="566" t="s">
        <v>748</v>
      </c>
      <c r="F157" s="548">
        <f>1.2*25000</f>
        <v>30000</v>
      </c>
      <c r="G157" s="582">
        <v>0</v>
      </c>
      <c r="H157" s="550">
        <f t="shared" si="11"/>
        <v>0</v>
      </c>
      <c r="I157" s="433"/>
      <c r="O157" s="582"/>
    </row>
    <row r="158" spans="1:18" ht="59.25" hidden="1" customHeight="1" x14ac:dyDescent="0.3">
      <c r="A158" s="546"/>
      <c r="B158" s="718" t="s">
        <v>750</v>
      </c>
      <c r="C158" s="718"/>
      <c r="D158" s="719"/>
      <c r="E158" s="566" t="s">
        <v>748</v>
      </c>
      <c r="F158" s="548">
        <f>1.2*14979</f>
        <v>17974.8</v>
      </c>
      <c r="G158" s="549"/>
      <c r="H158" s="550">
        <v>0</v>
      </c>
      <c r="I158" s="433"/>
      <c r="N158" s="583"/>
      <c r="O158" s="551"/>
    </row>
    <row r="159" spans="1:18" ht="30" hidden="1" customHeight="1" x14ac:dyDescent="0.3">
      <c r="A159" s="546"/>
      <c r="B159" s="736" t="s">
        <v>751</v>
      </c>
      <c r="C159" s="736"/>
      <c r="D159" s="737"/>
      <c r="E159" s="566" t="s">
        <v>748</v>
      </c>
      <c r="F159" s="584">
        <v>44184.897927604616</v>
      </c>
      <c r="G159" s="585"/>
      <c r="H159" s="550">
        <v>0</v>
      </c>
      <c r="I159" s="433"/>
      <c r="N159" s="586"/>
      <c r="O159" s="551"/>
    </row>
    <row r="160" spans="1:18" ht="28.5" hidden="1" customHeight="1" x14ac:dyDescent="0.3">
      <c r="A160" s="546"/>
      <c r="B160" s="736" t="s">
        <v>752</v>
      </c>
      <c r="C160" s="736"/>
      <c r="D160" s="737"/>
      <c r="E160" s="566" t="s">
        <v>753</v>
      </c>
      <c r="F160" s="584">
        <v>22008</v>
      </c>
      <c r="G160" s="585"/>
      <c r="H160" s="550">
        <v>0</v>
      </c>
      <c r="I160" s="433"/>
    </row>
    <row r="161" spans="1:15" ht="7.5" hidden="1" customHeight="1" x14ac:dyDescent="0.3">
      <c r="A161" s="510"/>
      <c r="B161" s="511"/>
      <c r="C161" s="511"/>
      <c r="D161" s="512"/>
      <c r="E161" s="513"/>
      <c r="F161" s="514"/>
      <c r="G161" s="515"/>
      <c r="H161" s="516"/>
      <c r="I161" s="433"/>
      <c r="N161" s="587"/>
    </row>
    <row r="162" spans="1:15" ht="17.25" hidden="1" customHeight="1" x14ac:dyDescent="0.3">
      <c r="A162" s="510" t="s">
        <v>754</v>
      </c>
      <c r="B162" s="511"/>
      <c r="C162" s="558"/>
      <c r="D162" s="558"/>
      <c r="E162" s="558"/>
      <c r="F162" s="588"/>
      <c r="G162" s="560"/>
      <c r="H162" s="456">
        <f>SUM(H155:H161)</f>
        <v>0</v>
      </c>
      <c r="N162" s="349"/>
    </row>
    <row r="163" spans="1:15" ht="13.5" hidden="1" customHeight="1" x14ac:dyDescent="0.3">
      <c r="A163" s="510" t="s">
        <v>755</v>
      </c>
      <c r="B163" s="511"/>
      <c r="C163" s="558"/>
      <c r="D163" s="558"/>
      <c r="E163" s="558"/>
      <c r="F163" s="588"/>
      <c r="G163" s="560"/>
      <c r="H163" s="457">
        <f>+H162/D7</f>
        <v>0</v>
      </c>
      <c r="I163" s="458">
        <v>6.5000000000000006E-3</v>
      </c>
      <c r="N163" s="562"/>
    </row>
    <row r="164" spans="1:15" ht="9.75" hidden="1" customHeight="1" x14ac:dyDescent="0.3">
      <c r="A164" s="510"/>
      <c r="B164" s="511"/>
      <c r="C164" s="511"/>
      <c r="D164" s="512"/>
      <c r="E164" s="513"/>
      <c r="F164" s="514"/>
      <c r="G164" s="515"/>
      <c r="H164" s="516"/>
      <c r="I164" s="433"/>
    </row>
    <row r="165" spans="1:15" s="353" customFormat="1" ht="18" customHeight="1" x14ac:dyDescent="0.3">
      <c r="A165" s="510" t="s">
        <v>756</v>
      </c>
      <c r="B165" s="511"/>
      <c r="C165" s="511"/>
      <c r="D165" s="512"/>
      <c r="E165" s="513"/>
      <c r="F165" s="514" t="s">
        <v>501</v>
      </c>
      <c r="G165" s="543"/>
      <c r="H165" s="544"/>
      <c r="I165" s="545"/>
      <c r="N165" s="335"/>
    </row>
    <row r="166" spans="1:15" ht="18" customHeight="1" x14ac:dyDescent="0.3">
      <c r="A166" s="589"/>
      <c r="B166" s="718" t="s">
        <v>757</v>
      </c>
      <c r="C166" s="718"/>
      <c r="D166" s="719"/>
      <c r="E166" s="566" t="s">
        <v>720</v>
      </c>
      <c r="F166" s="548">
        <f>190000</f>
        <v>190000</v>
      </c>
      <c r="G166" s="549">
        <f>+G150</f>
        <v>2</v>
      </c>
      <c r="H166" s="550">
        <f t="shared" ref="H166:H173" si="12">+F166*G166</f>
        <v>380000</v>
      </c>
      <c r="I166" s="433"/>
      <c r="O166" s="551"/>
    </row>
    <row r="167" spans="1:15" ht="18" customHeight="1" x14ac:dyDescent="0.3">
      <c r="A167" s="589"/>
      <c r="B167" s="718" t="s">
        <v>758</v>
      </c>
      <c r="C167" s="718"/>
      <c r="D167" s="719"/>
      <c r="E167" s="566" t="s">
        <v>720</v>
      </c>
      <c r="F167" s="548">
        <f>+F166</f>
        <v>190000</v>
      </c>
      <c r="G167" s="549">
        <f>+G166</f>
        <v>2</v>
      </c>
      <c r="H167" s="550">
        <f t="shared" si="12"/>
        <v>380000</v>
      </c>
      <c r="I167" s="433"/>
      <c r="O167" s="551"/>
    </row>
    <row r="168" spans="1:15" ht="18" customHeight="1" x14ac:dyDescent="0.3">
      <c r="A168" s="589"/>
      <c r="B168" s="718" t="s">
        <v>759</v>
      </c>
      <c r="C168" s="718"/>
      <c r="D168" s="719"/>
      <c r="E168" s="566" t="s">
        <v>720</v>
      </c>
      <c r="F168" s="548">
        <f>+F167</f>
        <v>190000</v>
      </c>
      <c r="G168" s="549">
        <f>+G167</f>
        <v>2</v>
      </c>
      <c r="H168" s="550">
        <f t="shared" si="12"/>
        <v>380000</v>
      </c>
      <c r="I168" s="433"/>
      <c r="O168" s="551"/>
    </row>
    <row r="169" spans="1:15" ht="45.75" hidden="1" customHeight="1" x14ac:dyDescent="0.3">
      <c r="A169" s="546"/>
      <c r="B169" s="718" t="s">
        <v>760</v>
      </c>
      <c r="C169" s="718"/>
      <c r="D169" s="719"/>
      <c r="E169" s="566" t="s">
        <v>746</v>
      </c>
      <c r="F169" s="548">
        <v>128064</v>
      </c>
      <c r="G169" s="585">
        <v>0</v>
      </c>
      <c r="H169" s="550">
        <f t="shared" si="12"/>
        <v>0</v>
      </c>
      <c r="I169" s="433"/>
      <c r="N169" s="562"/>
      <c r="O169" s="551"/>
    </row>
    <row r="170" spans="1:15" ht="35.25" hidden="1" customHeight="1" x14ac:dyDescent="0.3">
      <c r="A170" s="546"/>
      <c r="B170" s="718" t="s">
        <v>761</v>
      </c>
      <c r="C170" s="718"/>
      <c r="D170" s="719"/>
      <c r="E170" s="566" t="s">
        <v>746</v>
      </c>
      <c r="F170" s="548">
        <v>186760</v>
      </c>
      <c r="G170" s="585"/>
      <c r="H170" s="550">
        <f t="shared" si="12"/>
        <v>0</v>
      </c>
      <c r="I170" s="433"/>
    </row>
    <row r="171" spans="1:15" ht="18" customHeight="1" x14ac:dyDescent="0.3">
      <c r="A171" s="546"/>
      <c r="B171" s="718" t="s">
        <v>762</v>
      </c>
      <c r="C171" s="718"/>
      <c r="D171" s="719"/>
      <c r="E171" s="566" t="s">
        <v>720</v>
      </c>
      <c r="F171" s="548">
        <f>265020</f>
        <v>265020</v>
      </c>
      <c r="G171" s="585">
        <f>+G168</f>
        <v>2</v>
      </c>
      <c r="H171" s="550">
        <f t="shared" si="12"/>
        <v>530040</v>
      </c>
      <c r="I171" s="433"/>
      <c r="J171" s="505"/>
    </row>
    <row r="172" spans="1:15" x14ac:dyDescent="0.3">
      <c r="A172" s="546"/>
      <c r="B172" s="718" t="s">
        <v>763</v>
      </c>
      <c r="C172" s="718"/>
      <c r="D172" s="719"/>
      <c r="E172" s="566" t="s">
        <v>720</v>
      </c>
      <c r="F172" s="548">
        <f>71650</f>
        <v>71650</v>
      </c>
      <c r="G172" s="585">
        <f>+G171</f>
        <v>2</v>
      </c>
      <c r="H172" s="550">
        <f t="shared" si="12"/>
        <v>143300</v>
      </c>
      <c r="I172" s="433"/>
      <c r="J172" s="590"/>
    </row>
    <row r="173" spans="1:15" ht="18" customHeight="1" x14ac:dyDescent="0.3">
      <c r="A173" s="546"/>
      <c r="B173" s="718" t="s">
        <v>764</v>
      </c>
      <c r="C173" s="718"/>
      <c r="D173" s="719"/>
      <c r="E173" s="566" t="s">
        <v>720</v>
      </c>
      <c r="F173" s="548">
        <f>(E49/30)*2*30*1.8</f>
        <v>4176000</v>
      </c>
      <c r="G173" s="585">
        <f>+G172</f>
        <v>2</v>
      </c>
      <c r="H173" s="550">
        <f t="shared" si="12"/>
        <v>8352000</v>
      </c>
      <c r="I173" s="433"/>
      <c r="N173" s="591"/>
    </row>
    <row r="174" spans="1:15" ht="10.5" customHeight="1" x14ac:dyDescent="0.3">
      <c r="A174" s="510"/>
      <c r="B174" s="511"/>
      <c r="C174" s="511"/>
      <c r="D174" s="512"/>
      <c r="E174" s="513"/>
      <c r="F174" s="514"/>
      <c r="G174" s="515"/>
      <c r="H174" s="516"/>
      <c r="I174" s="433"/>
      <c r="N174" s="591"/>
    </row>
    <row r="175" spans="1:15" ht="13.5" customHeight="1" x14ac:dyDescent="0.3">
      <c r="A175" s="510" t="s">
        <v>765</v>
      </c>
      <c r="B175" s="511"/>
      <c r="C175" s="558"/>
      <c r="D175" s="558"/>
      <c r="E175" s="558"/>
      <c r="F175" s="588"/>
      <c r="G175" s="560"/>
      <c r="H175" s="456">
        <f>SUM(H166:H174)</f>
        <v>10165340</v>
      </c>
      <c r="I175" s="592"/>
      <c r="N175" s="591">
        <v>80635027</v>
      </c>
    </row>
    <row r="176" spans="1:15" ht="13.5" customHeight="1" x14ac:dyDescent="0.3">
      <c r="A176" s="510" t="s">
        <v>766</v>
      </c>
      <c r="B176" s="511"/>
      <c r="C176" s="558"/>
      <c r="D176" s="558"/>
      <c r="E176" s="558"/>
      <c r="F176" s="588"/>
      <c r="G176" s="560"/>
      <c r="H176" s="457">
        <f>+H175/(D7+'PPTO HOJA'!F88)</f>
        <v>7.2781478577659802E-3</v>
      </c>
      <c r="I176" s="458">
        <v>7.1000000000000004E-3</v>
      </c>
      <c r="J176" s="479"/>
      <c r="K176" s="590"/>
      <c r="N176" s="591">
        <v>-98926648.020000011</v>
      </c>
    </row>
    <row r="177" spans="1:20" ht="10.5" customHeight="1" x14ac:dyDescent="0.3">
      <c r="A177" s="510"/>
      <c r="B177" s="511"/>
      <c r="C177" s="511"/>
      <c r="D177" s="512"/>
      <c r="E177" s="513"/>
      <c r="F177" s="514"/>
      <c r="G177" s="515"/>
      <c r="H177" s="516"/>
      <c r="I177" s="433"/>
      <c r="N177" s="593"/>
    </row>
    <row r="178" spans="1:20" ht="21.75" hidden="1" customHeight="1" x14ac:dyDescent="0.3">
      <c r="A178" s="447"/>
      <c r="B178" s="448"/>
      <c r="C178" s="448"/>
      <c r="D178" s="480"/>
      <c r="E178" s="494"/>
      <c r="F178" s="482"/>
      <c r="G178" s="481"/>
      <c r="H178" s="495"/>
      <c r="I178" s="433"/>
      <c r="N178" s="594"/>
      <c r="O178" s="505"/>
    </row>
    <row r="179" spans="1:20" ht="15" customHeight="1" x14ac:dyDescent="0.3">
      <c r="A179" s="496" t="s">
        <v>767</v>
      </c>
      <c r="B179" s="497"/>
      <c r="C179" s="498"/>
      <c r="D179" s="499"/>
      <c r="E179" s="500"/>
      <c r="F179" s="501"/>
      <c r="G179" s="502"/>
      <c r="H179" s="595">
        <f>+H175+H162+R151+H151+H134</f>
        <v>18157013</v>
      </c>
      <c r="I179" s="413"/>
      <c r="N179" s="596"/>
      <c r="S179" s="479"/>
      <c r="T179" s="505"/>
    </row>
    <row r="180" spans="1:20" ht="15" customHeight="1" thickBot="1" x14ac:dyDescent="0.35">
      <c r="A180" s="597" t="s">
        <v>767</v>
      </c>
      <c r="B180" s="598"/>
      <c r="C180" s="599"/>
      <c r="D180" s="600"/>
      <c r="E180" s="601"/>
      <c r="F180" s="602"/>
      <c r="G180" s="603"/>
      <c r="H180" s="604">
        <f>+H179/(D7+H121)</f>
        <v>2.0000000793082021E-2</v>
      </c>
      <c r="I180" s="413"/>
      <c r="N180" s="605"/>
    </row>
  </sheetData>
  <scenarios current="0" sqref="I172">
    <scenario name="2%" locked="1" count="1" user="Manuel Silgado" comment="Creado por Manuel Silgado el 28/10/2023_x000a_Modificado por Manuel Silgado el 28/10/2023">
      <inputCells r="H180" val="0.0198218075319526"/>
    </scenario>
    <scenario name="30%" locked="1" count="1" user="Manuel Silgado" comment="Creado por Manuel Silgado el 28/10/2023">
      <inputCells r="H122" val="0.261031197496738"/>
    </scenario>
  </scenarios>
  <mergeCells count="136">
    <mergeCell ref="B169:D169"/>
    <mergeCell ref="B170:D170"/>
    <mergeCell ref="B171:D171"/>
    <mergeCell ref="B172:D172"/>
    <mergeCell ref="B173:D173"/>
    <mergeCell ref="B158:D158"/>
    <mergeCell ref="B159:D159"/>
    <mergeCell ref="B160:D160"/>
    <mergeCell ref="B166:D166"/>
    <mergeCell ref="B167:D167"/>
    <mergeCell ref="B168:D168"/>
    <mergeCell ref="B148:D148"/>
    <mergeCell ref="B149:D149"/>
    <mergeCell ref="B150:D150"/>
    <mergeCell ref="B155:D155"/>
    <mergeCell ref="B156:D156"/>
    <mergeCell ref="B157:D157"/>
    <mergeCell ref="B142:D142"/>
    <mergeCell ref="B143:D143"/>
    <mergeCell ref="B144:D144"/>
    <mergeCell ref="B145:D145"/>
    <mergeCell ref="B146:D146"/>
    <mergeCell ref="B147:D147"/>
    <mergeCell ref="B131:D131"/>
    <mergeCell ref="B132:D132"/>
    <mergeCell ref="B138:D138"/>
    <mergeCell ref="B139:D139"/>
    <mergeCell ref="B140:D140"/>
    <mergeCell ref="B141:D141"/>
    <mergeCell ref="A107:G107"/>
    <mergeCell ref="A125:D125"/>
    <mergeCell ref="B127:D127"/>
    <mergeCell ref="B128:D128"/>
    <mergeCell ref="B129:D129"/>
    <mergeCell ref="B130:D130"/>
    <mergeCell ref="A98:C98"/>
    <mergeCell ref="A99:A106"/>
    <mergeCell ref="B99:C99"/>
    <mergeCell ref="B100:C100"/>
    <mergeCell ref="B101:C101"/>
    <mergeCell ref="B102:C102"/>
    <mergeCell ref="B103:C103"/>
    <mergeCell ref="B104:C104"/>
    <mergeCell ref="B105:C105"/>
    <mergeCell ref="B106:C106"/>
    <mergeCell ref="A92:C92"/>
    <mergeCell ref="A93:C93"/>
    <mergeCell ref="A94:C94"/>
    <mergeCell ref="A95:C95"/>
    <mergeCell ref="A96:G96"/>
    <mergeCell ref="A97:H97"/>
    <mergeCell ref="A86:C86"/>
    <mergeCell ref="A87:C87"/>
    <mergeCell ref="A88:C88"/>
    <mergeCell ref="A89:C89"/>
    <mergeCell ref="A90:C90"/>
    <mergeCell ref="A91:C91"/>
    <mergeCell ref="A74:C74"/>
    <mergeCell ref="A77:G77"/>
    <mergeCell ref="A82:H82"/>
    <mergeCell ref="A83:H83"/>
    <mergeCell ref="A84:E84"/>
    <mergeCell ref="A85:C85"/>
    <mergeCell ref="A68:C68"/>
    <mergeCell ref="A69:C69"/>
    <mergeCell ref="A70:C70"/>
    <mergeCell ref="A71:C71"/>
    <mergeCell ref="A72:C72"/>
    <mergeCell ref="A73:C73"/>
    <mergeCell ref="A61:C61"/>
    <mergeCell ref="A62:C62"/>
    <mergeCell ref="A64:C64"/>
    <mergeCell ref="A65:C65"/>
    <mergeCell ref="A66:C66"/>
    <mergeCell ref="A67:C67"/>
    <mergeCell ref="A52:B52"/>
    <mergeCell ref="A53:B53"/>
    <mergeCell ref="A54:B54"/>
    <mergeCell ref="A55:B55"/>
    <mergeCell ref="A56:G56"/>
    <mergeCell ref="A60:C60"/>
    <mergeCell ref="A45:B45"/>
    <mergeCell ref="A46:B46"/>
    <mergeCell ref="A47:B47"/>
    <mergeCell ref="A49:B49"/>
    <mergeCell ref="A50:B50"/>
    <mergeCell ref="A51:B51"/>
    <mergeCell ref="A38:B38"/>
    <mergeCell ref="A39:B39"/>
    <mergeCell ref="C39:G39"/>
    <mergeCell ref="A42:B42"/>
    <mergeCell ref="A43:B43"/>
    <mergeCell ref="A44:B44"/>
    <mergeCell ref="A34:B34"/>
    <mergeCell ref="A35:B35"/>
    <mergeCell ref="C35:G35"/>
    <mergeCell ref="A36:B36"/>
    <mergeCell ref="A37:B37"/>
    <mergeCell ref="C37:G37"/>
    <mergeCell ref="A30:B30"/>
    <mergeCell ref="A31:B31"/>
    <mergeCell ref="C31:G31"/>
    <mergeCell ref="A32:B32"/>
    <mergeCell ref="A33:B33"/>
    <mergeCell ref="C33:G33"/>
    <mergeCell ref="A26:B26"/>
    <mergeCell ref="A27:B27"/>
    <mergeCell ref="C27:G27"/>
    <mergeCell ref="A28:B28"/>
    <mergeCell ref="A29:B29"/>
    <mergeCell ref="C29:G29"/>
    <mergeCell ref="A22:B22"/>
    <mergeCell ref="A23:B23"/>
    <mergeCell ref="C23:G23"/>
    <mergeCell ref="A24:B24"/>
    <mergeCell ref="A25:B25"/>
    <mergeCell ref="C25:G25"/>
    <mergeCell ref="A20:B20"/>
    <mergeCell ref="A21:B21"/>
    <mergeCell ref="C21:G21"/>
    <mergeCell ref="A14:B14"/>
    <mergeCell ref="I14:I16"/>
    <mergeCell ref="A15:B15"/>
    <mergeCell ref="C15:G15"/>
    <mergeCell ref="A16:B16"/>
    <mergeCell ref="A17:B17"/>
    <mergeCell ref="C17:G17"/>
    <mergeCell ref="A2:G2"/>
    <mergeCell ref="A3:H4"/>
    <mergeCell ref="A5:H5"/>
    <mergeCell ref="A10:H10"/>
    <mergeCell ref="A11:B11"/>
    <mergeCell ref="A12:B12"/>
    <mergeCell ref="A18:B18"/>
    <mergeCell ref="A19:B19"/>
    <mergeCell ref="C19:G19"/>
  </mergeCells>
  <printOptions horizontalCentered="1"/>
  <pageMargins left="0.70866141732283472" right="0.70866141732283472" top="0.74803149606299213" bottom="0.74803149606299213" header="0.31496062992125984" footer="0.31496062992125984"/>
  <pageSetup paperSize="9" scale="34" fitToHeight="0" orientation="portrait" horizontalDpi="360" verticalDpi="360"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5">
    <tabColor theme="9" tint="0.59999389629810485"/>
  </sheetPr>
  <dimension ref="A1:U44"/>
  <sheetViews>
    <sheetView zoomScale="85" zoomScaleNormal="85" zoomScaleSheetLayoutView="80" workbookViewId="0">
      <selection activeCell="B23" sqref="B23:E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7.88671875" style="20" customWidth="1"/>
    <col min="11" max="11" width="4.109375" style="20" customWidth="1"/>
    <col min="12" max="17" width="11.44140625" style="20"/>
    <col min="18" max="18" width="18.109375" style="20" customWidth="1"/>
    <col min="19" max="20" width="11.5546875" style="20" bestFit="1" customWidth="1"/>
    <col min="21" max="21" width="15.88671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8"/>
      <c r="M1" s="768"/>
      <c r="N1" s="768"/>
      <c r="O1" s="769">
        <v>0</v>
      </c>
      <c r="P1" s="769"/>
      <c r="Q1" s="769"/>
      <c r="R1" s="769"/>
      <c r="S1" s="769"/>
      <c r="T1" s="769"/>
      <c r="U1" s="769"/>
    </row>
    <row r="2" spans="1:21" x14ac:dyDescent="0.25">
      <c r="A2" s="765"/>
      <c r="B2" s="765"/>
      <c r="C2" s="765"/>
      <c r="D2" s="766" t="str">
        <f>'PPTO HOJA'!A5</f>
        <v>MUNICIPIO DE ARBOLETES</v>
      </c>
      <c r="E2" s="766"/>
      <c r="F2" s="766"/>
      <c r="G2" s="766"/>
      <c r="H2" s="766"/>
      <c r="I2" s="766"/>
      <c r="J2" s="766"/>
      <c r="L2" s="768"/>
      <c r="M2" s="768"/>
      <c r="N2" s="768"/>
      <c r="O2" s="769">
        <v>0</v>
      </c>
      <c r="P2" s="769"/>
      <c r="Q2" s="769"/>
      <c r="R2" s="769"/>
      <c r="S2" s="769"/>
      <c r="T2" s="769"/>
      <c r="U2" s="769"/>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8"/>
      <c r="M3" s="768"/>
      <c r="N3" s="768"/>
      <c r="O3" s="770">
        <v>0</v>
      </c>
      <c r="P3" s="770"/>
      <c r="Q3" s="770"/>
      <c r="R3" s="770"/>
      <c r="S3" s="770"/>
      <c r="T3" s="770"/>
      <c r="U3" s="770"/>
    </row>
    <row r="4" spans="1:21" x14ac:dyDescent="0.25">
      <c r="A4" s="765"/>
      <c r="B4" s="765"/>
      <c r="C4" s="765"/>
      <c r="D4" s="766" t="s">
        <v>20</v>
      </c>
      <c r="E4" s="766"/>
      <c r="F4" s="766"/>
      <c r="G4" s="766"/>
      <c r="H4" s="766"/>
      <c r="I4" s="766"/>
      <c r="J4" s="766"/>
      <c r="L4" s="768"/>
      <c r="M4" s="768"/>
      <c r="N4" s="768"/>
      <c r="O4" s="769" t="s">
        <v>20</v>
      </c>
      <c r="P4" s="769"/>
      <c r="Q4" s="769"/>
      <c r="R4" s="769"/>
      <c r="S4" s="769"/>
      <c r="T4" s="769"/>
      <c r="U4" s="769"/>
    </row>
    <row r="5" spans="1:21" ht="9.75" customHeight="1" x14ac:dyDescent="0.25">
      <c r="A5" s="22"/>
      <c r="J5" s="23"/>
      <c r="L5" s="22"/>
      <c r="U5" s="23"/>
    </row>
    <row r="6" spans="1:21" s="21" customFormat="1" ht="33" customHeight="1" x14ac:dyDescent="0.3">
      <c r="A6" s="30" t="s">
        <v>21</v>
      </c>
      <c r="B6" s="29" t="s">
        <v>22</v>
      </c>
      <c r="C6" s="116">
        <f>'PPTO HOJA'!A12</f>
        <v>1.01</v>
      </c>
      <c r="D6" s="28"/>
      <c r="E6" s="764" t="str">
        <f>'PPTO HOJA'!B12</f>
        <v>Excavación manual en material común bajo cualquier grado de humedad</v>
      </c>
      <c r="F6" s="764"/>
      <c r="G6" s="764"/>
      <c r="H6" s="764"/>
      <c r="I6" s="30" t="s">
        <v>23</v>
      </c>
      <c r="J6" s="31" t="str">
        <f>'PPTO HOJA'!C12</f>
        <v>m3</v>
      </c>
      <c r="L6" s="202" t="s">
        <v>21</v>
      </c>
      <c r="M6" s="29" t="s">
        <v>22</v>
      </c>
      <c r="N6" s="116">
        <f>'PPTO HOJA'!I12</f>
        <v>0</v>
      </c>
      <c r="O6" s="28"/>
      <c r="P6" s="764" t="str">
        <f>E6</f>
        <v>Excavación manual en material común bajo cualquier grado de humedad</v>
      </c>
      <c r="Q6" s="764"/>
      <c r="R6" s="764"/>
      <c r="S6" s="764"/>
      <c r="T6" s="30" t="s">
        <v>23</v>
      </c>
      <c r="U6" s="31" t="str">
        <f>J6</f>
        <v>m3</v>
      </c>
    </row>
    <row r="7" spans="1:21" ht="15" customHeight="1" x14ac:dyDescent="0.25">
      <c r="A7" s="22"/>
      <c r="B7" s="761" t="s">
        <v>24</v>
      </c>
      <c r="C7" s="761"/>
      <c r="D7" s="761"/>
      <c r="E7" s="761"/>
      <c r="F7" s="761"/>
      <c r="G7" s="761"/>
      <c r="H7" s="761"/>
      <c r="I7" s="761"/>
      <c r="J7" s="761"/>
      <c r="L7" s="22"/>
      <c r="M7" s="761" t="s">
        <v>24</v>
      </c>
      <c r="N7" s="761"/>
      <c r="O7" s="761"/>
      <c r="P7" s="761"/>
      <c r="Q7" s="761"/>
      <c r="R7" s="761"/>
      <c r="S7" s="761"/>
      <c r="T7" s="761"/>
      <c r="U7" s="761"/>
    </row>
    <row r="8" spans="1:21" x14ac:dyDescent="0.25">
      <c r="A8" s="22"/>
      <c r="B8" s="763" t="s">
        <v>25</v>
      </c>
      <c r="C8" s="763"/>
      <c r="D8" s="763"/>
      <c r="E8" s="763"/>
      <c r="F8" s="763"/>
      <c r="G8" s="31" t="s">
        <v>26</v>
      </c>
      <c r="H8" s="31" t="s">
        <v>27</v>
      </c>
      <c r="I8" s="31" t="s">
        <v>28</v>
      </c>
      <c r="J8" s="32" t="s">
        <v>29</v>
      </c>
      <c r="L8" s="22"/>
      <c r="M8" s="763" t="s">
        <v>25</v>
      </c>
      <c r="N8" s="763"/>
      <c r="O8" s="763"/>
      <c r="P8" s="763"/>
      <c r="Q8" s="763"/>
      <c r="R8" s="31" t="s">
        <v>26</v>
      </c>
      <c r="S8" s="31" t="s">
        <v>27</v>
      </c>
      <c r="T8" s="31" t="s">
        <v>28</v>
      </c>
      <c r="U8" s="32" t="s">
        <v>29</v>
      </c>
    </row>
    <row r="9" spans="1:21" ht="15" customHeight="1" x14ac:dyDescent="0.25">
      <c r="A9" s="22"/>
      <c r="B9" s="760" t="s">
        <v>30</v>
      </c>
      <c r="C9" s="760"/>
      <c r="D9" s="760"/>
      <c r="E9" s="760"/>
      <c r="F9" s="760"/>
      <c r="G9" s="31"/>
      <c r="H9" s="24"/>
      <c r="I9" s="33">
        <v>0.05</v>
      </c>
      <c r="J9" s="24">
        <f>ROUND(I9*J41,0)</f>
        <v>1965</v>
      </c>
      <c r="L9" s="22"/>
      <c r="M9" s="760" t="s">
        <v>30</v>
      </c>
      <c r="N9" s="760"/>
      <c r="O9" s="760"/>
      <c r="P9" s="760"/>
      <c r="Q9" s="760"/>
      <c r="R9" s="31"/>
      <c r="S9" s="24"/>
      <c r="T9" s="33">
        <v>0.05</v>
      </c>
      <c r="U9" s="24">
        <f>ROUND(T9*U41,0)</f>
        <v>1965</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64"/>
      <c r="N10" s="764"/>
      <c r="O10" s="764"/>
      <c r="P10" s="764"/>
      <c r="Q10" s="764"/>
      <c r="R10" s="31" t="str">
        <f>IF(M10="","",VLOOKUP(M10,EQUIPOS!$B$7:$F$46,3,FALSE))</f>
        <v/>
      </c>
      <c r="S10" s="24" t="str">
        <f>IF(M10="","",VLOOKUP(M10,EQUIPOS!$B$7:$F$46,5,FALSE))</f>
        <v/>
      </c>
      <c r="T10" s="34"/>
      <c r="U10" s="24">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60"/>
      <c r="N11" s="760"/>
      <c r="O11" s="760"/>
      <c r="P11" s="760"/>
      <c r="Q11" s="760"/>
      <c r="R11" s="31" t="str">
        <f>IF(M11="","",VLOOKUP(M11,EQUIPOS!$B$7:$F$46,3,FALSE))</f>
        <v/>
      </c>
      <c r="S11" s="24" t="str">
        <f>IF(M11="","",VLOOKUP(M11,EQUIPOS!$B$7:$F$46,5,FALSE))</f>
        <v/>
      </c>
      <c r="T11" s="34"/>
      <c r="U11" s="24">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60"/>
      <c r="N12" s="760"/>
      <c r="O12" s="760"/>
      <c r="P12" s="760"/>
      <c r="Q12" s="760"/>
      <c r="R12" s="31" t="str">
        <f>IF(M12="","",VLOOKUP(M12,EQUIPOS!$B$7:$F$46,3,FALSE))</f>
        <v/>
      </c>
      <c r="S12" s="24" t="str">
        <f>IF(M12="","",VLOOKUP(M12,EQUIPOS!$B$7:$F$46,5,FALSE))</f>
        <v/>
      </c>
      <c r="T12" s="34"/>
      <c r="U12" s="24">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60"/>
      <c r="N13" s="760"/>
      <c r="O13" s="760"/>
      <c r="P13" s="760"/>
      <c r="Q13" s="760"/>
      <c r="R13" s="31" t="str">
        <f>IF(M13="","",VLOOKUP(M13,EQUIPOS!$B$7:$F$46,3,FALSE))</f>
        <v/>
      </c>
      <c r="S13" s="24" t="str">
        <f>IF(M13="","",VLOOKUP(M13,EQUIPOS!$B$7:$F$46,5,FALSE))</f>
        <v/>
      </c>
      <c r="T13" s="34"/>
      <c r="U13" s="24">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60"/>
      <c r="N14" s="760"/>
      <c r="O14" s="760"/>
      <c r="P14" s="760"/>
      <c r="Q14" s="760"/>
      <c r="R14" s="31" t="str">
        <f>IF(M14="","",VLOOKUP(M14,EQUIPOS!$B$7:$F$46,3,FALSE))</f>
        <v/>
      </c>
      <c r="S14" s="24" t="str">
        <f>IF(M14="","",VLOOKUP(M14,EQUIPOS!$B$7:$F$46,5,FALSE))</f>
        <v/>
      </c>
      <c r="T14" s="34"/>
      <c r="U14" s="24"/>
    </row>
    <row r="15" spans="1:21" ht="15" customHeight="1" x14ac:dyDescent="0.25">
      <c r="A15" s="22"/>
      <c r="B15" s="761" t="s">
        <v>31</v>
      </c>
      <c r="C15" s="761"/>
      <c r="D15" s="761"/>
      <c r="E15" s="761"/>
      <c r="F15" s="761"/>
      <c r="G15" s="761"/>
      <c r="H15" s="761"/>
      <c r="I15" s="761"/>
      <c r="J15" s="24">
        <f>SUM(J9:J14)</f>
        <v>1965</v>
      </c>
      <c r="L15" s="22"/>
      <c r="M15" s="761" t="s">
        <v>31</v>
      </c>
      <c r="N15" s="761"/>
      <c r="O15" s="761"/>
      <c r="P15" s="761"/>
      <c r="Q15" s="761"/>
      <c r="R15" s="761"/>
      <c r="S15" s="761"/>
      <c r="T15" s="761"/>
      <c r="U15" s="24">
        <f>SUM(U9:U14)</f>
        <v>1965</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61" t="s">
        <v>32</v>
      </c>
      <c r="N17" s="761"/>
      <c r="O17" s="761"/>
      <c r="P17" s="761"/>
      <c r="Q17" s="761"/>
      <c r="R17" s="761"/>
      <c r="S17" s="761"/>
      <c r="T17" s="761"/>
      <c r="U17" s="761"/>
    </row>
    <row r="18" spans="1:21" ht="26.4" x14ac:dyDescent="0.25">
      <c r="A18" s="22"/>
      <c r="B18" s="763" t="s">
        <v>33</v>
      </c>
      <c r="C18" s="763"/>
      <c r="D18" s="763"/>
      <c r="E18" s="763"/>
      <c r="F18" s="28" t="s">
        <v>19</v>
      </c>
      <c r="G18" s="31" t="s">
        <v>34</v>
      </c>
      <c r="H18" s="32" t="s">
        <v>35</v>
      </c>
      <c r="I18" s="32" t="s">
        <v>36</v>
      </c>
      <c r="J18" s="32" t="s">
        <v>29</v>
      </c>
      <c r="L18" s="22"/>
      <c r="M18" s="763" t="s">
        <v>33</v>
      </c>
      <c r="N18" s="763"/>
      <c r="O18" s="763"/>
      <c r="P18" s="763"/>
      <c r="Q18" s="28" t="s">
        <v>19</v>
      </c>
      <c r="R18" s="31" t="s">
        <v>34</v>
      </c>
      <c r="S18" s="32" t="s">
        <v>35</v>
      </c>
      <c r="T18" s="32" t="s">
        <v>36</v>
      </c>
      <c r="U18" s="32" t="s">
        <v>29</v>
      </c>
    </row>
    <row r="19" spans="1:21" ht="14.25" customHeight="1" x14ac:dyDescent="0.25">
      <c r="A19" s="22"/>
      <c r="B19" s="764"/>
      <c r="C19" s="764"/>
      <c r="D19" s="764"/>
      <c r="E19" s="764"/>
      <c r="F19" s="34"/>
      <c r="G19" s="31" t="str">
        <f>IF(F19=0,"",VLOOKUP(B19,'LISTADO DE MATERIALES'!$B$6:$D$311,2,FALSE))</f>
        <v/>
      </c>
      <c r="H19" s="107"/>
      <c r="I19" s="24" t="str">
        <f>IF(F19=0,"",VLOOKUP(B19,'LISTADO DE MATERIALES'!$B$6:$D$311,3,FALSE))</f>
        <v/>
      </c>
      <c r="J19" s="24">
        <f>IF(I19="",0,ROUND((+F19*I19*(1+H19)),0))</f>
        <v>0</v>
      </c>
      <c r="L19" s="22"/>
      <c r="M19" s="764"/>
      <c r="N19" s="764"/>
      <c r="O19" s="764"/>
      <c r="P19" s="764"/>
      <c r="Q19" s="34"/>
      <c r="R19" s="31" t="str">
        <f>IF(Q19=0,"",VLOOKUP(M19,'LISTADO DE MATERIALES'!$B$6:$D$311,2,FALSE))</f>
        <v/>
      </c>
      <c r="S19" s="107"/>
      <c r="T19" s="24" t="str">
        <f>IF(Q19=0,"",VLOOKUP(M19,'LISTADO DE MATERIALES'!$B$6:$D$311,3,FALSE))</f>
        <v/>
      </c>
      <c r="U19" s="24">
        <f>IF(T19="",0,ROUND((+Q19*T19*(1+S19)),0))</f>
        <v>0</v>
      </c>
    </row>
    <row r="20" spans="1:21" ht="15" customHeight="1" x14ac:dyDescent="0.25">
      <c r="A20" s="22"/>
      <c r="B20" s="760"/>
      <c r="C20" s="760"/>
      <c r="D20" s="760"/>
      <c r="E20" s="760"/>
      <c r="F20" s="34"/>
      <c r="G20" s="31" t="str">
        <f>IF(F20=0,"",VLOOKUP(B20,'LISTADO DE MATERIALES'!$B$6:$D$311,2,FALSE))</f>
        <v/>
      </c>
      <c r="H20" s="107"/>
      <c r="I20" s="24" t="str">
        <f>IF(F20=0,"",VLOOKUP(B20,'LISTADO DE MATERIALES'!$B$6:$D$311,3,FALSE))</f>
        <v/>
      </c>
      <c r="J20" s="24">
        <f t="shared" ref="J20:J24" si="2">IF(I20="",0,ROUND((+F20*I20*(1+H20)),0))</f>
        <v>0</v>
      </c>
      <c r="L20" s="22"/>
      <c r="M20" s="760"/>
      <c r="N20" s="760"/>
      <c r="O20" s="760"/>
      <c r="P20" s="760"/>
      <c r="Q20" s="34"/>
      <c r="R20" s="31" t="str">
        <f>IF(Q20=0,"",VLOOKUP(M20,'LISTADO DE MATERIALES'!$B$6:$D$311,2,FALSE))</f>
        <v/>
      </c>
      <c r="S20" s="107"/>
      <c r="T20" s="24" t="str">
        <f>IF(Q20=0,"",VLOOKUP(M20,'LISTADO DE MATERIALES'!$B$6:$D$311,3,FALSE))</f>
        <v/>
      </c>
      <c r="U20" s="24">
        <f t="shared" ref="U20:U24" si="3">IF(T20="",0,ROUND((+Q20*T20*(1+S20)),0))</f>
        <v>0</v>
      </c>
    </row>
    <row r="21" spans="1:21" ht="15" customHeight="1" x14ac:dyDescent="0.25">
      <c r="A21" s="22"/>
      <c r="B21" s="760"/>
      <c r="C21" s="760"/>
      <c r="D21" s="760"/>
      <c r="E21" s="760"/>
      <c r="F21" s="34"/>
      <c r="G21" s="31" t="str">
        <f>IF(F21=0,"",VLOOKUP(B21,'LISTADO DE MATERIALES'!$B$6:$D$311,2,FALSE))</f>
        <v/>
      </c>
      <c r="H21" s="107"/>
      <c r="I21" s="24" t="str">
        <f>IF(F21=0,"",VLOOKUP(B21,'LISTADO DE MATERIALES'!$B$6:$D$311,3,FALSE))</f>
        <v/>
      </c>
      <c r="J21" s="24">
        <f t="shared" si="2"/>
        <v>0</v>
      </c>
      <c r="L21" s="22"/>
      <c r="M21" s="760"/>
      <c r="N21" s="760"/>
      <c r="O21" s="760"/>
      <c r="P21" s="760"/>
      <c r="Q21" s="34"/>
      <c r="R21" s="31" t="str">
        <f>IF(Q21=0,"",VLOOKUP(M21,'LISTADO DE MATERIALES'!$B$6:$D$311,2,FALSE))</f>
        <v/>
      </c>
      <c r="S21" s="107"/>
      <c r="T21" s="24" t="str">
        <f>IF(Q21=0,"",VLOOKUP(M21,'LISTADO DE MATERIALES'!$B$6:$D$311,3,FALSE))</f>
        <v/>
      </c>
      <c r="U21" s="24">
        <f t="shared" si="3"/>
        <v>0</v>
      </c>
    </row>
    <row r="22" spans="1:21"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60"/>
      <c r="N22" s="760"/>
      <c r="O22" s="760"/>
      <c r="P22" s="760"/>
      <c r="Q22" s="34"/>
      <c r="R22" s="31" t="str">
        <f>IF(Q22=0,"",VLOOKUP(M22,'LISTADO DE MATERIALES'!$B$6:$D$311,2,FALSE))</f>
        <v/>
      </c>
      <c r="S22" s="107"/>
      <c r="T22" s="24" t="str">
        <f>IF(Q22=0,"",VLOOKUP(M22,'LISTADO DE MATERIALES'!$B$6:$D$311,3,FALSE))</f>
        <v/>
      </c>
      <c r="U22" s="24">
        <f t="shared" si="3"/>
        <v>0</v>
      </c>
    </row>
    <row r="23" spans="1:21"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60"/>
      <c r="N23" s="760"/>
      <c r="O23" s="760"/>
      <c r="P23" s="760"/>
      <c r="Q23" s="34"/>
      <c r="R23" s="31" t="str">
        <f>IF(Q23=0,"",VLOOKUP(M23,'LISTADO DE MATERIALES'!$B$6:$D$311,2,FALSE))</f>
        <v/>
      </c>
      <c r="S23" s="107"/>
      <c r="T23" s="24" t="str">
        <f>IF(Q23=0,"",VLOOKUP(M23,'LISTADO DE MATERIALES'!$B$6:$D$311,3,FALSE))</f>
        <v/>
      </c>
      <c r="U23" s="24">
        <f t="shared" si="3"/>
        <v>0</v>
      </c>
    </row>
    <row r="24" spans="1:21"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60"/>
      <c r="N24" s="760"/>
      <c r="O24" s="760"/>
      <c r="P24" s="760"/>
      <c r="Q24" s="34"/>
      <c r="R24" s="31" t="str">
        <f>IF(Q24=0,"",VLOOKUP(M24,'LISTADO DE MATERIALES'!$B$6:$D$311,2,FALSE))</f>
        <v/>
      </c>
      <c r="S24" s="107"/>
      <c r="T24" s="24" t="str">
        <f>IF(Q24=0,"",VLOOKUP(M24,'LISTADO DE MATERIALES'!$B$6:$D$311,3,FALSE))</f>
        <v/>
      </c>
      <c r="U24" s="24">
        <f t="shared" si="3"/>
        <v>0</v>
      </c>
    </row>
    <row r="25" spans="1:21" ht="15" customHeight="1" x14ac:dyDescent="0.25">
      <c r="A25" s="22"/>
      <c r="B25" s="761" t="s">
        <v>37</v>
      </c>
      <c r="C25" s="761"/>
      <c r="D25" s="761"/>
      <c r="E25" s="761"/>
      <c r="F25" s="761"/>
      <c r="G25" s="761"/>
      <c r="H25" s="761"/>
      <c r="I25" s="761"/>
      <c r="J25" s="24">
        <f>SUM(J19:J24)</f>
        <v>0</v>
      </c>
      <c r="L25" s="22"/>
      <c r="M25" s="761" t="s">
        <v>37</v>
      </c>
      <c r="N25" s="761"/>
      <c r="O25" s="761"/>
      <c r="P25" s="761"/>
      <c r="Q25" s="761"/>
      <c r="R25" s="761"/>
      <c r="S25" s="761"/>
      <c r="T25" s="761"/>
      <c r="U25" s="24">
        <f>SUM(U19:U24)</f>
        <v>0</v>
      </c>
    </row>
    <row r="26" spans="1:21" ht="7.5" customHeight="1" x14ac:dyDescent="0.25">
      <c r="A26" s="22"/>
      <c r="B26" s="25"/>
      <c r="C26" s="25"/>
      <c r="D26" s="25"/>
      <c r="E26" s="25"/>
      <c r="F26" s="25"/>
      <c r="G26" s="25"/>
      <c r="H26" s="25"/>
      <c r="I26" s="25"/>
      <c r="J26" s="26"/>
      <c r="L26" s="22"/>
      <c r="M26" s="25"/>
      <c r="N26" s="25"/>
      <c r="O26" s="25"/>
      <c r="P26" s="25"/>
      <c r="Q26" s="25"/>
      <c r="R26" s="25"/>
      <c r="S26" s="25"/>
      <c r="T26" s="25"/>
      <c r="U26" s="26"/>
    </row>
    <row r="27" spans="1:21" ht="15" customHeight="1" x14ac:dyDescent="0.25">
      <c r="A27" s="22"/>
      <c r="B27" s="761" t="s">
        <v>38</v>
      </c>
      <c r="C27" s="761"/>
      <c r="D27" s="761"/>
      <c r="E27" s="761"/>
      <c r="F27" s="761"/>
      <c r="G27" s="761"/>
      <c r="H27" s="761"/>
      <c r="I27" s="761"/>
      <c r="J27" s="761"/>
      <c r="L27" s="22"/>
      <c r="M27" s="761" t="s">
        <v>38</v>
      </c>
      <c r="N27" s="761"/>
      <c r="O27" s="761"/>
      <c r="P27" s="761"/>
      <c r="Q27" s="761"/>
      <c r="R27" s="761"/>
      <c r="S27" s="761"/>
      <c r="T27" s="761"/>
      <c r="U27" s="761"/>
    </row>
    <row r="28" spans="1:21" x14ac:dyDescent="0.25">
      <c r="A28" s="22"/>
      <c r="B28" s="763" t="s">
        <v>33</v>
      </c>
      <c r="C28" s="763"/>
      <c r="D28" s="763"/>
      <c r="E28" s="763"/>
      <c r="F28" s="763"/>
      <c r="G28" s="31" t="s">
        <v>133</v>
      </c>
      <c r="H28" s="31" t="s">
        <v>132</v>
      </c>
      <c r="I28" s="31" t="s">
        <v>39</v>
      </c>
      <c r="J28" s="32" t="s">
        <v>29</v>
      </c>
      <c r="L28" s="22"/>
      <c r="M28" s="763" t="s">
        <v>33</v>
      </c>
      <c r="N28" s="763"/>
      <c r="O28" s="763"/>
      <c r="P28" s="763"/>
      <c r="Q28" s="763"/>
      <c r="R28" s="31" t="s">
        <v>133</v>
      </c>
      <c r="S28" s="31" t="s">
        <v>132</v>
      </c>
      <c r="T28" s="31" t="s">
        <v>39</v>
      </c>
      <c r="U28" s="32" t="s">
        <v>29</v>
      </c>
    </row>
    <row r="29" spans="1:21" ht="15" customHeight="1" x14ac:dyDescent="0.25">
      <c r="A29" s="22"/>
      <c r="B29" s="760"/>
      <c r="C29" s="760"/>
      <c r="D29" s="760"/>
      <c r="E29" s="760"/>
      <c r="F29" s="760"/>
      <c r="G29" s="31"/>
      <c r="H29" s="34"/>
      <c r="I29" s="24"/>
      <c r="J29" s="24">
        <f>ROUND((I29*H29*G29),0)</f>
        <v>0</v>
      </c>
      <c r="L29" s="22"/>
      <c r="M29" s="760"/>
      <c r="N29" s="760"/>
      <c r="O29" s="760"/>
      <c r="P29" s="760"/>
      <c r="Q29" s="760"/>
      <c r="R29" s="31"/>
      <c r="S29" s="34"/>
      <c r="T29" s="24"/>
      <c r="U29" s="24">
        <f>ROUND((T29*S29*R29),0)</f>
        <v>0</v>
      </c>
    </row>
    <row r="30" spans="1:21" ht="15" customHeight="1" x14ac:dyDescent="0.25">
      <c r="A30" s="22"/>
      <c r="B30" s="760"/>
      <c r="C30" s="760"/>
      <c r="D30" s="760"/>
      <c r="E30" s="760"/>
      <c r="F30" s="760"/>
      <c r="G30" s="31"/>
      <c r="H30" s="34"/>
      <c r="I30" s="24"/>
      <c r="J30" s="24">
        <v>0</v>
      </c>
      <c r="L30" s="22"/>
      <c r="M30" s="760"/>
      <c r="N30" s="760"/>
      <c r="O30" s="760"/>
      <c r="P30" s="760"/>
      <c r="Q30" s="760"/>
      <c r="R30" s="31"/>
      <c r="S30" s="34"/>
      <c r="T30" s="24"/>
      <c r="U30" s="24">
        <v>0</v>
      </c>
    </row>
    <row r="31" spans="1:21" ht="15" customHeight="1" x14ac:dyDescent="0.25">
      <c r="A31" s="22"/>
      <c r="B31" s="760"/>
      <c r="C31" s="760"/>
      <c r="D31" s="760"/>
      <c r="E31" s="760"/>
      <c r="F31" s="760"/>
      <c r="G31" s="31"/>
      <c r="H31" s="34"/>
      <c r="I31" s="24"/>
      <c r="J31" s="24">
        <v>0</v>
      </c>
      <c r="L31" s="22"/>
      <c r="M31" s="760"/>
      <c r="N31" s="760"/>
      <c r="O31" s="760"/>
      <c r="P31" s="760"/>
      <c r="Q31" s="760"/>
      <c r="R31" s="31"/>
      <c r="S31" s="34"/>
      <c r="T31" s="24"/>
      <c r="U31" s="24">
        <v>0</v>
      </c>
    </row>
    <row r="32" spans="1:21" ht="15" customHeight="1" x14ac:dyDescent="0.25">
      <c r="A32" s="22"/>
      <c r="B32" s="760"/>
      <c r="C32" s="760"/>
      <c r="D32" s="760"/>
      <c r="E32" s="760"/>
      <c r="F32" s="760"/>
      <c r="G32" s="31"/>
      <c r="H32" s="31"/>
      <c r="I32" s="24"/>
      <c r="J32" s="24">
        <v>0</v>
      </c>
      <c r="L32" s="22"/>
      <c r="M32" s="760"/>
      <c r="N32" s="760"/>
      <c r="O32" s="760"/>
      <c r="P32" s="760"/>
      <c r="Q32" s="760"/>
      <c r="R32" s="31"/>
      <c r="S32" s="31"/>
      <c r="T32" s="24"/>
      <c r="U32" s="24">
        <v>0</v>
      </c>
    </row>
    <row r="33" spans="1:21" ht="15" customHeight="1" x14ac:dyDescent="0.25">
      <c r="A33" s="22"/>
      <c r="B33" s="761" t="s">
        <v>40</v>
      </c>
      <c r="C33" s="761"/>
      <c r="D33" s="761"/>
      <c r="E33" s="761"/>
      <c r="F33" s="761"/>
      <c r="G33" s="761"/>
      <c r="H33" s="761"/>
      <c r="I33" s="761"/>
      <c r="J33" s="24">
        <f>SUM(J29:J32)</f>
        <v>0</v>
      </c>
      <c r="L33" s="22"/>
      <c r="M33" s="761" t="s">
        <v>40</v>
      </c>
      <c r="N33" s="761"/>
      <c r="O33" s="761"/>
      <c r="P33" s="761"/>
      <c r="Q33" s="761"/>
      <c r="R33" s="761"/>
      <c r="S33" s="761"/>
      <c r="T33" s="761"/>
      <c r="U33" s="24">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26.4"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120</v>
      </c>
      <c r="C37" s="760"/>
      <c r="D37" s="760"/>
      <c r="E37" s="760"/>
      <c r="F37" s="760"/>
      <c r="G37" s="24">
        <f>IF(B37="","",VLOOKUP(B37,CUADRILLAS!$B$87:$C$101,2,FALSE))</f>
        <v>157213.73333333334</v>
      </c>
      <c r="H37" s="31">
        <v>1</v>
      </c>
      <c r="I37" s="34">
        <v>10</v>
      </c>
      <c r="J37" s="24">
        <f>ROUND(+IF(I37=0,0,G37*H37/I37),0)</f>
        <v>15721</v>
      </c>
      <c r="L37" s="22"/>
      <c r="M37" s="760" t="s">
        <v>120</v>
      </c>
      <c r="N37" s="760"/>
      <c r="O37" s="760"/>
      <c r="P37" s="760"/>
      <c r="Q37" s="760"/>
      <c r="R37" s="24">
        <f>IF(M37="","",VLOOKUP(M37,CUADRILLAS!$B$87:$C$101,2,FALSE))</f>
        <v>157213.73333333334</v>
      </c>
      <c r="S37" s="31">
        <v>1</v>
      </c>
      <c r="T37" s="34">
        <v>10</v>
      </c>
      <c r="U37" s="181">
        <f>ROUND(+IF(T37=0,0,R37*S37/T37),0)</f>
        <v>15721</v>
      </c>
    </row>
    <row r="38" spans="1:21" ht="15" customHeight="1" x14ac:dyDescent="0.25">
      <c r="A38" s="22"/>
      <c r="B38" s="760" t="s">
        <v>121</v>
      </c>
      <c r="C38" s="760"/>
      <c r="D38" s="760"/>
      <c r="E38" s="760"/>
      <c r="F38" s="760"/>
      <c r="G38" s="24">
        <f>IF(B38="","",VLOOKUP(B38,CUADRILLAS!$B$87:$C$101,2,FALSE))</f>
        <v>78606.866666666669</v>
      </c>
      <c r="H38" s="31">
        <v>3</v>
      </c>
      <c r="I38" s="34">
        <f>I37</f>
        <v>10</v>
      </c>
      <c r="J38" s="24">
        <f>ROUND(+IF(I38=0,0,G38*H38/I38),0)</f>
        <v>23582</v>
      </c>
      <c r="L38" s="22"/>
      <c r="M38" s="760" t="s">
        <v>121</v>
      </c>
      <c r="N38" s="760"/>
      <c r="O38" s="760"/>
      <c r="P38" s="760"/>
      <c r="Q38" s="760"/>
      <c r="R38" s="24">
        <f>IF(M38="","",VLOOKUP(M38,CUADRILLAS!$B$87:$C$101,2,FALSE))</f>
        <v>78606.866666666669</v>
      </c>
      <c r="S38" s="31">
        <v>3</v>
      </c>
      <c r="T38" s="34">
        <f>T37</f>
        <v>10</v>
      </c>
      <c r="U38" s="181">
        <f>ROUND(+IF(T38=0,0,R38*S38/T38),0)</f>
        <v>23582</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39303</v>
      </c>
      <c r="L41" s="22"/>
      <c r="M41" s="772" t="s">
        <v>42</v>
      </c>
      <c r="N41" s="772"/>
      <c r="O41" s="772"/>
      <c r="P41" s="772"/>
      <c r="Q41" s="772"/>
      <c r="R41" s="772"/>
      <c r="S41" s="772"/>
      <c r="T41" s="772"/>
      <c r="U41" s="181">
        <f>SUM(U37:U40)</f>
        <v>39303</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41268</v>
      </c>
      <c r="L43" s="27"/>
      <c r="M43" s="773" t="s">
        <v>43</v>
      </c>
      <c r="N43" s="773"/>
      <c r="O43" s="773"/>
      <c r="P43" s="773"/>
      <c r="Q43" s="773"/>
      <c r="R43" s="773"/>
      <c r="S43" s="773"/>
      <c r="T43" s="773"/>
      <c r="U43" s="210">
        <f>+U41+U33+U15+U25</f>
        <v>41268</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E6:H6"/>
    <mergeCell ref="A1:C4"/>
    <mergeCell ref="D1:J1"/>
    <mergeCell ref="D2:J2"/>
    <mergeCell ref="D3:J3"/>
    <mergeCell ref="D4:J4"/>
    <mergeCell ref="B19:E19"/>
    <mergeCell ref="B7:J7"/>
    <mergeCell ref="B8:F8"/>
    <mergeCell ref="B9:F9"/>
    <mergeCell ref="B10:F10"/>
    <mergeCell ref="B11:F11"/>
    <mergeCell ref="B12:F12"/>
    <mergeCell ref="B13:F13"/>
    <mergeCell ref="B14:F14"/>
    <mergeCell ref="B15:I15"/>
    <mergeCell ref="B17:J17"/>
    <mergeCell ref="B18:E18"/>
    <mergeCell ref="B32:F32"/>
    <mergeCell ref="B20:E20"/>
    <mergeCell ref="B21:E21"/>
    <mergeCell ref="B22:E22"/>
    <mergeCell ref="B23:E23"/>
    <mergeCell ref="B24:E24"/>
    <mergeCell ref="B25:I25"/>
    <mergeCell ref="B27:J27"/>
    <mergeCell ref="B28:F28"/>
    <mergeCell ref="B29:F29"/>
    <mergeCell ref="B30:F30"/>
    <mergeCell ref="B31:F31"/>
    <mergeCell ref="B40:F40"/>
    <mergeCell ref="B41:I41"/>
    <mergeCell ref="B43:I43"/>
    <mergeCell ref="B33:I33"/>
    <mergeCell ref="B35:J35"/>
    <mergeCell ref="B36:F36"/>
    <mergeCell ref="B37:F37"/>
    <mergeCell ref="B38:F38"/>
    <mergeCell ref="B39:F39"/>
  </mergeCells>
  <hyperlinks>
    <hyperlink ref="C6" location="'PPTO HOJA'!A13" display="'PPTO HOJA'!A13" xr:uid="{00000000-0004-0000-0200-000000000000}"/>
    <hyperlink ref="N6" location="'PPTO HOJA'!A13" display="'PPTO HOJA'!A13" xr:uid="{00000000-0004-0000-02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0200-000000000000}">
          <x14:formula1>
            <xm:f>CUADRILLAS!$B$86:$B$101</xm:f>
          </x14:formula1>
          <xm:sqref>B37:F40 M37:Q38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6">
    <tabColor theme="9" tint="0.59999389629810485"/>
  </sheetPr>
  <dimension ref="A1:U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8.5546875" style="20" customWidth="1"/>
    <col min="11" max="11" width="5.5546875" style="20" customWidth="1"/>
    <col min="12" max="17" width="11.44140625" style="20"/>
    <col min="18" max="18" width="15.109375" style="20" customWidth="1"/>
    <col min="19" max="19" width="13.6640625" style="20" customWidth="1"/>
    <col min="20" max="20" width="14.44140625" style="20" customWidth="1"/>
    <col min="21" max="21" width="19" style="20" customWidth="1"/>
    <col min="22" max="22" width="11.44140625" style="20" customWidth="1"/>
    <col min="23"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21</v>
      </c>
      <c r="B6" s="29" t="s">
        <v>22</v>
      </c>
      <c r="C6" s="116">
        <f>'PPTO HOJA'!A13</f>
        <v>1.02</v>
      </c>
      <c r="D6" s="28"/>
      <c r="E6" s="764" t="str">
        <f>'PPTO HOJA'!B13</f>
        <v>Relleno con material mixto para cimentación de tubería</v>
      </c>
      <c r="F6" s="764"/>
      <c r="G6" s="764"/>
      <c r="H6" s="764"/>
      <c r="I6" s="30" t="s">
        <v>23</v>
      </c>
      <c r="J6" s="31" t="str">
        <f>'PPTO HOJA'!C13</f>
        <v>m3</v>
      </c>
      <c r="L6" s="30" t="s">
        <v>21</v>
      </c>
      <c r="M6" s="29" t="s">
        <v>22</v>
      </c>
      <c r="N6" s="116">
        <v>1.02</v>
      </c>
      <c r="O6" s="28"/>
      <c r="P6" s="764" t="s">
        <v>167</v>
      </c>
      <c r="Q6" s="764"/>
      <c r="R6" s="764"/>
      <c r="S6" s="764"/>
      <c r="T6" s="30" t="s">
        <v>23</v>
      </c>
      <c r="U6" s="31" t="str">
        <f>J6</f>
        <v>m3</v>
      </c>
    </row>
    <row r="7" spans="1:21" ht="15" customHeight="1" x14ac:dyDescent="0.25">
      <c r="A7" s="22"/>
      <c r="B7" s="761" t="s">
        <v>24</v>
      </c>
      <c r="C7" s="761"/>
      <c r="D7" s="761"/>
      <c r="E7" s="761"/>
      <c r="F7" s="761"/>
      <c r="G7" s="761"/>
      <c r="H7" s="761"/>
      <c r="I7" s="761"/>
      <c r="J7" s="761"/>
      <c r="L7" s="22"/>
      <c r="M7" s="761" t="s">
        <v>24</v>
      </c>
      <c r="N7" s="761"/>
      <c r="O7" s="761"/>
      <c r="P7" s="761"/>
      <c r="Q7" s="761"/>
      <c r="R7" s="761"/>
      <c r="S7" s="761"/>
      <c r="T7" s="761"/>
      <c r="U7" s="761"/>
    </row>
    <row r="8" spans="1:21" x14ac:dyDescent="0.25">
      <c r="A8" s="22"/>
      <c r="B8" s="763" t="s">
        <v>25</v>
      </c>
      <c r="C8" s="763"/>
      <c r="D8" s="763"/>
      <c r="E8" s="763"/>
      <c r="F8" s="763"/>
      <c r="G8" s="31" t="s">
        <v>26</v>
      </c>
      <c r="H8" s="31" t="s">
        <v>27</v>
      </c>
      <c r="I8" s="31" t="s">
        <v>28</v>
      </c>
      <c r="J8" s="32" t="s">
        <v>29</v>
      </c>
      <c r="L8" s="22"/>
      <c r="M8" s="763" t="s">
        <v>25</v>
      </c>
      <c r="N8" s="763"/>
      <c r="O8" s="763"/>
      <c r="P8" s="763"/>
      <c r="Q8" s="763"/>
      <c r="R8" s="31" t="s">
        <v>26</v>
      </c>
      <c r="S8" s="31" t="s">
        <v>27</v>
      </c>
      <c r="T8" s="31" t="s">
        <v>28</v>
      </c>
      <c r="U8" s="32" t="s">
        <v>29</v>
      </c>
    </row>
    <row r="9" spans="1:21" ht="15" customHeight="1" x14ac:dyDescent="0.25">
      <c r="A9" s="22"/>
      <c r="B9" s="760" t="s">
        <v>30</v>
      </c>
      <c r="C9" s="760"/>
      <c r="D9" s="760"/>
      <c r="E9" s="760"/>
      <c r="F9" s="760"/>
      <c r="G9" s="31"/>
      <c r="H9" s="24"/>
      <c r="I9" s="33">
        <v>0.05</v>
      </c>
      <c r="J9" s="24">
        <f>ROUND(I9*J41,0)</f>
        <v>393</v>
      </c>
      <c r="L9" s="22"/>
      <c r="M9" s="760" t="s">
        <v>30</v>
      </c>
      <c r="N9" s="760"/>
      <c r="O9" s="760"/>
      <c r="P9" s="760"/>
      <c r="Q9" s="760"/>
      <c r="R9" s="31"/>
      <c r="S9" s="24"/>
      <c r="T9" s="33">
        <v>0.05</v>
      </c>
      <c r="U9" s="24">
        <f>ROUND(T9*U41,0)</f>
        <v>393</v>
      </c>
    </row>
    <row r="10" spans="1:21" ht="29.25" customHeight="1" x14ac:dyDescent="0.25">
      <c r="A10" s="22"/>
      <c r="B10" s="764" t="s">
        <v>110</v>
      </c>
      <c r="C10" s="764"/>
      <c r="D10" s="764"/>
      <c r="E10" s="764"/>
      <c r="F10" s="764"/>
      <c r="G10" s="31" t="str">
        <f>IF(B10="","",VLOOKUP(B10,EQUIPOS!$B$7:$F$46,3,FALSE))</f>
        <v>GASOLINA</v>
      </c>
      <c r="H10" s="24">
        <f>IF(B10="","",VLOOKUP(B10,EQUIPOS!$B$7:$F$46,5,FALSE))</f>
        <v>95840</v>
      </c>
      <c r="I10" s="34">
        <f>+I37</f>
        <v>20</v>
      </c>
      <c r="J10" s="24">
        <f>IF(B10="",0,ROUND(H10/I10,0))</f>
        <v>4792</v>
      </c>
      <c r="L10" s="22"/>
      <c r="M10" s="764" t="s">
        <v>110</v>
      </c>
      <c r="N10" s="764"/>
      <c r="O10" s="764"/>
      <c r="P10" s="764"/>
      <c r="Q10" s="764"/>
      <c r="R10" s="31" t="str">
        <f>IF(M10="","",VLOOKUP(M10,EQUIPOS!$B$7:$F$46,3,FALSE))</f>
        <v>GASOLINA</v>
      </c>
      <c r="S10" s="271">
        <f>IF(M10="","",VLOOKUP(M10,EQUIPOS!$B$7:$F$46,5,FALSE))</f>
        <v>95840</v>
      </c>
      <c r="T10" s="34">
        <f>+T37</f>
        <v>20</v>
      </c>
      <c r="U10" s="24">
        <f>IF(M10="",0,ROUND(S10/T10,0))</f>
        <v>4792</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60"/>
      <c r="N11" s="760"/>
      <c r="O11" s="760"/>
      <c r="P11" s="760"/>
      <c r="Q11" s="760"/>
      <c r="R11" s="31" t="str">
        <f>IF(M11="","",VLOOKUP(M11,EQUIPOS!$B$7:$F$46,3,FALSE))</f>
        <v/>
      </c>
      <c r="S11" s="24" t="str">
        <f>IF(M11="","",VLOOKUP(M11,EQUIPOS!$B$7:$F$46,5,FALSE))</f>
        <v/>
      </c>
      <c r="T11" s="34"/>
      <c r="U11" s="24">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60"/>
      <c r="N12" s="760"/>
      <c r="O12" s="760"/>
      <c r="P12" s="760"/>
      <c r="Q12" s="760"/>
      <c r="R12" s="31" t="str">
        <f>IF(M12="","",VLOOKUP(M12,EQUIPOS!$B$7:$F$46,3,FALSE))</f>
        <v/>
      </c>
      <c r="S12" s="24" t="str">
        <f>IF(M12="","",VLOOKUP(M12,EQUIPOS!$B$7:$F$46,5,FALSE))</f>
        <v/>
      </c>
      <c r="T12" s="34"/>
      <c r="U12" s="24">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60"/>
      <c r="N13" s="760"/>
      <c r="O13" s="760"/>
      <c r="P13" s="760"/>
      <c r="Q13" s="760"/>
      <c r="R13" s="31" t="str">
        <f>IF(M13="","",VLOOKUP(M13,EQUIPOS!$B$7:$F$46,3,FALSE))</f>
        <v/>
      </c>
      <c r="S13" s="24" t="str">
        <f>IF(M13="","",VLOOKUP(M13,EQUIPOS!$B$7:$F$46,5,FALSE))</f>
        <v/>
      </c>
      <c r="T13" s="34"/>
      <c r="U13" s="24">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60"/>
      <c r="N14" s="760"/>
      <c r="O14" s="760"/>
      <c r="P14" s="760"/>
      <c r="Q14" s="760"/>
      <c r="R14" s="31" t="str">
        <f>IF(M14="","",VLOOKUP(M14,EQUIPOS!$B$7:$F$46,3,FALSE))</f>
        <v/>
      </c>
      <c r="S14" s="24" t="str">
        <f>IF(M14="","",VLOOKUP(M14,EQUIPOS!$B$7:$F$46,5,FALSE))</f>
        <v/>
      </c>
      <c r="T14" s="34"/>
      <c r="U14" s="24"/>
    </row>
    <row r="15" spans="1:21" ht="15" customHeight="1" x14ac:dyDescent="0.25">
      <c r="A15" s="22"/>
      <c r="B15" s="761" t="s">
        <v>31</v>
      </c>
      <c r="C15" s="761"/>
      <c r="D15" s="761"/>
      <c r="E15" s="761"/>
      <c r="F15" s="761"/>
      <c r="G15" s="761"/>
      <c r="H15" s="761"/>
      <c r="I15" s="761"/>
      <c r="J15" s="24">
        <f>SUM(J9:J14)</f>
        <v>5185</v>
      </c>
      <c r="L15" s="22"/>
      <c r="M15" s="761" t="s">
        <v>31</v>
      </c>
      <c r="N15" s="761"/>
      <c r="O15" s="761"/>
      <c r="P15" s="761"/>
      <c r="Q15" s="761"/>
      <c r="R15" s="761"/>
      <c r="S15" s="761"/>
      <c r="T15" s="761"/>
      <c r="U15" s="24">
        <f>SUM(U9:U14)</f>
        <v>5185</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61" t="s">
        <v>32</v>
      </c>
      <c r="N17" s="761"/>
      <c r="O17" s="761"/>
      <c r="P17" s="761"/>
      <c r="Q17" s="761"/>
      <c r="R17" s="761"/>
      <c r="S17" s="761"/>
      <c r="T17" s="761"/>
      <c r="U17" s="761"/>
    </row>
    <row r="18" spans="1:21" ht="26.4" x14ac:dyDescent="0.25">
      <c r="A18" s="22"/>
      <c r="B18" s="763" t="s">
        <v>33</v>
      </c>
      <c r="C18" s="763"/>
      <c r="D18" s="763"/>
      <c r="E18" s="763"/>
      <c r="F18" s="28" t="s">
        <v>19</v>
      </c>
      <c r="G18" s="31" t="s">
        <v>34</v>
      </c>
      <c r="H18" s="32" t="s">
        <v>35</v>
      </c>
      <c r="I18" s="32" t="s">
        <v>36</v>
      </c>
      <c r="J18" s="32" t="s">
        <v>29</v>
      </c>
      <c r="L18" s="22"/>
      <c r="M18" s="763" t="s">
        <v>33</v>
      </c>
      <c r="N18" s="763"/>
      <c r="O18" s="763"/>
      <c r="P18" s="763"/>
      <c r="Q18" s="28" t="s">
        <v>19</v>
      </c>
      <c r="R18" s="31" t="s">
        <v>34</v>
      </c>
      <c r="S18" s="32" t="s">
        <v>35</v>
      </c>
      <c r="T18" s="32" t="s">
        <v>36</v>
      </c>
      <c r="U18" s="32" t="s">
        <v>29</v>
      </c>
    </row>
    <row r="19" spans="1:21" ht="14.25" customHeight="1" x14ac:dyDescent="0.25">
      <c r="A19" s="22"/>
      <c r="B19" s="764" t="s">
        <v>161</v>
      </c>
      <c r="C19" s="764"/>
      <c r="D19" s="764"/>
      <c r="E19" s="764"/>
      <c r="F19" s="34">
        <v>1.3</v>
      </c>
      <c r="G19" s="31" t="str">
        <f>IF(F19=0,"",VLOOKUP(B19,'LISTADO DE MATERIALES'!$B$6:$D$311,2,FALSE))</f>
        <v>m3</v>
      </c>
      <c r="H19" s="107">
        <v>0.1</v>
      </c>
      <c r="I19" s="24">
        <f>IF(F19=0,"",VLOOKUP(B19,'LISTADO DE MATERIALES'!$B$6:$D$311,3,FALSE))</f>
        <v>89250</v>
      </c>
      <c r="J19" s="24">
        <f>IF(I19="",0,ROUND((+F19*I19*(1+H19)),0))</f>
        <v>127628</v>
      </c>
      <c r="L19" s="22"/>
      <c r="M19" s="764" t="s">
        <v>161</v>
      </c>
      <c r="N19" s="764"/>
      <c r="O19" s="764"/>
      <c r="P19" s="764"/>
      <c r="Q19" s="34">
        <v>1.3</v>
      </c>
      <c r="R19" s="31" t="str">
        <f>IF(Q19=0,"",VLOOKUP(M19,'LISTADO DE MATERIALES'!$B$6:$D$311,2,FALSE))</f>
        <v>m3</v>
      </c>
      <c r="S19" s="107">
        <v>0</v>
      </c>
      <c r="T19" s="24">
        <f>IF(Q19=0,"",VLOOKUP(M19,'LISTADO DE MATERIALES'!$B$6:$D$311,3,FALSE))</f>
        <v>89250</v>
      </c>
      <c r="U19" s="24">
        <f>IF(T19="",0,ROUND((+Q19*T19*(1+S19)),0))</f>
        <v>116025</v>
      </c>
    </row>
    <row r="20" spans="1:21" ht="15" customHeight="1" x14ac:dyDescent="0.25">
      <c r="A20" s="22"/>
      <c r="B20" s="760"/>
      <c r="C20" s="760"/>
      <c r="D20" s="760"/>
      <c r="E20" s="760"/>
      <c r="F20" s="34"/>
      <c r="G20" s="31"/>
      <c r="H20" s="107"/>
      <c r="I20" s="24"/>
      <c r="J20" s="24">
        <f t="shared" ref="J20:J24" si="2">IF(I20="",0,ROUND((+F20*I20*(1+H20)),0))</f>
        <v>0</v>
      </c>
      <c r="L20" s="22"/>
      <c r="M20" s="775"/>
      <c r="N20" s="775"/>
      <c r="O20" s="775"/>
      <c r="P20" s="775"/>
      <c r="Q20" s="241"/>
      <c r="R20" s="269"/>
      <c r="S20" s="270"/>
      <c r="T20" s="271"/>
      <c r="U20" s="271"/>
    </row>
    <row r="21" spans="1:21" ht="15" customHeight="1" x14ac:dyDescent="0.25">
      <c r="A21" s="22"/>
      <c r="B21" s="760"/>
      <c r="C21" s="760"/>
      <c r="D21" s="760"/>
      <c r="E21" s="760"/>
      <c r="F21" s="34"/>
      <c r="G21" s="31" t="str">
        <f>IF(F21=0,"",VLOOKUP(B21,'LISTADO DE MATERIALES'!$B$6:$D$311,2,FALSE))</f>
        <v/>
      </c>
      <c r="H21" s="107"/>
      <c r="I21" s="24" t="str">
        <f>IF(F21=0,"",VLOOKUP(B21,'LISTADO DE MATERIALES'!$B$6:$D$311,3,FALSE))</f>
        <v/>
      </c>
      <c r="J21" s="24">
        <f t="shared" si="2"/>
        <v>0</v>
      </c>
      <c r="L21" s="22"/>
      <c r="M21" s="760"/>
      <c r="N21" s="760"/>
      <c r="O21" s="760"/>
      <c r="P21" s="760"/>
      <c r="Q21" s="34"/>
      <c r="R21" s="31" t="str">
        <f>IF(Q21=0,"",VLOOKUP(M21,'LISTADO DE MATERIALES'!$B$6:$D$311,2,FALSE))</f>
        <v/>
      </c>
      <c r="S21" s="107"/>
      <c r="T21" s="24" t="str">
        <f>IF(Q21=0,"",VLOOKUP(M21,'LISTADO DE MATERIALES'!$B$6:$D$311,3,FALSE))</f>
        <v/>
      </c>
      <c r="U21" s="24">
        <f t="shared" ref="U21:U24" si="3">IF(T21="",0,ROUND((+Q21*T21*(1+S21)),0))</f>
        <v>0</v>
      </c>
    </row>
    <row r="22" spans="1:21"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60"/>
      <c r="N22" s="760"/>
      <c r="O22" s="760"/>
      <c r="P22" s="760"/>
      <c r="Q22" s="34"/>
      <c r="R22" s="31" t="str">
        <f>IF(Q22=0,"",VLOOKUP(M22,'LISTADO DE MATERIALES'!$B$6:$D$311,2,FALSE))</f>
        <v/>
      </c>
      <c r="S22" s="107"/>
      <c r="T22" s="24" t="str">
        <f>IF(Q22=0,"",VLOOKUP(M22,'LISTADO DE MATERIALES'!$B$6:$D$311,3,FALSE))</f>
        <v/>
      </c>
      <c r="U22" s="24">
        <f t="shared" si="3"/>
        <v>0</v>
      </c>
    </row>
    <row r="23" spans="1:21"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60"/>
      <c r="N23" s="760"/>
      <c r="O23" s="760"/>
      <c r="P23" s="760"/>
      <c r="Q23" s="34"/>
      <c r="R23" s="31" t="str">
        <f>IF(Q23=0,"",VLOOKUP(M23,'LISTADO DE MATERIALES'!$B$6:$D$311,2,FALSE))</f>
        <v/>
      </c>
      <c r="S23" s="107"/>
      <c r="T23" s="24" t="str">
        <f>IF(Q23=0,"",VLOOKUP(M23,'LISTADO DE MATERIALES'!$B$6:$D$311,3,FALSE))</f>
        <v/>
      </c>
      <c r="U23" s="24">
        <f t="shared" si="3"/>
        <v>0</v>
      </c>
    </row>
    <row r="24" spans="1:21"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60"/>
      <c r="N24" s="760"/>
      <c r="O24" s="760"/>
      <c r="P24" s="760"/>
      <c r="Q24" s="34"/>
      <c r="R24" s="31" t="str">
        <f>IF(Q24=0,"",VLOOKUP(M24,'LISTADO DE MATERIALES'!$B$6:$D$311,2,FALSE))</f>
        <v/>
      </c>
      <c r="S24" s="107"/>
      <c r="T24" s="24" t="str">
        <f>IF(Q24=0,"",VLOOKUP(M24,'LISTADO DE MATERIALES'!$B$6:$D$311,3,FALSE))</f>
        <v/>
      </c>
      <c r="U24" s="24">
        <f t="shared" si="3"/>
        <v>0</v>
      </c>
    </row>
    <row r="25" spans="1:21" ht="15" customHeight="1" x14ac:dyDescent="0.25">
      <c r="A25" s="22"/>
      <c r="B25" s="761" t="s">
        <v>37</v>
      </c>
      <c r="C25" s="761"/>
      <c r="D25" s="761"/>
      <c r="E25" s="761"/>
      <c r="F25" s="761"/>
      <c r="G25" s="761"/>
      <c r="H25" s="761"/>
      <c r="I25" s="761"/>
      <c r="J25" s="24">
        <f>SUM(J19:J24)</f>
        <v>127628</v>
      </c>
      <c r="L25" s="22"/>
      <c r="M25" s="761" t="s">
        <v>37</v>
      </c>
      <c r="N25" s="761"/>
      <c r="O25" s="761"/>
      <c r="P25" s="761"/>
      <c r="Q25" s="761"/>
      <c r="R25" s="761"/>
      <c r="S25" s="761"/>
      <c r="T25" s="761"/>
      <c r="U25" s="24">
        <f>SUM(U19:U24)</f>
        <v>116025</v>
      </c>
    </row>
    <row r="26" spans="1:21" ht="7.5" customHeight="1" x14ac:dyDescent="0.25">
      <c r="A26" s="22"/>
      <c r="B26" s="25"/>
      <c r="C26" s="25"/>
      <c r="D26" s="25"/>
      <c r="E26" s="25"/>
      <c r="F26" s="25"/>
      <c r="G26" s="25"/>
      <c r="H26" s="25"/>
      <c r="I26" s="25"/>
      <c r="J26" s="26"/>
      <c r="L26" s="22"/>
      <c r="M26" s="25"/>
      <c r="N26" s="25"/>
      <c r="O26" s="25"/>
      <c r="P26" s="25"/>
      <c r="Q26" s="25"/>
      <c r="R26" s="25"/>
      <c r="S26" s="25"/>
      <c r="T26" s="25"/>
      <c r="U26" s="26"/>
    </row>
    <row r="27" spans="1:21" ht="15" customHeight="1" x14ac:dyDescent="0.25">
      <c r="A27" s="22"/>
      <c r="B27" s="761" t="s">
        <v>38</v>
      </c>
      <c r="C27" s="761"/>
      <c r="D27" s="761"/>
      <c r="E27" s="761"/>
      <c r="F27" s="761"/>
      <c r="G27" s="761"/>
      <c r="H27" s="761"/>
      <c r="I27" s="761"/>
      <c r="J27" s="761"/>
      <c r="L27" s="22"/>
      <c r="M27" s="761" t="s">
        <v>38</v>
      </c>
      <c r="N27" s="761"/>
      <c r="O27" s="761"/>
      <c r="P27" s="761"/>
      <c r="Q27" s="761"/>
      <c r="R27" s="761"/>
      <c r="S27" s="761"/>
      <c r="T27" s="761"/>
      <c r="U27" s="761"/>
    </row>
    <row r="28" spans="1:21" x14ac:dyDescent="0.25">
      <c r="A28" s="22"/>
      <c r="B28" s="763" t="s">
        <v>33</v>
      </c>
      <c r="C28" s="763"/>
      <c r="D28" s="763"/>
      <c r="E28" s="763"/>
      <c r="F28" s="763"/>
      <c r="G28" s="31" t="s">
        <v>133</v>
      </c>
      <c r="H28" s="31" t="s">
        <v>132</v>
      </c>
      <c r="I28" s="31" t="s">
        <v>39</v>
      </c>
      <c r="J28" s="32" t="s">
        <v>29</v>
      </c>
      <c r="L28" s="22"/>
      <c r="M28" s="763" t="s">
        <v>33</v>
      </c>
      <c r="N28" s="763"/>
      <c r="O28" s="763"/>
      <c r="P28" s="763"/>
      <c r="Q28" s="763"/>
      <c r="R28" s="31" t="s">
        <v>133</v>
      </c>
      <c r="S28" s="31" t="s">
        <v>132</v>
      </c>
      <c r="T28" s="31" t="s">
        <v>39</v>
      </c>
      <c r="U28" s="32" t="s">
        <v>29</v>
      </c>
    </row>
    <row r="29" spans="1:21" ht="15" customHeight="1" x14ac:dyDescent="0.25">
      <c r="A29" s="22"/>
      <c r="B29" s="760" t="s">
        <v>249</v>
      </c>
      <c r="C29" s="760"/>
      <c r="D29" s="760"/>
      <c r="E29" s="760"/>
      <c r="F29" s="760"/>
      <c r="G29" s="31">
        <v>1.25</v>
      </c>
      <c r="H29" s="318">
        <f>+TRANSPORTE!B6</f>
        <v>70</v>
      </c>
      <c r="I29" s="24">
        <f>+TRANSPORTE!C6</f>
        <v>1241.46</v>
      </c>
      <c r="J29" s="24">
        <f>ROUND((I29*H29*G29),0)</f>
        <v>108628</v>
      </c>
      <c r="L29" s="22"/>
      <c r="M29" s="760" t="s">
        <v>249</v>
      </c>
      <c r="N29" s="760"/>
      <c r="O29" s="760"/>
      <c r="P29" s="760"/>
      <c r="Q29" s="760"/>
      <c r="R29" s="34">
        <f>+Q19</f>
        <v>1.3</v>
      </c>
      <c r="S29" s="34">
        <v>32</v>
      </c>
      <c r="T29" s="24">
        <v>1153.6600000000001</v>
      </c>
      <c r="U29" s="24">
        <f>ROUND((T29*S29*R29),0)</f>
        <v>47992</v>
      </c>
    </row>
    <row r="30" spans="1:21" ht="15" customHeight="1" x14ac:dyDescent="0.25">
      <c r="A30" s="22"/>
      <c r="B30" s="760"/>
      <c r="C30" s="760"/>
      <c r="D30" s="760"/>
      <c r="E30" s="760"/>
      <c r="F30" s="760"/>
      <c r="G30" s="31"/>
      <c r="H30" s="34"/>
      <c r="I30" s="24"/>
      <c r="J30" s="24">
        <v>0</v>
      </c>
      <c r="L30" s="22"/>
      <c r="M30" s="760"/>
      <c r="N30" s="760"/>
      <c r="O30" s="760"/>
      <c r="P30" s="760"/>
      <c r="Q30" s="760"/>
      <c r="R30" s="31"/>
      <c r="S30" s="34"/>
      <c r="T30" s="24"/>
      <c r="U30" s="24">
        <v>0</v>
      </c>
    </row>
    <row r="31" spans="1:21" ht="15" customHeight="1" x14ac:dyDescent="0.25">
      <c r="A31" s="22"/>
      <c r="B31" s="760"/>
      <c r="C31" s="760"/>
      <c r="D31" s="760"/>
      <c r="E31" s="760"/>
      <c r="F31" s="760"/>
      <c r="G31" s="31"/>
      <c r="H31" s="34"/>
      <c r="I31" s="24"/>
      <c r="J31" s="24">
        <v>0</v>
      </c>
      <c r="L31" s="22"/>
      <c r="M31" s="760"/>
      <c r="N31" s="760"/>
      <c r="O31" s="760"/>
      <c r="P31" s="760"/>
      <c r="Q31" s="760"/>
      <c r="R31" s="31"/>
      <c r="S31" s="34"/>
      <c r="T31" s="24"/>
      <c r="U31" s="24">
        <v>0</v>
      </c>
    </row>
    <row r="32" spans="1:21" ht="15" customHeight="1" x14ac:dyDescent="0.25">
      <c r="A32" s="22"/>
      <c r="B32" s="760"/>
      <c r="C32" s="760"/>
      <c r="D32" s="760"/>
      <c r="E32" s="760"/>
      <c r="F32" s="760"/>
      <c r="G32" s="31"/>
      <c r="H32" s="31"/>
      <c r="I32" s="24"/>
      <c r="J32" s="24">
        <v>0</v>
      </c>
      <c r="L32" s="22"/>
      <c r="M32" s="760"/>
      <c r="N32" s="760"/>
      <c r="O32" s="760"/>
      <c r="P32" s="760"/>
      <c r="Q32" s="760"/>
      <c r="R32" s="31"/>
      <c r="S32" s="31"/>
      <c r="T32" s="24"/>
      <c r="U32" s="24">
        <v>0</v>
      </c>
    </row>
    <row r="33" spans="1:21" ht="15" customHeight="1" x14ac:dyDescent="0.25">
      <c r="A33" s="22"/>
      <c r="B33" s="761" t="s">
        <v>40</v>
      </c>
      <c r="C33" s="761"/>
      <c r="D33" s="761"/>
      <c r="E33" s="761"/>
      <c r="F33" s="761"/>
      <c r="G33" s="761"/>
      <c r="H33" s="761"/>
      <c r="I33" s="761"/>
      <c r="J33" s="24">
        <f>SUM(J29:J32)</f>
        <v>108628</v>
      </c>
      <c r="L33" s="22"/>
      <c r="M33" s="761" t="s">
        <v>40</v>
      </c>
      <c r="N33" s="761"/>
      <c r="O33" s="761"/>
      <c r="P33" s="761"/>
      <c r="Q33" s="761"/>
      <c r="R33" s="761"/>
      <c r="S33" s="761"/>
      <c r="T33" s="761"/>
      <c r="U33" s="24">
        <f>SUM(U29:U32)</f>
        <v>47992</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61" t="s">
        <v>41</v>
      </c>
      <c r="N35" s="761"/>
      <c r="O35" s="761"/>
      <c r="P35" s="761"/>
      <c r="Q35" s="761"/>
      <c r="R35" s="761"/>
      <c r="S35" s="761"/>
      <c r="T35" s="761"/>
      <c r="U35" s="761"/>
    </row>
    <row r="36" spans="1:21" ht="26.4" x14ac:dyDescent="0.25">
      <c r="A36" s="22"/>
      <c r="B36" s="763" t="s">
        <v>4</v>
      </c>
      <c r="C36" s="763"/>
      <c r="D36" s="763"/>
      <c r="E36" s="763"/>
      <c r="F36" s="763"/>
      <c r="G36" s="32" t="s">
        <v>51</v>
      </c>
      <c r="H36" s="32" t="s">
        <v>19</v>
      </c>
      <c r="I36" s="32" t="s">
        <v>28</v>
      </c>
      <c r="J36" s="32" t="s">
        <v>29</v>
      </c>
      <c r="L36" s="22"/>
      <c r="M36" s="763" t="s">
        <v>4</v>
      </c>
      <c r="N36" s="763"/>
      <c r="O36" s="763"/>
      <c r="P36" s="763"/>
      <c r="Q36" s="763"/>
      <c r="R36" s="32" t="s">
        <v>51</v>
      </c>
      <c r="S36" s="32" t="s">
        <v>19</v>
      </c>
      <c r="T36" s="32" t="s">
        <v>28</v>
      </c>
      <c r="U36" s="32" t="s">
        <v>29</v>
      </c>
    </row>
    <row r="37" spans="1:21" ht="15" customHeight="1" x14ac:dyDescent="0.25">
      <c r="A37" s="22"/>
      <c r="B37" s="760" t="s">
        <v>121</v>
      </c>
      <c r="C37" s="760"/>
      <c r="D37" s="760"/>
      <c r="E37" s="760"/>
      <c r="F37" s="760"/>
      <c r="G37" s="24">
        <f>IF(B37="","",VLOOKUP(B37,CUADRILLAS!$B$87:$C$101,2,FALSE))</f>
        <v>78606.866666666669</v>
      </c>
      <c r="H37" s="31">
        <v>2</v>
      </c>
      <c r="I37" s="34">
        <v>20</v>
      </c>
      <c r="J37" s="24">
        <f>ROUND(+IF(I37=0,0,G37*H37/I37),0)</f>
        <v>7861</v>
      </c>
      <c r="L37" s="22"/>
      <c r="M37" s="760" t="s">
        <v>121</v>
      </c>
      <c r="N37" s="760"/>
      <c r="O37" s="760"/>
      <c r="P37" s="760"/>
      <c r="Q37" s="760"/>
      <c r="R37" s="24">
        <f>IF(M37="","",VLOOKUP(M37,CUADRILLAS!$B$87:$C$101,2,FALSE))</f>
        <v>78606.866666666669</v>
      </c>
      <c r="S37" s="31">
        <v>2</v>
      </c>
      <c r="T37" s="34">
        <v>20</v>
      </c>
      <c r="U37" s="24">
        <f>ROUND(+IF(T37=0,0,R37*S37/T37),0)</f>
        <v>7861</v>
      </c>
    </row>
    <row r="38" spans="1:21" ht="15" customHeight="1" x14ac:dyDescent="0.25">
      <c r="A38" s="22"/>
      <c r="B38" s="760"/>
      <c r="C38" s="760"/>
      <c r="D38" s="760"/>
      <c r="E38" s="760"/>
      <c r="F38" s="760"/>
      <c r="G38" s="24" t="str">
        <f>IF(B38="","",VLOOKUP(B38,CUADRILLAS!$B$87:$C$101,2,FALSE))</f>
        <v/>
      </c>
      <c r="H38" s="31"/>
      <c r="I38" s="34"/>
      <c r="J38" s="24">
        <f>ROUND(+IF(I38=0,0,G38*H38/I38),0)</f>
        <v>0</v>
      </c>
      <c r="L38" s="22"/>
      <c r="M38" s="760"/>
      <c r="N38" s="760"/>
      <c r="O38" s="760"/>
      <c r="P38" s="760"/>
      <c r="Q38" s="760"/>
      <c r="R38" s="24" t="str">
        <f>IF(M38="","",VLOOKUP(M38,CUADRILLAS!$B$87:$C$101,2,FALSE))</f>
        <v/>
      </c>
      <c r="S38" s="31"/>
      <c r="T38" s="34"/>
      <c r="U38" s="24">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60"/>
      <c r="N39" s="760"/>
      <c r="O39" s="760"/>
      <c r="P39" s="760"/>
      <c r="Q39" s="760"/>
      <c r="R39" s="24" t="str">
        <f>IF(M39="","",VLOOKUP(M39,CUADRILLAS!$B$87:$C$101,2,FALSE))</f>
        <v/>
      </c>
      <c r="S39" s="31"/>
      <c r="T39" s="34"/>
      <c r="U39" s="24">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60"/>
      <c r="N40" s="760"/>
      <c r="O40" s="760"/>
      <c r="P40" s="760"/>
      <c r="Q40" s="760"/>
      <c r="R40" s="24" t="str">
        <f>IF(M40="","",VLOOKUP(M40,CUADRILLAS!$B$87:$C$101,2,FALSE))</f>
        <v/>
      </c>
      <c r="S40" s="31"/>
      <c r="T40" s="34"/>
      <c r="U40" s="24">
        <f t="shared" si="5"/>
        <v>0</v>
      </c>
    </row>
    <row r="41" spans="1:21" ht="15" customHeight="1" x14ac:dyDescent="0.25">
      <c r="A41" s="22"/>
      <c r="B41" s="761" t="s">
        <v>42</v>
      </c>
      <c r="C41" s="761"/>
      <c r="D41" s="761"/>
      <c r="E41" s="761"/>
      <c r="F41" s="761"/>
      <c r="G41" s="761"/>
      <c r="H41" s="761"/>
      <c r="I41" s="761"/>
      <c r="J41" s="24">
        <f>SUM(J37:J40)</f>
        <v>7861</v>
      </c>
      <c r="L41" s="22"/>
      <c r="M41" s="761" t="s">
        <v>42</v>
      </c>
      <c r="N41" s="761"/>
      <c r="O41" s="761"/>
      <c r="P41" s="761"/>
      <c r="Q41" s="761"/>
      <c r="R41" s="761"/>
      <c r="S41" s="761"/>
      <c r="T41" s="761"/>
      <c r="U41" s="24">
        <f>SUM(U37:U40)</f>
        <v>7861</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249302</v>
      </c>
      <c r="L43" s="27"/>
      <c r="M43" s="762" t="s">
        <v>43</v>
      </c>
      <c r="N43" s="762"/>
      <c r="O43" s="762"/>
      <c r="P43" s="762"/>
      <c r="Q43" s="762"/>
      <c r="R43" s="762"/>
      <c r="S43" s="762"/>
      <c r="T43" s="762"/>
      <c r="U43" s="106">
        <f>+U41+U33+U15+U25</f>
        <v>177063</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14" display="'PPTO HOJA'!A14" xr:uid="{00000000-0004-0000-0300-000000000000}"/>
    <hyperlink ref="N6" location="'PPTO HOJA'!A14" display="'PPTO HOJA'!A14" xr:uid="{00000000-0004-0000-0300-000001000000}"/>
  </hyperlinks>
  <pageMargins left="0.7" right="0.7" top="0.75" bottom="0.75" header="0.3" footer="0.3"/>
  <pageSetup paperSize="9" scale="33" orientation="portrait" r:id="rId1"/>
  <drawing r:id="rId2"/>
  <legacyDrawing r:id="rId3"/>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0300-000000000000}">
          <x14:formula1>
            <xm:f>CUADRILLAS!$B$86:$B$101</xm:f>
          </x14:formula1>
          <xm:sqref>B37:F40 M37:Q40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7">
    <tabColor theme="9" tint="0.59999389629810485"/>
  </sheetPr>
  <dimension ref="A1:V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9.6640625" style="20" customWidth="1"/>
    <col min="11" max="11" width="5.88671875" style="20" customWidth="1"/>
    <col min="12" max="13" width="11.44140625" style="20"/>
    <col min="14" max="14" width="11.5546875" style="20" bestFit="1" customWidth="1"/>
    <col min="15" max="16" width="11.44140625" style="20"/>
    <col min="17" max="17" width="11.5546875" style="20" bestFit="1" customWidth="1"/>
    <col min="18" max="18" width="13.6640625" style="20" customWidth="1"/>
    <col min="19" max="19" width="12.33203125" style="20" bestFit="1" customWidth="1"/>
    <col min="20" max="20" width="13.109375" style="20" bestFit="1" customWidth="1"/>
    <col min="21" max="21" width="18.44140625" style="20"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21</v>
      </c>
      <c r="B6" s="29" t="s">
        <v>22</v>
      </c>
      <c r="C6" s="116">
        <f>'PPTO HOJA'!A14</f>
        <v>1.03</v>
      </c>
      <c r="D6" s="28"/>
      <c r="E6" s="764" t="str">
        <f>'PPTO HOJA'!B14</f>
        <v>Relleno con material seleccionado tipo afirmado</v>
      </c>
      <c r="F6" s="764"/>
      <c r="G6" s="764"/>
      <c r="H6" s="764"/>
      <c r="I6" s="30" t="s">
        <v>23</v>
      </c>
      <c r="J6" s="31" t="str">
        <f>'PPTO HOJA'!C14</f>
        <v>m3</v>
      </c>
      <c r="L6" s="30" t="s">
        <v>21</v>
      </c>
      <c r="M6" s="29" t="s">
        <v>22</v>
      </c>
      <c r="N6" s="116">
        <v>1.03</v>
      </c>
      <c r="O6" s="28"/>
      <c r="P6" s="764" t="s">
        <v>183</v>
      </c>
      <c r="Q6" s="764"/>
      <c r="R6" s="764"/>
      <c r="S6" s="764"/>
      <c r="T6" s="30" t="s">
        <v>23</v>
      </c>
      <c r="U6" s="31" t="s">
        <v>261</v>
      </c>
    </row>
    <row r="7" spans="1:21" ht="15" customHeight="1" x14ac:dyDescent="0.25">
      <c r="A7" s="22"/>
      <c r="B7" s="761" t="s">
        <v>24</v>
      </c>
      <c r="C7" s="761"/>
      <c r="D7" s="761"/>
      <c r="E7" s="761"/>
      <c r="F7" s="761"/>
      <c r="G7" s="761"/>
      <c r="H7" s="761"/>
      <c r="I7" s="761"/>
      <c r="J7" s="761"/>
      <c r="L7" s="22"/>
      <c r="M7" s="761" t="s">
        <v>24</v>
      </c>
      <c r="N7" s="761"/>
      <c r="O7" s="761"/>
      <c r="P7" s="761"/>
      <c r="Q7" s="761"/>
      <c r="R7" s="761"/>
      <c r="S7" s="761"/>
      <c r="T7" s="761"/>
      <c r="U7" s="761"/>
    </row>
    <row r="8" spans="1:21" x14ac:dyDescent="0.25">
      <c r="A8" s="22"/>
      <c r="B8" s="763" t="s">
        <v>25</v>
      </c>
      <c r="C8" s="763"/>
      <c r="D8" s="763"/>
      <c r="E8" s="763"/>
      <c r="F8" s="763"/>
      <c r="G8" s="31" t="s">
        <v>26</v>
      </c>
      <c r="H8" s="31" t="s">
        <v>27</v>
      </c>
      <c r="I8" s="31" t="s">
        <v>28</v>
      </c>
      <c r="J8" s="32" t="s">
        <v>29</v>
      </c>
      <c r="L8" s="22"/>
      <c r="M8" s="763" t="s">
        <v>25</v>
      </c>
      <c r="N8" s="763"/>
      <c r="O8" s="763"/>
      <c r="P8" s="763"/>
      <c r="Q8" s="763"/>
      <c r="R8" s="31" t="s">
        <v>26</v>
      </c>
      <c r="S8" s="31" t="s">
        <v>27</v>
      </c>
      <c r="T8" s="31" t="s">
        <v>28</v>
      </c>
      <c r="U8" s="32" t="s">
        <v>29</v>
      </c>
    </row>
    <row r="9" spans="1:21" ht="15" customHeight="1" x14ac:dyDescent="0.25">
      <c r="A9" s="22"/>
      <c r="B9" s="760" t="s">
        <v>30</v>
      </c>
      <c r="C9" s="760"/>
      <c r="D9" s="760"/>
      <c r="E9" s="760"/>
      <c r="F9" s="760"/>
      <c r="G9" s="31"/>
      <c r="H9" s="24"/>
      <c r="I9" s="33">
        <v>0.05</v>
      </c>
      <c r="J9" s="24">
        <f>ROUND(I9*J41,0)</f>
        <v>1123</v>
      </c>
      <c r="L9" s="22"/>
      <c r="M9" s="760" t="s">
        <v>30</v>
      </c>
      <c r="N9" s="760"/>
      <c r="O9" s="760"/>
      <c r="P9" s="760"/>
      <c r="Q9" s="760"/>
      <c r="R9" s="31"/>
      <c r="S9" s="24"/>
      <c r="T9" s="33">
        <v>0.05</v>
      </c>
      <c r="U9" s="24">
        <f>ROUND(T9*U41,0)</f>
        <v>842</v>
      </c>
    </row>
    <row r="10" spans="1:21" ht="24.75" customHeight="1" x14ac:dyDescent="0.25">
      <c r="A10" s="22"/>
      <c r="B10" s="764" t="s">
        <v>110</v>
      </c>
      <c r="C10" s="764"/>
      <c r="D10" s="764"/>
      <c r="E10" s="764"/>
      <c r="F10" s="764"/>
      <c r="G10" s="31" t="str">
        <f>IF(B10="","",VLOOKUP(B10,EQUIPOS!$B$7:$F$46,3,FALSE))</f>
        <v>GASOLINA</v>
      </c>
      <c r="H10" s="24">
        <f>IF(B10="","",VLOOKUP(B10,EQUIPOS!$B$7:$F$46,5,FALSE))</f>
        <v>95840</v>
      </c>
      <c r="I10" s="34">
        <f>+I37</f>
        <v>14</v>
      </c>
      <c r="J10" s="24">
        <f>IF(B10="",0,ROUND(H10/I10,0))</f>
        <v>6846</v>
      </c>
      <c r="L10" s="22"/>
      <c r="M10" s="764" t="s">
        <v>110</v>
      </c>
      <c r="N10" s="764"/>
      <c r="O10" s="764"/>
      <c r="P10" s="764"/>
      <c r="Q10" s="764"/>
      <c r="R10" s="31" t="str">
        <f>IF(M10="","",VLOOKUP(M10,EQUIPOS!$B$7:$F$46,3,FALSE))</f>
        <v>GASOLINA</v>
      </c>
      <c r="S10" s="271">
        <f>IF(M10="","",VLOOKUP(M10,EQUIPOS!$B$7:$F$46,5,FALSE))</f>
        <v>95840</v>
      </c>
      <c r="T10" s="34">
        <f>+T37</f>
        <v>14</v>
      </c>
      <c r="U10" s="24">
        <f>IF(M10="",0,ROUND(S10/T10,0))</f>
        <v>6846</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60"/>
      <c r="N11" s="760"/>
      <c r="O11" s="760"/>
      <c r="P11" s="760"/>
      <c r="Q11" s="760"/>
      <c r="R11" s="31" t="str">
        <f>IF(M11="","",VLOOKUP(M11,EQUIPOS!$B$7:$F$46,3,FALSE))</f>
        <v/>
      </c>
      <c r="S11" s="24" t="str">
        <f>IF(M11="","",VLOOKUP(M11,EQUIPOS!$B$7:$F$46,5,FALSE))</f>
        <v/>
      </c>
      <c r="T11" s="34"/>
      <c r="U11" s="24">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60"/>
      <c r="N12" s="760"/>
      <c r="O12" s="760"/>
      <c r="P12" s="760"/>
      <c r="Q12" s="760"/>
      <c r="R12" s="31" t="str">
        <f>IF(M12="","",VLOOKUP(M12,EQUIPOS!$B$7:$F$46,3,FALSE))</f>
        <v/>
      </c>
      <c r="S12" s="24" t="str">
        <f>IF(M12="","",VLOOKUP(M12,EQUIPOS!$B$7:$F$46,5,FALSE))</f>
        <v/>
      </c>
      <c r="T12" s="34"/>
      <c r="U12" s="24">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60"/>
      <c r="N13" s="760"/>
      <c r="O13" s="760"/>
      <c r="P13" s="760"/>
      <c r="Q13" s="760"/>
      <c r="R13" s="31" t="str">
        <f>IF(M13="","",VLOOKUP(M13,EQUIPOS!$B$7:$F$46,3,FALSE))</f>
        <v/>
      </c>
      <c r="S13" s="24" t="str">
        <f>IF(M13="","",VLOOKUP(M13,EQUIPOS!$B$7:$F$46,5,FALSE))</f>
        <v/>
      </c>
      <c r="T13" s="34"/>
      <c r="U13" s="24">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60"/>
      <c r="N14" s="760"/>
      <c r="O14" s="760"/>
      <c r="P14" s="760"/>
      <c r="Q14" s="760"/>
      <c r="R14" s="31" t="str">
        <f>IF(M14="","",VLOOKUP(M14,EQUIPOS!$B$7:$F$46,3,FALSE))</f>
        <v/>
      </c>
      <c r="S14" s="24" t="str">
        <f>IF(M14="","",VLOOKUP(M14,EQUIPOS!$B$7:$F$46,5,FALSE))</f>
        <v/>
      </c>
      <c r="T14" s="34"/>
      <c r="U14" s="24"/>
    </row>
    <row r="15" spans="1:21" ht="15" customHeight="1" x14ac:dyDescent="0.25">
      <c r="A15" s="22"/>
      <c r="B15" s="761" t="s">
        <v>31</v>
      </c>
      <c r="C15" s="761"/>
      <c r="D15" s="761"/>
      <c r="E15" s="761"/>
      <c r="F15" s="761"/>
      <c r="G15" s="761"/>
      <c r="H15" s="761"/>
      <c r="I15" s="761"/>
      <c r="J15" s="24">
        <f>SUM(J9:J14)</f>
        <v>7969</v>
      </c>
      <c r="L15" s="22"/>
      <c r="M15" s="761" t="s">
        <v>31</v>
      </c>
      <c r="N15" s="761"/>
      <c r="O15" s="761"/>
      <c r="P15" s="761"/>
      <c r="Q15" s="761"/>
      <c r="R15" s="761"/>
      <c r="S15" s="761"/>
      <c r="T15" s="761"/>
      <c r="U15" s="24">
        <f>SUM(U9:U14)</f>
        <v>7688</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2" ht="15" customHeight="1" x14ac:dyDescent="0.25">
      <c r="A17" s="22"/>
      <c r="B17" s="761" t="s">
        <v>32</v>
      </c>
      <c r="C17" s="761"/>
      <c r="D17" s="761"/>
      <c r="E17" s="761"/>
      <c r="F17" s="761"/>
      <c r="G17" s="761"/>
      <c r="H17" s="761"/>
      <c r="I17" s="761"/>
      <c r="J17" s="761"/>
      <c r="L17" s="22"/>
      <c r="M17" s="761" t="s">
        <v>32</v>
      </c>
      <c r="N17" s="761"/>
      <c r="O17" s="761"/>
      <c r="P17" s="761"/>
      <c r="Q17" s="761"/>
      <c r="R17" s="761"/>
      <c r="S17" s="761"/>
      <c r="T17" s="761"/>
      <c r="U17" s="761"/>
    </row>
    <row r="18" spans="1:22" ht="26.4" x14ac:dyDescent="0.25">
      <c r="A18" s="22"/>
      <c r="B18" s="763" t="s">
        <v>33</v>
      </c>
      <c r="C18" s="763"/>
      <c r="D18" s="763"/>
      <c r="E18" s="763"/>
      <c r="F18" s="28" t="s">
        <v>19</v>
      </c>
      <c r="G18" s="31" t="s">
        <v>34</v>
      </c>
      <c r="H18" s="32" t="s">
        <v>35</v>
      </c>
      <c r="I18" s="32" t="s">
        <v>36</v>
      </c>
      <c r="J18" s="32" t="s">
        <v>29</v>
      </c>
      <c r="L18" s="22"/>
      <c r="M18" s="763" t="s">
        <v>33</v>
      </c>
      <c r="N18" s="763"/>
      <c r="O18" s="763"/>
      <c r="P18" s="763"/>
      <c r="Q18" s="28" t="s">
        <v>19</v>
      </c>
      <c r="R18" s="31" t="s">
        <v>34</v>
      </c>
      <c r="S18" s="32" t="s">
        <v>35</v>
      </c>
      <c r="T18" s="32" t="s">
        <v>36</v>
      </c>
      <c r="U18" s="32" t="s">
        <v>29</v>
      </c>
    </row>
    <row r="19" spans="1:22" ht="14.25" customHeight="1" x14ac:dyDescent="0.25">
      <c r="A19" s="22"/>
      <c r="B19" s="760" t="s">
        <v>150</v>
      </c>
      <c r="C19" s="760"/>
      <c r="D19" s="760"/>
      <c r="E19" s="760"/>
      <c r="F19" s="34">
        <v>1.3</v>
      </c>
      <c r="G19" s="31" t="str">
        <f>IF(F19=0,"",VLOOKUP(B19,'LISTADO DE MATERIALES'!$B$6:$D$311,2,FALSE))</f>
        <v>m3</v>
      </c>
      <c r="H19" s="107">
        <v>0.1</v>
      </c>
      <c r="I19" s="24">
        <f>IF(F19=0,"",VLOOKUP(B19,'LISTADO DE MATERIALES'!$B$6:$D$311,3,FALSE))</f>
        <v>106505</v>
      </c>
      <c r="J19" s="24">
        <f t="shared" ref="J19" si="2">IF(I19="",0,ROUND((+F19*I19*(1+H19)),0))</f>
        <v>152302</v>
      </c>
      <c r="L19" s="22"/>
      <c r="M19" s="776"/>
      <c r="N19" s="776"/>
      <c r="O19" s="776"/>
      <c r="P19" s="776"/>
      <c r="Q19" s="241"/>
      <c r="R19" s="269"/>
      <c r="S19" s="270"/>
      <c r="T19" s="271"/>
      <c r="U19" s="271"/>
    </row>
    <row r="20" spans="1:22" ht="15" customHeight="1" x14ac:dyDescent="0.25">
      <c r="A20" s="22"/>
      <c r="B20" s="760"/>
      <c r="C20" s="760"/>
      <c r="D20" s="760"/>
      <c r="E20" s="760"/>
      <c r="F20" s="34"/>
      <c r="G20" s="31" t="str">
        <f>IF(F20=0,"",VLOOKUP(B20,'LISTADO DE MATERIALES'!$B$6:$D$311,2,FALSE))</f>
        <v/>
      </c>
      <c r="H20" s="107"/>
      <c r="I20" s="24" t="str">
        <f>IF(F20=0,"",VLOOKUP(B20,'LISTADO DE MATERIALES'!$B$6:$D$311,3,FALSE))</f>
        <v/>
      </c>
      <c r="J20" s="24">
        <f t="shared" ref="J20:J24" si="3">IF(I20="",0,ROUND((+F20*I20*(1+H20)),0))</f>
        <v>0</v>
      </c>
      <c r="L20" s="22"/>
      <c r="M20" s="760" t="s">
        <v>150</v>
      </c>
      <c r="N20" s="760"/>
      <c r="O20" s="760"/>
      <c r="P20" s="760"/>
      <c r="Q20" s="241">
        <v>1.3</v>
      </c>
      <c r="R20" s="31" t="str">
        <f>IF(Q20=0,"",VLOOKUP(M20,'LISTADO DE MATERIALES'!$B$6:$D$311,2,FALSE))</f>
        <v>m3</v>
      </c>
      <c r="S20" s="107">
        <v>0</v>
      </c>
      <c r="T20" s="24">
        <f>IF(Q20=0,"",VLOOKUP(M20,'LISTADO DE MATERIALES'!$B$6:$D$311,3,FALSE))</f>
        <v>106505</v>
      </c>
      <c r="U20" s="24">
        <f t="shared" ref="U20:U24" si="4">IF(T20="",0,ROUND((+Q20*T20*(1+S20)),0))</f>
        <v>138457</v>
      </c>
      <c r="V20" s="239" t="s">
        <v>493</v>
      </c>
    </row>
    <row r="21" spans="1:22" ht="15" customHeight="1" x14ac:dyDescent="0.25">
      <c r="A21" s="22"/>
      <c r="B21" s="760"/>
      <c r="C21" s="760"/>
      <c r="D21" s="760"/>
      <c r="E21" s="760"/>
      <c r="F21" s="34"/>
      <c r="G21" s="31" t="str">
        <f>IF(F21=0,"",VLOOKUP(B21,'LISTADO DE MATERIALES'!$B$6:$D$311,2,FALSE))</f>
        <v/>
      </c>
      <c r="H21" s="107"/>
      <c r="I21" s="24" t="str">
        <f>IF(F21=0,"",VLOOKUP(B21,'LISTADO DE MATERIALES'!$B$6:$D$311,3,FALSE))</f>
        <v/>
      </c>
      <c r="J21" s="24">
        <f t="shared" si="3"/>
        <v>0</v>
      </c>
      <c r="L21" s="22"/>
      <c r="M21" s="760"/>
      <c r="N21" s="760"/>
      <c r="O21" s="760"/>
      <c r="P21" s="760"/>
      <c r="Q21" s="34"/>
      <c r="R21" s="31" t="str">
        <f>IF(Q21=0,"",VLOOKUP(M21,'LISTADO DE MATERIALES'!$B$6:$D$311,2,FALSE))</f>
        <v/>
      </c>
      <c r="S21" s="107"/>
      <c r="T21" s="24" t="str">
        <f>IF(Q21=0,"",VLOOKUP(M21,'LISTADO DE MATERIALES'!$B$6:$D$311,3,FALSE))</f>
        <v/>
      </c>
      <c r="U21" s="24">
        <f t="shared" si="4"/>
        <v>0</v>
      </c>
    </row>
    <row r="22" spans="1:22"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3"/>
        <v>0</v>
      </c>
      <c r="L22" s="22"/>
      <c r="M22" s="760"/>
      <c r="N22" s="760"/>
      <c r="O22" s="760"/>
      <c r="P22" s="760"/>
      <c r="Q22" s="34"/>
      <c r="R22" s="31" t="str">
        <f>IF(Q22=0,"",VLOOKUP(M22,'LISTADO DE MATERIALES'!$B$6:$D$311,2,FALSE))</f>
        <v/>
      </c>
      <c r="S22" s="107"/>
      <c r="T22" s="24" t="str">
        <f>IF(Q22=0,"",VLOOKUP(M22,'LISTADO DE MATERIALES'!$B$6:$D$311,3,FALSE))</f>
        <v/>
      </c>
      <c r="U22" s="24">
        <f t="shared" si="4"/>
        <v>0</v>
      </c>
    </row>
    <row r="23" spans="1:22"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3"/>
        <v>0</v>
      </c>
      <c r="L23" s="22"/>
      <c r="M23" s="760"/>
      <c r="N23" s="760"/>
      <c r="O23" s="760"/>
      <c r="P23" s="760"/>
      <c r="Q23" s="34"/>
      <c r="R23" s="31" t="str">
        <f>IF(Q23=0,"",VLOOKUP(M23,'LISTADO DE MATERIALES'!$B$6:$D$311,2,FALSE))</f>
        <v/>
      </c>
      <c r="S23" s="107"/>
      <c r="T23" s="24" t="str">
        <f>IF(Q23=0,"",VLOOKUP(M23,'LISTADO DE MATERIALES'!$B$6:$D$311,3,FALSE))</f>
        <v/>
      </c>
      <c r="U23" s="24">
        <f t="shared" si="4"/>
        <v>0</v>
      </c>
    </row>
    <row r="24" spans="1:22"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3"/>
        <v>0</v>
      </c>
      <c r="L24" s="22"/>
      <c r="M24" s="760"/>
      <c r="N24" s="760"/>
      <c r="O24" s="760"/>
      <c r="P24" s="760"/>
      <c r="Q24" s="34"/>
      <c r="R24" s="31" t="str">
        <f>IF(Q24=0,"",VLOOKUP(M24,'LISTADO DE MATERIALES'!$B$6:$D$311,2,FALSE))</f>
        <v/>
      </c>
      <c r="S24" s="107"/>
      <c r="T24" s="24" t="str">
        <f>IF(Q24=0,"",VLOOKUP(M24,'LISTADO DE MATERIALES'!$B$6:$D$311,3,FALSE))</f>
        <v/>
      </c>
      <c r="U24" s="24">
        <f t="shared" si="4"/>
        <v>0</v>
      </c>
    </row>
    <row r="25" spans="1:22" ht="15" customHeight="1" x14ac:dyDescent="0.25">
      <c r="A25" s="22"/>
      <c r="B25" s="761" t="s">
        <v>37</v>
      </c>
      <c r="C25" s="761"/>
      <c r="D25" s="761"/>
      <c r="E25" s="761"/>
      <c r="F25" s="761"/>
      <c r="G25" s="761"/>
      <c r="H25" s="761"/>
      <c r="I25" s="761"/>
      <c r="J25" s="24">
        <f>SUM(J19:J24)</f>
        <v>152302</v>
      </c>
      <c r="L25" s="22"/>
      <c r="M25" s="761" t="s">
        <v>37</v>
      </c>
      <c r="N25" s="761"/>
      <c r="O25" s="761"/>
      <c r="P25" s="761"/>
      <c r="Q25" s="761"/>
      <c r="R25" s="761"/>
      <c r="S25" s="761"/>
      <c r="T25" s="761"/>
      <c r="U25" s="24">
        <f>SUM(U19:U24)</f>
        <v>138457</v>
      </c>
    </row>
    <row r="26" spans="1:22" ht="7.5" customHeight="1" x14ac:dyDescent="0.25">
      <c r="A26" s="22"/>
      <c r="B26" s="25"/>
      <c r="C26" s="25"/>
      <c r="D26" s="25"/>
      <c r="E26" s="25"/>
      <c r="F26" s="25"/>
      <c r="G26" s="25"/>
      <c r="H26" s="25"/>
      <c r="I26" s="25"/>
      <c r="J26" s="26"/>
      <c r="L26" s="22"/>
      <c r="M26" s="25"/>
      <c r="N26" s="25"/>
      <c r="O26" s="25"/>
      <c r="P26" s="25"/>
      <c r="Q26" s="25"/>
      <c r="R26" s="25"/>
      <c r="S26" s="25"/>
      <c r="T26" s="25"/>
      <c r="U26" s="26"/>
    </row>
    <row r="27" spans="1:22" ht="15" customHeight="1" x14ac:dyDescent="0.25">
      <c r="A27" s="22"/>
      <c r="B27" s="761" t="s">
        <v>38</v>
      </c>
      <c r="C27" s="761"/>
      <c r="D27" s="761"/>
      <c r="E27" s="761"/>
      <c r="F27" s="761"/>
      <c r="G27" s="761"/>
      <c r="H27" s="761"/>
      <c r="I27" s="761"/>
      <c r="J27" s="761"/>
      <c r="L27" s="22"/>
      <c r="M27" s="761" t="s">
        <v>38</v>
      </c>
      <c r="N27" s="761"/>
      <c r="O27" s="761"/>
      <c r="P27" s="761"/>
      <c r="Q27" s="761"/>
      <c r="R27" s="761"/>
      <c r="S27" s="761"/>
      <c r="T27" s="761"/>
      <c r="U27" s="761"/>
    </row>
    <row r="28" spans="1:22" x14ac:dyDescent="0.25">
      <c r="A28" s="22"/>
      <c r="B28" s="763" t="s">
        <v>33</v>
      </c>
      <c r="C28" s="763"/>
      <c r="D28" s="763"/>
      <c r="E28" s="763"/>
      <c r="F28" s="763"/>
      <c r="G28" s="31" t="s">
        <v>133</v>
      </c>
      <c r="H28" s="31" t="s">
        <v>132</v>
      </c>
      <c r="I28" s="31" t="s">
        <v>39</v>
      </c>
      <c r="J28" s="32" t="s">
        <v>29</v>
      </c>
      <c r="L28" s="22"/>
      <c r="M28" s="763" t="s">
        <v>33</v>
      </c>
      <c r="N28" s="763"/>
      <c r="O28" s="763"/>
      <c r="P28" s="763"/>
      <c r="Q28" s="763"/>
      <c r="R28" s="31" t="s">
        <v>133</v>
      </c>
      <c r="S28" s="31" t="s">
        <v>132</v>
      </c>
      <c r="T28" s="31" t="s">
        <v>39</v>
      </c>
      <c r="U28" s="32" t="s">
        <v>29</v>
      </c>
    </row>
    <row r="29" spans="1:22" ht="15" customHeight="1" x14ac:dyDescent="0.25">
      <c r="A29" s="22"/>
      <c r="B29" s="760" t="s">
        <v>151</v>
      </c>
      <c r="C29" s="760"/>
      <c r="D29" s="760"/>
      <c r="E29" s="760"/>
      <c r="F29" s="760"/>
      <c r="G29" s="34">
        <f>+F19</f>
        <v>1.3</v>
      </c>
      <c r="H29" s="318">
        <f>+TRANSPORTE!B6</f>
        <v>70</v>
      </c>
      <c r="I29" s="24">
        <f>+TRANSPORTE!C6</f>
        <v>1241.46</v>
      </c>
      <c r="J29" s="24">
        <f>ROUND(I29*H29*G29,0)</f>
        <v>112973</v>
      </c>
      <c r="L29" s="22"/>
      <c r="M29" s="760" t="s">
        <v>151</v>
      </c>
      <c r="N29" s="760"/>
      <c r="O29" s="760"/>
      <c r="P29" s="760"/>
      <c r="Q29" s="760"/>
      <c r="R29" s="34">
        <f>+Q20</f>
        <v>1.3</v>
      </c>
      <c r="S29" s="34">
        <v>32</v>
      </c>
      <c r="T29" s="24">
        <v>1153.6600000000001</v>
      </c>
      <c r="U29" s="24">
        <f>ROUND(T29*S29*R29,0)</f>
        <v>47992</v>
      </c>
    </row>
    <row r="30" spans="1:22" ht="15" customHeight="1" x14ac:dyDescent="0.25">
      <c r="A30" s="22"/>
      <c r="B30" s="760"/>
      <c r="C30" s="760"/>
      <c r="D30" s="760"/>
      <c r="E30" s="760"/>
      <c r="F30" s="760"/>
      <c r="G30" s="31"/>
      <c r="H30" s="34"/>
      <c r="I30" s="24"/>
      <c r="J30" s="24">
        <v>0</v>
      </c>
      <c r="L30" s="22"/>
      <c r="M30" s="760"/>
      <c r="N30" s="760"/>
      <c r="O30" s="760"/>
      <c r="P30" s="760"/>
      <c r="Q30" s="760"/>
      <c r="R30" s="31"/>
      <c r="S30" s="34"/>
      <c r="T30" s="24"/>
      <c r="U30" s="24">
        <v>0</v>
      </c>
    </row>
    <row r="31" spans="1:22" ht="15" customHeight="1" x14ac:dyDescent="0.25">
      <c r="A31" s="22"/>
      <c r="B31" s="760"/>
      <c r="C31" s="760"/>
      <c r="D31" s="760"/>
      <c r="E31" s="760"/>
      <c r="F31" s="760"/>
      <c r="G31" s="31"/>
      <c r="H31" s="34"/>
      <c r="I31" s="24"/>
      <c r="J31" s="24">
        <v>0</v>
      </c>
      <c r="L31" s="22"/>
      <c r="M31" s="760"/>
      <c r="N31" s="760"/>
      <c r="O31" s="760"/>
      <c r="P31" s="760"/>
      <c r="Q31" s="760"/>
      <c r="R31" s="31"/>
      <c r="S31" s="34"/>
      <c r="T31" s="24"/>
      <c r="U31" s="24">
        <v>0</v>
      </c>
    </row>
    <row r="32" spans="1:22" ht="15" customHeight="1" x14ac:dyDescent="0.25">
      <c r="A32" s="22"/>
      <c r="B32" s="760"/>
      <c r="C32" s="760"/>
      <c r="D32" s="760"/>
      <c r="E32" s="760"/>
      <c r="F32" s="760"/>
      <c r="G32" s="31"/>
      <c r="H32" s="31"/>
      <c r="I32" s="24"/>
      <c r="J32" s="24">
        <v>0</v>
      </c>
      <c r="L32" s="22"/>
      <c r="M32" s="760"/>
      <c r="N32" s="760"/>
      <c r="O32" s="760"/>
      <c r="P32" s="760"/>
      <c r="Q32" s="760"/>
      <c r="R32" s="31"/>
      <c r="S32" s="31"/>
      <c r="T32" s="24"/>
      <c r="U32" s="24">
        <v>0</v>
      </c>
    </row>
    <row r="33" spans="1:21" ht="15" customHeight="1" x14ac:dyDescent="0.25">
      <c r="A33" s="22"/>
      <c r="B33" s="761" t="s">
        <v>40</v>
      </c>
      <c r="C33" s="761"/>
      <c r="D33" s="761"/>
      <c r="E33" s="761"/>
      <c r="F33" s="761"/>
      <c r="G33" s="761"/>
      <c r="H33" s="761"/>
      <c r="I33" s="761"/>
      <c r="J33" s="24">
        <f>SUM(J29:J32)</f>
        <v>112973</v>
      </c>
      <c r="L33" s="22"/>
      <c r="M33" s="761" t="s">
        <v>40</v>
      </c>
      <c r="N33" s="761"/>
      <c r="O33" s="761"/>
      <c r="P33" s="761"/>
      <c r="Q33" s="761"/>
      <c r="R33" s="761"/>
      <c r="S33" s="761"/>
      <c r="T33" s="761"/>
      <c r="U33" s="24">
        <f>SUM(U29:U32)</f>
        <v>47992</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61" t="s">
        <v>41</v>
      </c>
      <c r="N35" s="761"/>
      <c r="O35" s="761"/>
      <c r="P35" s="761"/>
      <c r="Q35" s="761"/>
      <c r="R35" s="761"/>
      <c r="S35" s="761"/>
      <c r="T35" s="761"/>
      <c r="U35" s="761"/>
    </row>
    <row r="36" spans="1:21" ht="39.6" x14ac:dyDescent="0.25">
      <c r="A36" s="22"/>
      <c r="B36" s="763" t="s">
        <v>4</v>
      </c>
      <c r="C36" s="763"/>
      <c r="D36" s="763"/>
      <c r="E36" s="763"/>
      <c r="F36" s="763"/>
      <c r="G36" s="32" t="s">
        <v>51</v>
      </c>
      <c r="H36" s="32" t="s">
        <v>19</v>
      </c>
      <c r="I36" s="32" t="s">
        <v>28</v>
      </c>
      <c r="J36" s="32" t="s">
        <v>29</v>
      </c>
      <c r="L36" s="22"/>
      <c r="M36" s="763" t="s">
        <v>4</v>
      </c>
      <c r="N36" s="763"/>
      <c r="O36" s="763"/>
      <c r="P36" s="763"/>
      <c r="Q36" s="763"/>
      <c r="R36" s="32" t="s">
        <v>51</v>
      </c>
      <c r="S36" s="32" t="s">
        <v>19</v>
      </c>
      <c r="T36" s="32" t="s">
        <v>28</v>
      </c>
      <c r="U36" s="32" t="s">
        <v>29</v>
      </c>
    </row>
    <row r="37" spans="1:21" ht="15" customHeight="1" x14ac:dyDescent="0.25">
      <c r="A37" s="22"/>
      <c r="B37" s="760" t="s">
        <v>120</v>
      </c>
      <c r="C37" s="760"/>
      <c r="D37" s="760"/>
      <c r="E37" s="760"/>
      <c r="F37" s="760"/>
      <c r="G37" s="24">
        <f>IF(B37="","",VLOOKUP(B37,CUADRILLAS!$B$87:$C$101,2,FALSE))</f>
        <v>157213.73333333334</v>
      </c>
      <c r="H37" s="31">
        <v>1</v>
      </c>
      <c r="I37" s="34">
        <v>14</v>
      </c>
      <c r="J37" s="24">
        <f>ROUND(+IF(I37=0,0,G37*H37/I37),0)</f>
        <v>11230</v>
      </c>
      <c r="L37" s="22"/>
      <c r="M37" s="760" t="s">
        <v>120</v>
      </c>
      <c r="N37" s="760"/>
      <c r="O37" s="760"/>
      <c r="P37" s="760"/>
      <c r="Q37" s="760"/>
      <c r="R37" s="24">
        <f>IF(M37="","",VLOOKUP(M37,CUADRILLAS!$B$87:$C$101,2,FALSE))</f>
        <v>157213.73333333334</v>
      </c>
      <c r="S37" s="31">
        <v>1</v>
      </c>
      <c r="T37" s="34">
        <v>14</v>
      </c>
      <c r="U37" s="24">
        <f>ROUND(+IF(T37=0,0,R37*S37/T37),0)</f>
        <v>11230</v>
      </c>
    </row>
    <row r="38" spans="1:21" ht="15" customHeight="1" x14ac:dyDescent="0.25">
      <c r="A38" s="22"/>
      <c r="B38" s="760" t="s">
        <v>121</v>
      </c>
      <c r="C38" s="760"/>
      <c r="D38" s="760"/>
      <c r="E38" s="760"/>
      <c r="F38" s="760"/>
      <c r="G38" s="24">
        <f>IF(B38="","",VLOOKUP(B38,CUADRILLAS!$B$87:$C$101,2,FALSE))</f>
        <v>78606.866666666669</v>
      </c>
      <c r="H38" s="31">
        <v>2</v>
      </c>
      <c r="I38" s="34">
        <f>+I37</f>
        <v>14</v>
      </c>
      <c r="J38" s="24">
        <f>ROUND(+IF(I38=0,0,G38*H38/I38),0)</f>
        <v>11230</v>
      </c>
      <c r="L38" s="22"/>
      <c r="M38" s="760" t="s">
        <v>121</v>
      </c>
      <c r="N38" s="760"/>
      <c r="O38" s="760"/>
      <c r="P38" s="760"/>
      <c r="Q38" s="760"/>
      <c r="R38" s="24">
        <f>IF(M38="","",VLOOKUP(M38,CUADRILLAS!$B$87:$C$101,2,FALSE))</f>
        <v>78606.866666666669</v>
      </c>
      <c r="S38" s="269">
        <v>1</v>
      </c>
      <c r="T38" s="34">
        <f>+T37</f>
        <v>14</v>
      </c>
      <c r="U38" s="24">
        <f>ROUND(+IF(T38=0,0,R38*S38/T38),0)</f>
        <v>5615</v>
      </c>
    </row>
    <row r="39" spans="1:21" ht="15" customHeight="1" x14ac:dyDescent="0.25">
      <c r="A39" s="22"/>
      <c r="B39" s="760"/>
      <c r="C39" s="760"/>
      <c r="D39" s="760"/>
      <c r="E39" s="760"/>
      <c r="F39" s="760"/>
      <c r="G39" s="24" t="str">
        <f>IF(B39="","",VLOOKUP(B39,CUADRILLAS!$B$87:$C$101,2,FALSE))</f>
        <v/>
      </c>
      <c r="H39" s="31"/>
      <c r="I39" s="34"/>
      <c r="J39" s="24">
        <f t="shared" ref="J39:J40" si="5">+IF(I39=0,0,G39*H39/I39)</f>
        <v>0</v>
      </c>
      <c r="L39" s="22"/>
      <c r="M39" s="760"/>
      <c r="N39" s="760"/>
      <c r="O39" s="760"/>
      <c r="P39" s="760"/>
      <c r="Q39" s="760"/>
      <c r="R39" s="24" t="str">
        <f>IF(M39="","",VLOOKUP(M39,CUADRILLAS!$B$87:$C$101,2,FALSE))</f>
        <v/>
      </c>
      <c r="S39" s="31"/>
      <c r="T39" s="34"/>
      <c r="U39" s="24">
        <f t="shared" ref="U39:U40" si="6">+IF(T39=0,0,R39*S39/T39)</f>
        <v>0</v>
      </c>
    </row>
    <row r="40" spans="1:21" ht="15" customHeight="1" x14ac:dyDescent="0.25">
      <c r="A40" s="22"/>
      <c r="B40" s="760"/>
      <c r="C40" s="760"/>
      <c r="D40" s="760"/>
      <c r="E40" s="760"/>
      <c r="F40" s="760"/>
      <c r="G40" s="24" t="str">
        <f>IF(B40="","",VLOOKUP(B40,CUADRILLAS!$B$87:$C$101,2,FALSE))</f>
        <v/>
      </c>
      <c r="H40" s="31"/>
      <c r="I40" s="34"/>
      <c r="J40" s="24">
        <f t="shared" si="5"/>
        <v>0</v>
      </c>
      <c r="L40" s="22"/>
      <c r="M40" s="760"/>
      <c r="N40" s="760"/>
      <c r="O40" s="760"/>
      <c r="P40" s="760"/>
      <c r="Q40" s="760"/>
      <c r="R40" s="24" t="str">
        <f>IF(M40="","",VLOOKUP(M40,CUADRILLAS!$B$87:$C$101,2,FALSE))</f>
        <v/>
      </c>
      <c r="S40" s="31"/>
      <c r="T40" s="34"/>
      <c r="U40" s="24">
        <f t="shared" si="6"/>
        <v>0</v>
      </c>
    </row>
    <row r="41" spans="1:21" ht="15" customHeight="1" x14ac:dyDescent="0.25">
      <c r="A41" s="22"/>
      <c r="B41" s="761" t="s">
        <v>42</v>
      </c>
      <c r="C41" s="761"/>
      <c r="D41" s="761"/>
      <c r="E41" s="761"/>
      <c r="F41" s="761"/>
      <c r="G41" s="761"/>
      <c r="H41" s="761"/>
      <c r="I41" s="761"/>
      <c r="J41" s="24">
        <f>SUM(J37:J40)</f>
        <v>22460</v>
      </c>
      <c r="L41" s="22"/>
      <c r="M41" s="761" t="s">
        <v>42</v>
      </c>
      <c r="N41" s="761"/>
      <c r="O41" s="761"/>
      <c r="P41" s="761"/>
      <c r="Q41" s="761"/>
      <c r="R41" s="761"/>
      <c r="S41" s="761"/>
      <c r="T41" s="761"/>
      <c r="U41" s="24">
        <f>SUM(U37:U40)</f>
        <v>16845</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295704</v>
      </c>
      <c r="L43" s="27"/>
      <c r="M43" s="762" t="s">
        <v>43</v>
      </c>
      <c r="N43" s="762"/>
      <c r="O43" s="762"/>
      <c r="P43" s="762"/>
      <c r="Q43" s="762"/>
      <c r="R43" s="762"/>
      <c r="S43" s="762"/>
      <c r="T43" s="762"/>
      <c r="U43" s="106">
        <f>+U41+U33+U15+U25</f>
        <v>210982</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15" display="'PPTO HOJA'!A15" xr:uid="{00000000-0004-0000-0400-000000000000}"/>
    <hyperlink ref="N6" location="'PPTO HOJA'!A15" display="'PPTO HOJA'!A15" xr:uid="{00000000-0004-0000-0400-000001000000}"/>
  </hyperlinks>
  <pageMargins left="0.7" right="0.7" top="0.75" bottom="0.75" header="0.3" footer="0.3"/>
  <pageSetup paperSize="9" scale="35" orientation="portrait" r:id="rId1"/>
  <drawing r:id="rId2"/>
  <legacyDrawing r:id="rId3"/>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0400-000000000000}">
          <x14:formula1>
            <xm:f>CUADRILLAS!$B$86:$B$101</xm:f>
          </x14:formula1>
          <xm:sqref>B37:F40 M37:Q40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8">
    <tabColor theme="9" tint="0.59999389629810485"/>
  </sheetPr>
  <dimension ref="A1:U44"/>
  <sheetViews>
    <sheetView topLeftCell="A2"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7.44140625" style="20" customWidth="1"/>
    <col min="11" max="11" width="5.33203125" style="20" customWidth="1"/>
    <col min="12" max="13" width="11.44140625" style="20"/>
    <col min="14" max="14" width="11.5546875" style="20" bestFit="1" customWidth="1"/>
    <col min="15" max="16" width="11.44140625" style="20"/>
    <col min="17" max="17" width="11.5546875" style="20" bestFit="1" customWidth="1"/>
    <col min="18" max="18" width="15.33203125" style="20" customWidth="1"/>
    <col min="19" max="19" width="12.33203125" style="20" bestFit="1" customWidth="1"/>
    <col min="20" max="20" width="13.109375" style="20" bestFit="1" customWidth="1"/>
    <col min="21" max="21" width="17.88671875" style="20"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21</v>
      </c>
      <c r="B6" s="29" t="s">
        <v>22</v>
      </c>
      <c r="C6" s="116">
        <f>'PPTO HOJA'!A15</f>
        <v>1.04</v>
      </c>
      <c r="D6" s="28"/>
      <c r="E6" s="764" t="str">
        <f>'PPTO HOJA'!B15</f>
        <v>Relleno con material seleccionado de excavación</v>
      </c>
      <c r="F6" s="764"/>
      <c r="G6" s="764"/>
      <c r="H6" s="764"/>
      <c r="I6" s="30" t="s">
        <v>23</v>
      </c>
      <c r="J6" s="31" t="str">
        <f>'PPTO HOJA'!C15</f>
        <v>m3</v>
      </c>
      <c r="L6" s="30" t="s">
        <v>21</v>
      </c>
      <c r="M6" s="29" t="s">
        <v>22</v>
      </c>
      <c r="N6" s="116">
        <v>1.04</v>
      </c>
      <c r="O6" s="28"/>
      <c r="P6" s="764" t="s">
        <v>168</v>
      </c>
      <c r="Q6" s="764"/>
      <c r="R6" s="764"/>
      <c r="S6" s="764"/>
      <c r="T6" s="30" t="s">
        <v>23</v>
      </c>
      <c r="U6" s="31" t="s">
        <v>261</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ht="26.4" customHeight="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1123</v>
      </c>
      <c r="L9" s="22"/>
      <c r="M9" s="771" t="s">
        <v>30</v>
      </c>
      <c r="N9" s="771"/>
      <c r="O9" s="771"/>
      <c r="P9" s="771"/>
      <c r="Q9" s="771"/>
      <c r="R9" s="206"/>
      <c r="S9" s="181"/>
      <c r="T9" s="208">
        <v>0.05</v>
      </c>
      <c r="U9" s="181">
        <f>ROUND(T9*U41,0)</f>
        <v>786</v>
      </c>
    </row>
    <row r="10" spans="1:21" ht="24.75" customHeight="1" x14ac:dyDescent="0.25">
      <c r="A10" s="22"/>
      <c r="B10" s="764" t="s">
        <v>110</v>
      </c>
      <c r="C10" s="764"/>
      <c r="D10" s="764"/>
      <c r="E10" s="764"/>
      <c r="F10" s="764"/>
      <c r="G10" s="31" t="str">
        <f>IF(B10="","",VLOOKUP(B10,EQUIPOS!$B$7:$F$46,3,FALSE))</f>
        <v>GASOLINA</v>
      </c>
      <c r="H10" s="24">
        <f>IF(B10="","",VLOOKUP(B10,EQUIPOS!$B$7:$F$46,5,FALSE))</f>
        <v>95840</v>
      </c>
      <c r="I10" s="34">
        <f>+I38</f>
        <v>14</v>
      </c>
      <c r="J10" s="24">
        <f>IF(B10="",0,ROUND(H10/I10,0))</f>
        <v>6846</v>
      </c>
      <c r="L10" s="22"/>
      <c r="M10" s="777" t="s">
        <v>110</v>
      </c>
      <c r="N10" s="777"/>
      <c r="O10" s="777"/>
      <c r="P10" s="777"/>
      <c r="Q10" s="777"/>
      <c r="R10" s="206" t="s">
        <v>108</v>
      </c>
      <c r="S10" s="212">
        <v>95840</v>
      </c>
      <c r="T10" s="180">
        <v>10</v>
      </c>
      <c r="U10" s="181">
        <f>IF(M10="",0,ROUND(S10/T10,0))</f>
        <v>9584</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7969</v>
      </c>
      <c r="L15" s="22"/>
      <c r="M15" s="772" t="s">
        <v>31</v>
      </c>
      <c r="N15" s="772"/>
      <c r="O15" s="772"/>
      <c r="P15" s="772"/>
      <c r="Q15" s="772"/>
      <c r="R15" s="772"/>
      <c r="S15" s="772"/>
      <c r="T15" s="772"/>
      <c r="U15" s="181">
        <f>SUM(U9:U14)</f>
        <v>10370</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1"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1" ht="14.25" customHeight="1" x14ac:dyDescent="0.25">
      <c r="A19" s="22"/>
      <c r="B19" s="764"/>
      <c r="C19" s="764"/>
      <c r="D19" s="764"/>
      <c r="E19" s="764"/>
      <c r="F19" s="34"/>
      <c r="G19" s="31" t="str">
        <f>IF(F19=0,"",VLOOKUP(B19,'LISTADO DE MATERIALES'!$B$6:$D$311,2,FALSE))</f>
        <v/>
      </c>
      <c r="H19" s="107"/>
      <c r="I19" s="24" t="str">
        <f>IF(F19=0,"",VLOOKUP(B19,'LISTADO DE MATERIALES'!$B$6:$D$311,3,FALSE))</f>
        <v/>
      </c>
      <c r="J19" s="24">
        <f>IF(I19="",0,ROUND((+F19*I19*(1+H19)),0))</f>
        <v>0</v>
      </c>
      <c r="L19" s="22"/>
      <c r="M19" s="778"/>
      <c r="N19" s="778"/>
      <c r="O19" s="778"/>
      <c r="P19" s="778"/>
      <c r="Q19" s="211"/>
      <c r="R19" s="214"/>
      <c r="S19" s="272"/>
      <c r="T19" s="212"/>
      <c r="U19" s="212"/>
    </row>
    <row r="20" spans="1:21" ht="15" customHeight="1" x14ac:dyDescent="0.25">
      <c r="A20" s="22"/>
      <c r="B20" s="760"/>
      <c r="C20" s="760"/>
      <c r="D20" s="760"/>
      <c r="E20" s="760"/>
      <c r="F20" s="34"/>
      <c r="G20" s="31" t="str">
        <f>IF(F20=0,"",VLOOKUP(B20,'LISTADO DE MATERIALES'!$B$6:$D$311,2,FALSE))</f>
        <v/>
      </c>
      <c r="H20" s="107"/>
      <c r="I20" s="24" t="str">
        <f>IF(F20=0,"",VLOOKUP(B20,'LISTADO DE MATERIALES'!$B$6:$D$311,3,FALSE))</f>
        <v/>
      </c>
      <c r="J20" s="24">
        <f t="shared" ref="J20:J24" si="2">IF(I20="",0,ROUND((+F20*I20*(1+H20)),0))</f>
        <v>0</v>
      </c>
      <c r="L20" s="22"/>
      <c r="M20" s="771"/>
      <c r="N20" s="771"/>
      <c r="O20" s="771"/>
      <c r="P20" s="771"/>
      <c r="Q20" s="180"/>
      <c r="R20" s="206" t="s">
        <v>501</v>
      </c>
      <c r="S20" s="209"/>
      <c r="T20" s="181" t="s">
        <v>501</v>
      </c>
      <c r="U20" s="181">
        <f t="shared" ref="U20:U24" si="3">IF(T20="",0,ROUND((+Q20*T20*(1+S20)),0))</f>
        <v>0</v>
      </c>
    </row>
    <row r="21" spans="1:21" ht="15" customHeight="1" x14ac:dyDescent="0.25">
      <c r="A21" s="22"/>
      <c r="B21" s="760"/>
      <c r="C21" s="760"/>
      <c r="D21" s="760"/>
      <c r="E21" s="760"/>
      <c r="F21" s="34"/>
      <c r="G21" s="31" t="str">
        <f>IF(F21=0,"",VLOOKUP(B21,'LISTADO DE MATERIALES'!$B$6:$D$311,2,FALSE))</f>
        <v/>
      </c>
      <c r="H21" s="107"/>
      <c r="I21" s="24" t="str">
        <f>IF(F21=0,"",VLOOKUP(B21,'LISTADO DE MATERIALES'!$B$6:$D$311,3,FALSE))</f>
        <v/>
      </c>
      <c r="J21" s="24">
        <f t="shared" si="2"/>
        <v>0</v>
      </c>
      <c r="L21" s="22"/>
      <c r="M21" s="771"/>
      <c r="N21" s="771"/>
      <c r="O21" s="771"/>
      <c r="P21" s="771"/>
      <c r="Q21" s="180"/>
      <c r="R21" s="206" t="s">
        <v>501</v>
      </c>
      <c r="S21" s="209"/>
      <c r="T21" s="181" t="s">
        <v>501</v>
      </c>
      <c r="U21" s="181">
        <f t="shared" si="3"/>
        <v>0</v>
      </c>
    </row>
    <row r="22" spans="1:21"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1"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1"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1" ht="15" customHeight="1" x14ac:dyDescent="0.25">
      <c r="A25" s="22"/>
      <c r="B25" s="761" t="s">
        <v>37</v>
      </c>
      <c r="C25" s="761"/>
      <c r="D25" s="761"/>
      <c r="E25" s="761"/>
      <c r="F25" s="761"/>
      <c r="G25" s="761"/>
      <c r="H25" s="761"/>
      <c r="I25" s="761"/>
      <c r="J25" s="24">
        <f>SUM(J19:J24)</f>
        <v>0</v>
      </c>
      <c r="L25" s="22"/>
      <c r="M25" s="772" t="s">
        <v>37</v>
      </c>
      <c r="N25" s="772"/>
      <c r="O25" s="772"/>
      <c r="P25" s="772"/>
      <c r="Q25" s="772"/>
      <c r="R25" s="772"/>
      <c r="S25" s="772"/>
      <c r="T25" s="772"/>
      <c r="U25" s="181">
        <f>SUM(U19:U24)</f>
        <v>0</v>
      </c>
    </row>
    <row r="26" spans="1:21" ht="7.5" customHeight="1" x14ac:dyDescent="0.25">
      <c r="A26" s="22"/>
      <c r="B26" s="25"/>
      <c r="C26" s="25"/>
      <c r="D26" s="25"/>
      <c r="E26" s="25"/>
      <c r="F26" s="25"/>
      <c r="G26" s="25"/>
      <c r="H26" s="25"/>
      <c r="I26" s="25"/>
      <c r="J26" s="26"/>
      <c r="L26" s="22"/>
      <c r="M26" s="25"/>
      <c r="N26" s="25"/>
      <c r="O26" s="25"/>
      <c r="P26" s="25"/>
      <c r="Q26" s="25"/>
      <c r="R26" s="25"/>
      <c r="S26" s="25"/>
      <c r="T26" s="25"/>
      <c r="U26" s="26"/>
    </row>
    <row r="27" spans="1:21"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1" ht="26.4" customHeight="1"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1" ht="15" customHeight="1" x14ac:dyDescent="0.25">
      <c r="A29" s="22"/>
      <c r="B29" s="760"/>
      <c r="C29" s="760"/>
      <c r="D29" s="760"/>
      <c r="E29" s="760"/>
      <c r="F29" s="760"/>
      <c r="G29" s="31"/>
      <c r="H29" s="34"/>
      <c r="I29" s="24"/>
      <c r="J29" s="24">
        <f>ROUND(I29*H29*G29,0)</f>
        <v>0</v>
      </c>
      <c r="L29" s="22"/>
      <c r="M29" s="771"/>
      <c r="N29" s="771"/>
      <c r="O29" s="771"/>
      <c r="P29" s="771"/>
      <c r="Q29" s="771"/>
      <c r="R29" s="206"/>
      <c r="S29" s="180"/>
      <c r="T29" s="181"/>
      <c r="U29" s="181">
        <f>ROUND(T29*S29*R29,0)</f>
        <v>0</v>
      </c>
    </row>
    <row r="30" spans="1:21"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1"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1"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26.4"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120</v>
      </c>
      <c r="C37" s="760"/>
      <c r="D37" s="760"/>
      <c r="E37" s="760"/>
      <c r="F37" s="760"/>
      <c r="G37" s="24">
        <f>IF(B37="","",VLOOKUP(B37,CUADRILLAS!$B$87:$C$101,2,FALSE))</f>
        <v>157213.73333333334</v>
      </c>
      <c r="H37" s="31">
        <v>1</v>
      </c>
      <c r="I37" s="34">
        <v>14</v>
      </c>
      <c r="J37" s="24">
        <f>ROUND(+IF(I37=0,0,G37*H37/I37),0)</f>
        <v>11230</v>
      </c>
      <c r="L37" s="22"/>
      <c r="M37" s="771"/>
      <c r="N37" s="771"/>
      <c r="O37" s="771"/>
      <c r="P37" s="771"/>
      <c r="Q37" s="771"/>
      <c r="R37" s="181"/>
      <c r="S37" s="206"/>
      <c r="T37" s="180"/>
      <c r="U37" s="181"/>
    </row>
    <row r="38" spans="1:21" ht="15" customHeight="1" x14ac:dyDescent="0.25">
      <c r="A38" s="22"/>
      <c r="B38" s="760" t="s">
        <v>121</v>
      </c>
      <c r="C38" s="760"/>
      <c r="D38" s="760"/>
      <c r="E38" s="760"/>
      <c r="F38" s="760"/>
      <c r="G38" s="24">
        <f>IF(B38="","",VLOOKUP(B38,CUADRILLAS!$B$87:$C$101,2,FALSE))</f>
        <v>78606.866666666669</v>
      </c>
      <c r="H38" s="31">
        <v>2</v>
      </c>
      <c r="I38" s="34">
        <v>14</v>
      </c>
      <c r="J38" s="24">
        <f>ROUND(+IF(I38=0,0,G38*H38/I38),0)</f>
        <v>11230</v>
      </c>
      <c r="L38" s="22"/>
      <c r="M38" s="771" t="s">
        <v>121</v>
      </c>
      <c r="N38" s="771"/>
      <c r="O38" s="771"/>
      <c r="P38" s="771"/>
      <c r="Q38" s="771"/>
      <c r="R38" s="181">
        <v>78606.866666666669</v>
      </c>
      <c r="S38" s="206">
        <v>2</v>
      </c>
      <c r="T38" s="180">
        <v>10</v>
      </c>
      <c r="U38" s="181">
        <f>ROUND(+IF(T38=0,0,R38*S38/T38),0)</f>
        <v>15721</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22460</v>
      </c>
      <c r="L41" s="22"/>
      <c r="M41" s="772" t="s">
        <v>42</v>
      </c>
      <c r="N41" s="772"/>
      <c r="O41" s="772"/>
      <c r="P41" s="772"/>
      <c r="Q41" s="772"/>
      <c r="R41" s="772"/>
      <c r="S41" s="772"/>
      <c r="T41" s="772"/>
      <c r="U41" s="181">
        <f>SUM(U37:U40)</f>
        <v>15721</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30429</v>
      </c>
      <c r="L43" s="27"/>
      <c r="M43" s="773" t="s">
        <v>43</v>
      </c>
      <c r="N43" s="773"/>
      <c r="O43" s="773"/>
      <c r="P43" s="773"/>
      <c r="Q43" s="773"/>
      <c r="R43" s="773"/>
      <c r="S43" s="773"/>
      <c r="T43" s="773"/>
      <c r="U43" s="210">
        <f>+U41+U33+U15+U25</f>
        <v>26091</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16" display="'PPTO HOJA'!A16" xr:uid="{00000000-0004-0000-0500-000000000000}"/>
    <hyperlink ref="N6" location="'PPTO HOJA'!A15" display="'PPTO HOJA'!A15" xr:uid="{00000000-0004-0000-05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0500-000000000000}">
          <x14:formula1>
            <xm:f>CUADRILLAS!$B$86:$B$101</xm:f>
          </x14:formula1>
          <xm:sqref>B37:F40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9">
    <tabColor theme="9" tint="0.59999389629810485"/>
  </sheetPr>
  <dimension ref="A1:W44"/>
  <sheetViews>
    <sheetView topLeftCell="A3"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6.88671875" style="20" customWidth="1"/>
    <col min="11" max="11" width="6.6640625" style="20" customWidth="1"/>
    <col min="12" max="13" width="11.44140625" style="20"/>
    <col min="14" max="14" width="11.5546875" style="20" bestFit="1" customWidth="1"/>
    <col min="15" max="16" width="11.44140625" style="20"/>
    <col min="17" max="17" width="11.5546875" style="20" bestFit="1" customWidth="1"/>
    <col min="18" max="18" width="13.44140625" style="20" bestFit="1" customWidth="1"/>
    <col min="19" max="19" width="12.33203125" style="20" bestFit="1" customWidth="1"/>
    <col min="20" max="20" width="13.109375" style="20" bestFit="1" customWidth="1"/>
    <col min="21" max="21" width="16.6640625" style="20"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163</v>
      </c>
      <c r="B6" s="29" t="s">
        <v>22</v>
      </c>
      <c r="C6" s="116">
        <f>+'PPTO HOJA'!A17</f>
        <v>2.0099999999999998</v>
      </c>
      <c r="D6" s="28"/>
      <c r="E6" s="764" t="str">
        <f>'PPTO HOJA'!B17</f>
        <v>S/I Tubería Sanitaria Ø 2" PVC-S</v>
      </c>
      <c r="F6" s="764"/>
      <c r="G6" s="764"/>
      <c r="H6" s="764"/>
      <c r="I6" s="30" t="s">
        <v>23</v>
      </c>
      <c r="J6" s="31" t="str">
        <f>'PPTO HOJA'!C17</f>
        <v xml:space="preserve">m </v>
      </c>
      <c r="L6" s="30" t="str">
        <f>A6</f>
        <v>II</v>
      </c>
      <c r="M6" s="29" t="s">
        <v>22</v>
      </c>
      <c r="N6" s="238">
        <f>C6</f>
        <v>2.0099999999999998</v>
      </c>
      <c r="O6" s="28"/>
      <c r="P6" s="764" t="str">
        <f>E6</f>
        <v>S/I Tubería Sanitaria Ø 2" PVC-S</v>
      </c>
      <c r="Q6" s="764"/>
      <c r="R6" s="764"/>
      <c r="S6" s="764"/>
      <c r="T6" s="30" t="s">
        <v>23</v>
      </c>
      <c r="U6" s="31" t="str">
        <f>J6</f>
        <v xml:space="preserve">m </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233</v>
      </c>
      <c r="L9" s="22"/>
      <c r="M9" s="771" t="s">
        <v>30</v>
      </c>
      <c r="N9" s="771"/>
      <c r="O9" s="771"/>
      <c r="P9" s="771"/>
      <c r="Q9" s="771"/>
      <c r="R9" s="206"/>
      <c r="S9" s="181"/>
      <c r="T9" s="208">
        <v>0.05</v>
      </c>
      <c r="U9" s="181">
        <f>ROUND(T9*U41,0)</f>
        <v>233</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233</v>
      </c>
      <c r="L15" s="22"/>
      <c r="M15" s="772" t="s">
        <v>31</v>
      </c>
      <c r="N15" s="772"/>
      <c r="O15" s="772"/>
      <c r="P15" s="772"/>
      <c r="Q15" s="772"/>
      <c r="R15" s="772"/>
      <c r="S15" s="772"/>
      <c r="T15" s="772"/>
      <c r="U15" s="181">
        <f>SUM(U9:U14)</f>
        <v>233</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3"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3"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3" ht="14.25" customHeight="1" x14ac:dyDescent="0.25">
      <c r="A19" s="22"/>
      <c r="B19" s="764" t="s">
        <v>316</v>
      </c>
      <c r="C19" s="764"/>
      <c r="D19" s="764"/>
      <c r="E19" s="764"/>
      <c r="F19" s="34">
        <v>1</v>
      </c>
      <c r="G19" s="31" t="str">
        <f>IF(F19=0,"",VLOOKUP(B19,'LISTADO DE MATERIALES'!$B$6:$D$311,2,FALSE))</f>
        <v>m</v>
      </c>
      <c r="H19" s="107">
        <v>0.05</v>
      </c>
      <c r="I19" s="24">
        <f>IF(F19=0,"",VLOOKUP(B19,'LISTADO DE MATERIALES'!$B$6:$D$311,3,FALSE))</f>
        <v>18994.584999999999</v>
      </c>
      <c r="J19" s="24">
        <f>IF(I19="",0,ROUND((+F19*I19*(1+H19)),0))</f>
        <v>19944</v>
      </c>
      <c r="L19" s="22"/>
      <c r="M19" s="777" t="s">
        <v>316</v>
      </c>
      <c r="N19" s="777"/>
      <c r="O19" s="777"/>
      <c r="P19" s="777"/>
      <c r="Q19" s="180">
        <v>1</v>
      </c>
      <c r="R19" s="206" t="s">
        <v>190</v>
      </c>
      <c r="S19" s="209">
        <v>0.05</v>
      </c>
      <c r="T19" s="181">
        <v>18994.584999999999</v>
      </c>
      <c r="U19" s="181">
        <f>IF(T19="",0,ROUND((+Q19*T19*(1+S19)),0))</f>
        <v>19944</v>
      </c>
      <c r="W19" s="274">
        <f>99802/6</f>
        <v>16633.666666666668</v>
      </c>
    </row>
    <row r="20" spans="1:23" ht="15" customHeight="1" x14ac:dyDescent="0.25">
      <c r="A20" s="22"/>
      <c r="B20" s="760" t="s">
        <v>192</v>
      </c>
      <c r="C20" s="760"/>
      <c r="D20" s="760"/>
      <c r="E20" s="760"/>
      <c r="F20" s="34">
        <v>1.4999999999999999E-2</v>
      </c>
      <c r="G20" s="31" t="str">
        <f>IF(F20=0,"",VLOOKUP(B20,'LISTADO DE MATERIALES'!$B$6:$D$311,2,FALSE))</f>
        <v>und</v>
      </c>
      <c r="H20" s="107">
        <v>0.05</v>
      </c>
      <c r="I20" s="24">
        <f>IF(F20=0,"",VLOOKUP(B20,'LISTADO DE MATERIALES'!$B$6:$D$311,3,FALSE))</f>
        <v>147850</v>
      </c>
      <c r="J20" s="24">
        <f t="shared" ref="J20:J24" si="2">IF(I20="",0,ROUND((+F20*I20*(1+H20)),0))</f>
        <v>2329</v>
      </c>
      <c r="L20" s="22"/>
      <c r="M20" s="771" t="s">
        <v>192</v>
      </c>
      <c r="N20" s="771"/>
      <c r="O20" s="771"/>
      <c r="P20" s="771"/>
      <c r="Q20" s="180">
        <v>1.4999999999999999E-2</v>
      </c>
      <c r="R20" s="206" t="s">
        <v>9</v>
      </c>
      <c r="S20" s="209"/>
      <c r="T20" s="181">
        <v>147850</v>
      </c>
      <c r="U20" s="181">
        <f t="shared" ref="U20:U24" si="3">IF(T20="",0,ROUND((+Q20*T20*(1+S20)),0))</f>
        <v>2218</v>
      </c>
      <c r="W20" s="274">
        <v>136699</v>
      </c>
    </row>
    <row r="21" spans="1:23" ht="15" customHeight="1" x14ac:dyDescent="0.25">
      <c r="A21" s="22"/>
      <c r="B21" s="760" t="s">
        <v>193</v>
      </c>
      <c r="C21" s="760"/>
      <c r="D21" s="760"/>
      <c r="E21" s="760"/>
      <c r="F21" s="34">
        <f>F20</f>
        <v>1.4999999999999999E-2</v>
      </c>
      <c r="G21" s="31" t="str">
        <f>IF(F21=0,"",VLOOKUP(B21,'LISTADO DE MATERIALES'!$B$6:$D$311,2,FALSE))</f>
        <v>und</v>
      </c>
      <c r="H21" s="107">
        <v>0.05</v>
      </c>
      <c r="I21" s="24">
        <f>IF(F21=0,"",VLOOKUP(B21,'LISTADO DE MATERIALES'!$B$6:$D$311,3,FALSE))</f>
        <v>71305</v>
      </c>
      <c r="J21" s="24">
        <f t="shared" si="2"/>
        <v>1123</v>
      </c>
      <c r="L21" s="22"/>
      <c r="M21" s="771" t="s">
        <v>193</v>
      </c>
      <c r="N21" s="771"/>
      <c r="O21" s="771"/>
      <c r="P21" s="771"/>
      <c r="Q21" s="180">
        <f>Q20</f>
        <v>1.4999999999999999E-2</v>
      </c>
      <c r="R21" s="206" t="s">
        <v>9</v>
      </c>
      <c r="S21" s="209"/>
      <c r="T21" s="181">
        <v>71305</v>
      </c>
      <c r="U21" s="181">
        <f t="shared" si="3"/>
        <v>1070</v>
      </c>
      <c r="W21" s="274">
        <v>65913</v>
      </c>
    </row>
    <row r="22" spans="1:23"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3"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3"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3" ht="15" customHeight="1" x14ac:dyDescent="0.25">
      <c r="A25" s="22"/>
      <c r="B25" s="761" t="s">
        <v>37</v>
      </c>
      <c r="C25" s="761"/>
      <c r="D25" s="761"/>
      <c r="E25" s="761"/>
      <c r="F25" s="761"/>
      <c r="G25" s="761"/>
      <c r="H25" s="761"/>
      <c r="I25" s="761"/>
      <c r="J25" s="24">
        <f>SUM(J19:J24)</f>
        <v>23396</v>
      </c>
      <c r="L25" s="22"/>
      <c r="M25" s="772" t="s">
        <v>37</v>
      </c>
      <c r="N25" s="772"/>
      <c r="O25" s="772"/>
      <c r="P25" s="772"/>
      <c r="Q25" s="772"/>
      <c r="R25" s="772"/>
      <c r="S25" s="772"/>
      <c r="T25" s="772"/>
      <c r="U25" s="181">
        <f>SUM(U19:U24)</f>
        <v>23232</v>
      </c>
    </row>
    <row r="26" spans="1:23" ht="7.5" customHeight="1" x14ac:dyDescent="0.25">
      <c r="A26" s="22"/>
      <c r="B26" s="25"/>
      <c r="C26" s="25"/>
      <c r="D26" s="25"/>
      <c r="E26" s="25"/>
      <c r="F26" s="25"/>
      <c r="G26" s="25"/>
      <c r="H26" s="25"/>
      <c r="I26" s="25"/>
      <c r="J26" s="26"/>
      <c r="L26" s="22"/>
      <c r="M26" s="25"/>
      <c r="N26" s="25"/>
      <c r="O26" s="25"/>
      <c r="P26" s="25"/>
      <c r="Q26" s="25"/>
      <c r="R26" s="25"/>
      <c r="S26" s="25"/>
      <c r="T26" s="25"/>
      <c r="U26" s="26"/>
    </row>
    <row r="27" spans="1:23"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3"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3" ht="15" customHeight="1" x14ac:dyDescent="0.25">
      <c r="A29" s="22"/>
      <c r="B29" s="760"/>
      <c r="C29" s="760"/>
      <c r="D29" s="760"/>
      <c r="E29" s="760"/>
      <c r="F29" s="760"/>
      <c r="G29" s="31"/>
      <c r="H29" s="34"/>
      <c r="I29" s="24"/>
      <c r="J29" s="24">
        <f>ROUND((I29*H29*G29),0)</f>
        <v>0</v>
      </c>
      <c r="L29" s="22"/>
      <c r="M29" s="771"/>
      <c r="N29" s="771"/>
      <c r="O29" s="771"/>
      <c r="P29" s="771"/>
      <c r="Q29" s="771"/>
      <c r="R29" s="206"/>
      <c r="S29" s="180"/>
      <c r="T29" s="181"/>
      <c r="U29" s="181">
        <f>ROUND((T29*S29*R29),0)</f>
        <v>0</v>
      </c>
    </row>
    <row r="30" spans="1:23"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3"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3"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73</v>
      </c>
      <c r="C37" s="760"/>
      <c r="D37" s="760"/>
      <c r="E37" s="760"/>
      <c r="F37" s="760"/>
      <c r="G37" s="24">
        <f>IF(B37="","",VLOOKUP(B37,CUADRILLAS!$B$87:$C$101,2,FALSE))</f>
        <v>628854.93333333335</v>
      </c>
      <c r="H37" s="31">
        <v>1</v>
      </c>
      <c r="I37" s="34">
        <v>135</v>
      </c>
      <c r="J37" s="24">
        <f>ROUND(+IF(I37=0,0,G37*H37/I37),0)</f>
        <v>4658</v>
      </c>
      <c r="L37" s="22"/>
      <c r="M37" s="771" t="s">
        <v>73</v>
      </c>
      <c r="N37" s="771"/>
      <c r="O37" s="771"/>
      <c r="P37" s="771"/>
      <c r="Q37" s="771"/>
      <c r="R37" s="181">
        <v>628854.93333333335</v>
      </c>
      <c r="S37" s="206">
        <v>1</v>
      </c>
      <c r="T37" s="180">
        <v>135</v>
      </c>
      <c r="U37" s="181">
        <f>ROUND(+IF(T37=0,0,R37*S37/T37),0)</f>
        <v>4658</v>
      </c>
    </row>
    <row r="38" spans="1:21" ht="15" customHeight="1" x14ac:dyDescent="0.25">
      <c r="A38" s="22"/>
      <c r="B38" s="760"/>
      <c r="C38" s="760"/>
      <c r="D38" s="760"/>
      <c r="E38" s="760"/>
      <c r="F38" s="760"/>
      <c r="G38" s="24" t="str">
        <f>IF(B38="","",VLOOKUP(B38,CUADRILLAS!$B$87:$C$101,2,FALSE))</f>
        <v/>
      </c>
      <c r="H38" s="31"/>
      <c r="I38" s="34"/>
      <c r="J38" s="24">
        <f>ROUND(+IF(I38=0,0,G38*H38/I38),0)</f>
        <v>0</v>
      </c>
      <c r="L38" s="22"/>
      <c r="M38" s="771"/>
      <c r="N38" s="771"/>
      <c r="O38" s="771"/>
      <c r="P38" s="771"/>
      <c r="Q38" s="771"/>
      <c r="R38" s="181" t="s">
        <v>501</v>
      </c>
      <c r="S38" s="206"/>
      <c r="T38" s="180"/>
      <c r="U38" s="181">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4658</v>
      </c>
      <c r="L41" s="22"/>
      <c r="M41" s="772" t="s">
        <v>42</v>
      </c>
      <c r="N41" s="772"/>
      <c r="O41" s="772"/>
      <c r="P41" s="772"/>
      <c r="Q41" s="772"/>
      <c r="R41" s="772"/>
      <c r="S41" s="772"/>
      <c r="T41" s="772"/>
      <c r="U41" s="181">
        <f>SUM(U37:U40)</f>
        <v>4658</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28287</v>
      </c>
      <c r="L43" s="27"/>
      <c r="M43" s="773" t="s">
        <v>43</v>
      </c>
      <c r="N43" s="773"/>
      <c r="O43" s="773"/>
      <c r="P43" s="773"/>
      <c r="Q43" s="773"/>
      <c r="R43" s="773"/>
      <c r="S43" s="773"/>
      <c r="T43" s="773"/>
      <c r="U43" s="210">
        <f>+U41+U33+U15+U25</f>
        <v>28123</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E6:H6"/>
    <mergeCell ref="A1:C4"/>
    <mergeCell ref="D1:J1"/>
    <mergeCell ref="D2:J2"/>
    <mergeCell ref="D3:J3"/>
    <mergeCell ref="D4:J4"/>
    <mergeCell ref="B19:E19"/>
    <mergeCell ref="B7:J7"/>
    <mergeCell ref="B8:F8"/>
    <mergeCell ref="B9:F9"/>
    <mergeCell ref="B10:F10"/>
    <mergeCell ref="B11:F11"/>
    <mergeCell ref="B12:F12"/>
    <mergeCell ref="B13:F13"/>
    <mergeCell ref="B14:F14"/>
    <mergeCell ref="B15:I15"/>
    <mergeCell ref="B17:J17"/>
    <mergeCell ref="B18:E18"/>
    <mergeCell ref="B32:F32"/>
    <mergeCell ref="B20:E20"/>
    <mergeCell ref="B21:E21"/>
    <mergeCell ref="B22:E22"/>
    <mergeCell ref="B23:E23"/>
    <mergeCell ref="B24:E24"/>
    <mergeCell ref="B25:I25"/>
    <mergeCell ref="B27:J27"/>
    <mergeCell ref="B28:F28"/>
    <mergeCell ref="B29:F29"/>
    <mergeCell ref="B30:F30"/>
    <mergeCell ref="B31:F31"/>
    <mergeCell ref="B40:F40"/>
    <mergeCell ref="B41:I41"/>
    <mergeCell ref="B43:I43"/>
    <mergeCell ref="B33:I33"/>
    <mergeCell ref="B35:J35"/>
    <mergeCell ref="B36:F36"/>
    <mergeCell ref="B37:F37"/>
    <mergeCell ref="B38:F38"/>
    <mergeCell ref="B39:F39"/>
  </mergeCells>
  <hyperlinks>
    <hyperlink ref="C6" location="'PPTO HOJA'!A18" display="'PPTO HOJA'!A18" xr:uid="{00000000-0004-0000-0600-000000000000}"/>
    <hyperlink ref="N6" location="'PPTO HOJA'!A15" display="'PPTO HOJA'!A15" xr:uid="{00000000-0004-0000-06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0600-000000000000}">
          <x14:formula1>
            <xm:f>CUADRILLAS!$B$86:$B$101</xm:f>
          </x14:formula1>
          <xm:sqref>B37:F40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0">
    <tabColor theme="9" tint="0.59999389629810485"/>
  </sheetPr>
  <dimension ref="A1:W44"/>
  <sheetViews>
    <sheetView zoomScale="85" zoomScaleNormal="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7.109375" style="20" customWidth="1"/>
    <col min="11" max="11" width="5.33203125" style="20" customWidth="1"/>
    <col min="12" max="16" width="11.44140625" style="20"/>
    <col min="17" max="17" width="11.5546875" style="20" bestFit="1" customWidth="1"/>
    <col min="18" max="18" width="13.44140625" style="20" bestFit="1" customWidth="1"/>
    <col min="19" max="19" width="11.5546875" style="20" bestFit="1" customWidth="1"/>
    <col min="20" max="20" width="13.109375" style="20" bestFit="1" customWidth="1"/>
    <col min="21" max="21" width="17.5546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163</v>
      </c>
      <c r="B6" s="29" t="s">
        <v>22</v>
      </c>
      <c r="C6" s="116">
        <f>+'PPTO HOJA'!A18</f>
        <v>2.0199999999999996</v>
      </c>
      <c r="D6" s="28"/>
      <c r="E6" s="764" t="str">
        <f>'PPTO HOJA'!B18</f>
        <v>S/I Tubería Sanitaria Ø 3" PVC-S</v>
      </c>
      <c r="F6" s="764"/>
      <c r="G6" s="764"/>
      <c r="H6" s="764"/>
      <c r="I6" s="30" t="s">
        <v>23</v>
      </c>
      <c r="J6" s="31" t="str">
        <f>'PPTO HOJA'!C18</f>
        <v>m</v>
      </c>
      <c r="L6" s="30" t="str">
        <f>A6</f>
        <v>II</v>
      </c>
      <c r="M6" s="29" t="s">
        <v>22</v>
      </c>
      <c r="N6" s="238">
        <f>C6</f>
        <v>2.0199999999999996</v>
      </c>
      <c r="O6" s="28"/>
      <c r="P6" s="764" t="str">
        <f>E6</f>
        <v>S/I Tubería Sanitaria Ø 3" PVC-S</v>
      </c>
      <c r="Q6" s="764"/>
      <c r="R6" s="764"/>
      <c r="S6" s="764"/>
      <c r="T6" s="30" t="s">
        <v>23</v>
      </c>
      <c r="U6" s="31" t="str">
        <f>J6</f>
        <v>m</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ht="26.4" customHeight="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314</v>
      </c>
      <c r="L9" s="22"/>
      <c r="M9" s="771" t="s">
        <v>30</v>
      </c>
      <c r="N9" s="771"/>
      <c r="O9" s="771"/>
      <c r="P9" s="771"/>
      <c r="Q9" s="771"/>
      <c r="R9" s="206"/>
      <c r="S9" s="181"/>
      <c r="T9" s="208">
        <v>0.05</v>
      </c>
      <c r="U9" s="181">
        <f>ROUND(T9*U41,0)</f>
        <v>262</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314</v>
      </c>
      <c r="L15" s="22"/>
      <c r="M15" s="772" t="s">
        <v>31</v>
      </c>
      <c r="N15" s="772"/>
      <c r="O15" s="772"/>
      <c r="P15" s="772"/>
      <c r="Q15" s="772"/>
      <c r="R15" s="772"/>
      <c r="S15" s="772"/>
      <c r="T15" s="772"/>
      <c r="U15" s="181">
        <f>SUM(U9:U14)</f>
        <v>262</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3"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3"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3" ht="14.25" customHeight="1" x14ac:dyDescent="0.25">
      <c r="A19" s="22"/>
      <c r="B19" s="764" t="s">
        <v>317</v>
      </c>
      <c r="C19" s="764"/>
      <c r="D19" s="764"/>
      <c r="E19" s="764"/>
      <c r="F19" s="34">
        <v>1</v>
      </c>
      <c r="G19" s="31" t="str">
        <f>IF(F19=0,"",VLOOKUP(B19,'LISTADO DE MATERIALES'!$B$6:$D$311,2,FALSE))</f>
        <v>m</v>
      </c>
      <c r="H19" s="107">
        <v>0.05</v>
      </c>
      <c r="I19" s="24">
        <f>IF(F19=0,"",VLOOKUP(B19,'LISTADO DE MATERIALES'!$B$6:$D$311,3,FALSE))</f>
        <v>26877.34</v>
      </c>
      <c r="J19" s="24">
        <f>IF(I19="",0,ROUND((+F19*I19*(1+H19)),0))</f>
        <v>28221</v>
      </c>
      <c r="L19" s="22"/>
      <c r="M19" s="777" t="s">
        <v>317</v>
      </c>
      <c r="N19" s="777"/>
      <c r="O19" s="777"/>
      <c r="P19" s="777"/>
      <c r="Q19" s="180">
        <v>1</v>
      </c>
      <c r="R19" s="206" t="s">
        <v>190</v>
      </c>
      <c r="S19" s="209">
        <v>0.05</v>
      </c>
      <c r="T19" s="181">
        <v>26877.34</v>
      </c>
      <c r="U19" s="181">
        <f>IF(T19="",0,ROUND((+Q19*T19*(1+S19)),0))</f>
        <v>28221</v>
      </c>
      <c r="W19" s="274">
        <f>149068/6</f>
        <v>24844.666666666668</v>
      </c>
    </row>
    <row r="20" spans="1:23" ht="15" customHeight="1" x14ac:dyDescent="0.25">
      <c r="A20" s="22"/>
      <c r="B20" s="760" t="s">
        <v>192</v>
      </c>
      <c r="C20" s="760"/>
      <c r="D20" s="760"/>
      <c r="E20" s="760"/>
      <c r="F20" s="34">
        <v>1.7000000000000001E-2</v>
      </c>
      <c r="G20" s="31" t="str">
        <f>IF(F20=0,"",VLOOKUP(B20,'LISTADO DE MATERIALES'!$B$6:$D$311,2,FALSE))</f>
        <v>und</v>
      </c>
      <c r="H20" s="107">
        <v>0.05</v>
      </c>
      <c r="I20" s="24">
        <f>IF(F20=0,"",VLOOKUP(B20,'LISTADO DE MATERIALES'!$B$6:$D$311,3,FALSE))</f>
        <v>147850</v>
      </c>
      <c r="J20" s="24">
        <f t="shared" ref="J20:J24" si="2">IF(I20="",0,ROUND((+F20*I20*(1+H20)),0))</f>
        <v>2639</v>
      </c>
      <c r="L20" s="22"/>
      <c r="M20" s="771" t="s">
        <v>192</v>
      </c>
      <c r="N20" s="771"/>
      <c r="O20" s="771"/>
      <c r="P20" s="771"/>
      <c r="Q20" s="180">
        <v>1.7000000000000001E-2</v>
      </c>
      <c r="R20" s="206" t="s">
        <v>9</v>
      </c>
      <c r="S20" s="209"/>
      <c r="T20" s="212">
        <v>147850</v>
      </c>
      <c r="U20" s="181">
        <f t="shared" ref="U20:U24" si="3">IF(T20="",0,ROUND((+Q20*T20*(1+S20)),0))</f>
        <v>2513</v>
      </c>
    </row>
    <row r="21" spans="1:23" ht="15" customHeight="1" x14ac:dyDescent="0.25">
      <c r="A21" s="22"/>
      <c r="B21" s="760" t="s">
        <v>193</v>
      </c>
      <c r="C21" s="760"/>
      <c r="D21" s="760"/>
      <c r="E21" s="760"/>
      <c r="F21" s="34">
        <f>F20</f>
        <v>1.7000000000000001E-2</v>
      </c>
      <c r="G21" s="31" t="str">
        <f>IF(F21=0,"",VLOOKUP(B21,'LISTADO DE MATERIALES'!$B$6:$D$311,2,FALSE))</f>
        <v>und</v>
      </c>
      <c r="H21" s="107">
        <v>0.05</v>
      </c>
      <c r="I21" s="24">
        <f>IF(F21=0,"",VLOOKUP(B21,'LISTADO DE MATERIALES'!$B$6:$D$311,3,FALSE))</f>
        <v>71305</v>
      </c>
      <c r="J21" s="24">
        <f t="shared" si="2"/>
        <v>1273</v>
      </c>
      <c r="L21" s="22"/>
      <c r="M21" s="771" t="s">
        <v>193</v>
      </c>
      <c r="N21" s="771"/>
      <c r="O21" s="771"/>
      <c r="P21" s="771"/>
      <c r="Q21" s="180">
        <f>Q20</f>
        <v>1.7000000000000001E-2</v>
      </c>
      <c r="R21" s="206" t="s">
        <v>9</v>
      </c>
      <c r="S21" s="209"/>
      <c r="T21" s="212">
        <v>71305</v>
      </c>
      <c r="U21" s="181">
        <f t="shared" si="3"/>
        <v>1212</v>
      </c>
    </row>
    <row r="22" spans="1:23"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3"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3"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3" ht="15" customHeight="1" x14ac:dyDescent="0.25">
      <c r="A25" s="22"/>
      <c r="B25" s="761" t="s">
        <v>37</v>
      </c>
      <c r="C25" s="761"/>
      <c r="D25" s="761"/>
      <c r="E25" s="761"/>
      <c r="F25" s="761"/>
      <c r="G25" s="761"/>
      <c r="H25" s="761"/>
      <c r="I25" s="761"/>
      <c r="J25" s="24">
        <f>SUM(J19:J24)</f>
        <v>32133</v>
      </c>
      <c r="L25" s="22"/>
      <c r="M25" s="772" t="s">
        <v>37</v>
      </c>
      <c r="N25" s="772"/>
      <c r="O25" s="772"/>
      <c r="P25" s="772"/>
      <c r="Q25" s="772"/>
      <c r="R25" s="772"/>
      <c r="S25" s="772"/>
      <c r="T25" s="772"/>
      <c r="U25" s="181">
        <f>SUM(U19:U24)</f>
        <v>31946</v>
      </c>
    </row>
    <row r="26" spans="1:23" ht="7.5" customHeight="1" x14ac:dyDescent="0.25">
      <c r="A26" s="22"/>
      <c r="B26" s="25"/>
      <c r="C26" s="25"/>
      <c r="D26" s="25"/>
      <c r="E26" s="25"/>
      <c r="F26" s="25"/>
      <c r="G26" s="25"/>
      <c r="H26" s="25"/>
      <c r="I26" s="25"/>
      <c r="J26" s="26"/>
      <c r="L26" s="22"/>
      <c r="M26" s="25"/>
      <c r="N26" s="25"/>
      <c r="O26" s="25"/>
      <c r="P26" s="25"/>
      <c r="Q26" s="25"/>
      <c r="R26" s="25"/>
      <c r="S26" s="25"/>
      <c r="T26" s="25"/>
      <c r="U26" s="26"/>
    </row>
    <row r="27" spans="1:23"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3" ht="26.4" customHeight="1"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3" ht="15" customHeight="1" x14ac:dyDescent="0.25">
      <c r="A29" s="22"/>
      <c r="B29" s="760"/>
      <c r="C29" s="760"/>
      <c r="D29" s="760"/>
      <c r="E29" s="760"/>
      <c r="F29" s="760"/>
      <c r="G29" s="31"/>
      <c r="H29" s="34"/>
      <c r="I29" s="24"/>
      <c r="J29" s="24">
        <f>ROUND((I29*H29*G29),0)</f>
        <v>0</v>
      </c>
      <c r="L29" s="22"/>
      <c r="M29" s="771"/>
      <c r="N29" s="771"/>
      <c r="O29" s="771"/>
      <c r="P29" s="771"/>
      <c r="Q29" s="771"/>
      <c r="R29" s="206"/>
      <c r="S29" s="180"/>
      <c r="T29" s="181"/>
      <c r="U29" s="181">
        <f>ROUND((T29*S29*R29),0)</f>
        <v>0</v>
      </c>
    </row>
    <row r="30" spans="1:23"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3"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3"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73</v>
      </c>
      <c r="C37" s="760"/>
      <c r="D37" s="760"/>
      <c r="E37" s="760"/>
      <c r="F37" s="760"/>
      <c r="G37" s="24">
        <f>IF(B37="","",VLOOKUP(B37,CUADRILLAS!$B$87:$C$101,2,FALSE))</f>
        <v>628854.93333333335</v>
      </c>
      <c r="H37" s="31">
        <v>1</v>
      </c>
      <c r="I37" s="34">
        <v>100</v>
      </c>
      <c r="J37" s="24">
        <f>ROUND(+IF(I37=0,0,G37*H37/I37),0)</f>
        <v>6289</v>
      </c>
      <c r="L37" s="22"/>
      <c r="M37" s="771" t="s">
        <v>73</v>
      </c>
      <c r="N37" s="771"/>
      <c r="O37" s="771"/>
      <c r="P37" s="771"/>
      <c r="Q37" s="771"/>
      <c r="R37" s="181">
        <v>628854.93333333335</v>
      </c>
      <c r="S37" s="206">
        <v>1</v>
      </c>
      <c r="T37" s="211">
        <v>120</v>
      </c>
      <c r="U37" s="181">
        <f>ROUND(+IF(T37=0,0,R37*S37/T37),0)</f>
        <v>5240</v>
      </c>
    </row>
    <row r="38" spans="1:21" ht="15" customHeight="1" x14ac:dyDescent="0.25">
      <c r="A38" s="22"/>
      <c r="B38" s="760"/>
      <c r="C38" s="760"/>
      <c r="D38" s="760"/>
      <c r="E38" s="760"/>
      <c r="F38" s="760"/>
      <c r="G38" s="24" t="str">
        <f>IF(B38="","",VLOOKUP(B38,CUADRILLAS!$B$87:$C$101,2,FALSE))</f>
        <v/>
      </c>
      <c r="H38" s="31"/>
      <c r="I38" s="34"/>
      <c r="J38" s="24">
        <f>ROUND(+IF(I38=0,0,G38*H38/I38),0)</f>
        <v>0</v>
      </c>
      <c r="L38" s="22"/>
      <c r="M38" s="771"/>
      <c r="N38" s="771"/>
      <c r="O38" s="771"/>
      <c r="P38" s="771"/>
      <c r="Q38" s="771"/>
      <c r="R38" s="181" t="s">
        <v>501</v>
      </c>
      <c r="S38" s="206"/>
      <c r="T38" s="180"/>
      <c r="U38" s="181">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6289</v>
      </c>
      <c r="L41" s="22"/>
      <c r="M41" s="772" t="s">
        <v>42</v>
      </c>
      <c r="N41" s="772"/>
      <c r="O41" s="772"/>
      <c r="P41" s="772"/>
      <c r="Q41" s="772"/>
      <c r="R41" s="772"/>
      <c r="S41" s="772"/>
      <c r="T41" s="772"/>
      <c r="U41" s="181">
        <f>SUM(U37:U40)</f>
        <v>5240</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38736</v>
      </c>
      <c r="L43" s="27"/>
      <c r="M43" s="773" t="s">
        <v>43</v>
      </c>
      <c r="N43" s="773"/>
      <c r="O43" s="773"/>
      <c r="P43" s="773"/>
      <c r="Q43" s="773"/>
      <c r="R43" s="773"/>
      <c r="S43" s="773"/>
      <c r="T43" s="773"/>
      <c r="U43" s="210">
        <f>+U41+U33+U15+U25</f>
        <v>37448</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E6:H6"/>
    <mergeCell ref="A1:C4"/>
    <mergeCell ref="D1:J1"/>
    <mergeCell ref="D2:J2"/>
    <mergeCell ref="D3:J3"/>
    <mergeCell ref="D4:J4"/>
    <mergeCell ref="B19:E19"/>
    <mergeCell ref="B7:J7"/>
    <mergeCell ref="B8:F8"/>
    <mergeCell ref="B9:F9"/>
    <mergeCell ref="B10:F10"/>
    <mergeCell ref="B11:F11"/>
    <mergeCell ref="B12:F12"/>
    <mergeCell ref="B13:F13"/>
    <mergeCell ref="B14:F14"/>
    <mergeCell ref="B15:I15"/>
    <mergeCell ref="B17:J17"/>
    <mergeCell ref="B18:E18"/>
    <mergeCell ref="B32:F32"/>
    <mergeCell ref="B20:E20"/>
    <mergeCell ref="B21:E21"/>
    <mergeCell ref="B22:E22"/>
    <mergeCell ref="B23:E23"/>
    <mergeCell ref="B24:E24"/>
    <mergeCell ref="B25:I25"/>
    <mergeCell ref="B27:J27"/>
    <mergeCell ref="B28:F28"/>
    <mergeCell ref="B29:F29"/>
    <mergeCell ref="B30:F30"/>
    <mergeCell ref="B31:F31"/>
    <mergeCell ref="B40:F40"/>
    <mergeCell ref="B41:I41"/>
    <mergeCell ref="B43:I43"/>
    <mergeCell ref="B33:I33"/>
    <mergeCell ref="B35:J35"/>
    <mergeCell ref="B36:F36"/>
    <mergeCell ref="B37:F37"/>
    <mergeCell ref="B38:F38"/>
    <mergeCell ref="B39:F39"/>
  </mergeCells>
  <hyperlinks>
    <hyperlink ref="C6" location="'PPTO HOJA'!A19" display="'PPTO HOJA'!A19" xr:uid="{00000000-0004-0000-0700-000000000000}"/>
    <hyperlink ref="N6" location="'PPTO HOJA'!A15" display="'PPTO HOJA'!A15" xr:uid="{00000000-0004-0000-07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0700-000000000000}">
          <x14:formula1>
            <xm:f>CUADRILLAS!$B$86:$B$101</xm:f>
          </x14:formula1>
          <xm:sqref>B37:F40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tint="0.59999389629810485"/>
  </sheetPr>
  <dimension ref="A1:W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6.33203125" style="20" bestFit="1" customWidth="1"/>
    <col min="11" max="11" width="5.33203125" style="20" customWidth="1"/>
    <col min="12" max="13" width="11.44140625" style="20"/>
    <col min="14" max="14" width="11.5546875" style="20" bestFit="1" customWidth="1"/>
    <col min="15" max="16" width="11.44140625" style="20"/>
    <col min="17" max="17" width="11.5546875" style="20" bestFit="1" customWidth="1"/>
    <col min="18" max="18" width="14" style="20" customWidth="1"/>
    <col min="19" max="19" width="11.5546875" style="20" bestFit="1" customWidth="1"/>
    <col min="20" max="20" width="13.109375" style="20" bestFit="1" customWidth="1"/>
    <col min="21" max="21" width="16.3320312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163</v>
      </c>
      <c r="B6" s="29" t="s">
        <v>22</v>
      </c>
      <c r="C6" s="116">
        <f>+'PPTO HOJA'!A19</f>
        <v>2.0299999999999994</v>
      </c>
      <c r="D6" s="28"/>
      <c r="E6" s="764" t="str">
        <f>+'PPTO HOJA'!B19</f>
        <v>S/I Tubería Sanitaria Ø 4" PVC-S</v>
      </c>
      <c r="F6" s="764"/>
      <c r="G6" s="764"/>
      <c r="H6" s="764"/>
      <c r="I6" s="30" t="s">
        <v>23</v>
      </c>
      <c r="J6" s="31" t="str">
        <f>'PPTO HOJA'!C33</f>
        <v>m</v>
      </c>
      <c r="L6" s="30" t="str">
        <f>A6</f>
        <v>II</v>
      </c>
      <c r="M6" s="29" t="s">
        <v>22</v>
      </c>
      <c r="N6" s="238">
        <f>C6</f>
        <v>2.0299999999999994</v>
      </c>
      <c r="O6" s="28"/>
      <c r="P6" s="764" t="str">
        <f>E6</f>
        <v>S/I Tubería Sanitaria Ø 4" PVC-S</v>
      </c>
      <c r="Q6" s="764"/>
      <c r="R6" s="764"/>
      <c r="S6" s="764"/>
      <c r="T6" s="30" t="s">
        <v>23</v>
      </c>
      <c r="U6" s="31" t="str">
        <f>J6</f>
        <v>m</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349</v>
      </c>
      <c r="L9" s="22"/>
      <c r="M9" s="771" t="s">
        <v>30</v>
      </c>
      <c r="N9" s="771"/>
      <c r="O9" s="771"/>
      <c r="P9" s="771"/>
      <c r="Q9" s="771"/>
      <c r="R9" s="206"/>
      <c r="S9" s="181"/>
      <c r="T9" s="208">
        <v>0.05</v>
      </c>
      <c r="U9" s="181">
        <f>ROUND(T9*U41,0)</f>
        <v>314</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349</v>
      </c>
      <c r="L15" s="22"/>
      <c r="M15" s="772" t="s">
        <v>31</v>
      </c>
      <c r="N15" s="772"/>
      <c r="O15" s="772"/>
      <c r="P15" s="772"/>
      <c r="Q15" s="772"/>
      <c r="R15" s="772"/>
      <c r="S15" s="772"/>
      <c r="T15" s="772"/>
      <c r="U15" s="181">
        <f>SUM(U9:U14)</f>
        <v>314</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3"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3"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3" ht="14.25" customHeight="1" x14ac:dyDescent="0.25">
      <c r="A19" s="22"/>
      <c r="B19" s="764" t="s">
        <v>191</v>
      </c>
      <c r="C19" s="764"/>
      <c r="D19" s="764"/>
      <c r="E19" s="764"/>
      <c r="F19" s="34">
        <v>1</v>
      </c>
      <c r="G19" s="31" t="str">
        <f>IF(F19=0,"",VLOOKUP(B19,'LISTADO DE MATERIALES'!$B$6:$D$311,2,FALSE))</f>
        <v>m</v>
      </c>
      <c r="H19" s="107">
        <v>0.05</v>
      </c>
      <c r="I19" s="24">
        <f>IF(F19=0,"",VLOOKUP(B19,'LISTADO DE MATERIALES'!$B$6:$D$311,3,FALSE))</f>
        <v>37800.15</v>
      </c>
      <c r="J19" s="24">
        <f>IF(I19="",0,ROUND((+F19*I19*(1+H19)),0))</f>
        <v>39690</v>
      </c>
      <c r="L19" s="22"/>
      <c r="M19" s="777" t="s">
        <v>191</v>
      </c>
      <c r="N19" s="777"/>
      <c r="O19" s="777"/>
      <c r="P19" s="777"/>
      <c r="Q19" s="180">
        <v>1</v>
      </c>
      <c r="R19" s="206" t="s">
        <v>190</v>
      </c>
      <c r="S19" s="209">
        <v>0.05</v>
      </c>
      <c r="T19" s="181">
        <v>37800.15</v>
      </c>
      <c r="U19" s="181">
        <f>IF(T19="",0,ROUND((+Q19*T19*(1+S19)),0))</f>
        <v>39690</v>
      </c>
      <c r="W19" s="274">
        <f>209648/6</f>
        <v>34941.333333333336</v>
      </c>
    </row>
    <row r="20" spans="1:23" ht="15" customHeight="1" x14ac:dyDescent="0.25">
      <c r="A20" s="22"/>
      <c r="B20" s="760" t="s">
        <v>192</v>
      </c>
      <c r="C20" s="760"/>
      <c r="D20" s="760"/>
      <c r="E20" s="760"/>
      <c r="F20" s="34">
        <v>1.4999999999999999E-2</v>
      </c>
      <c r="G20" s="31" t="str">
        <f>IF(F20=0,"",VLOOKUP(B20,'LISTADO DE MATERIALES'!$B$6:$D$311,2,FALSE))</f>
        <v>und</v>
      </c>
      <c r="H20" s="107">
        <v>0.05</v>
      </c>
      <c r="I20" s="24">
        <f>IF(F20=0,"",VLOOKUP(B20,'LISTADO DE MATERIALES'!$B$6:$D$311,3,FALSE))</f>
        <v>147850</v>
      </c>
      <c r="J20" s="24">
        <f t="shared" ref="J20:J24" si="2">IF(I20="",0,ROUND((+F20*I20*(1+H20)),0))</f>
        <v>2329</v>
      </c>
      <c r="L20" s="22"/>
      <c r="M20" s="771" t="s">
        <v>192</v>
      </c>
      <c r="N20" s="771"/>
      <c r="O20" s="771"/>
      <c r="P20" s="771"/>
      <c r="Q20" s="180">
        <v>1.4999999999999999E-2</v>
      </c>
      <c r="R20" s="206" t="s">
        <v>9</v>
      </c>
      <c r="S20" s="209"/>
      <c r="T20" s="212">
        <v>147850</v>
      </c>
      <c r="U20" s="181">
        <f t="shared" ref="U20:U24" si="3">IF(T20="",0,ROUND((+Q20*T20*(1+S20)),0))</f>
        <v>2218</v>
      </c>
    </row>
    <row r="21" spans="1:23" ht="15" customHeight="1" x14ac:dyDescent="0.25">
      <c r="A21" s="22"/>
      <c r="B21" s="760" t="s">
        <v>193</v>
      </c>
      <c r="C21" s="760"/>
      <c r="D21" s="760"/>
      <c r="E21" s="760"/>
      <c r="F21" s="34">
        <f>F20</f>
        <v>1.4999999999999999E-2</v>
      </c>
      <c r="G21" s="31" t="str">
        <f>IF(F21=0,"",VLOOKUP(B21,'LISTADO DE MATERIALES'!$B$6:$D$311,2,FALSE))</f>
        <v>und</v>
      </c>
      <c r="H21" s="107">
        <v>0.05</v>
      </c>
      <c r="I21" s="24">
        <f>IF(F21=0,"",VLOOKUP(B21,'LISTADO DE MATERIALES'!$B$6:$D$311,3,FALSE))</f>
        <v>71305</v>
      </c>
      <c r="J21" s="24">
        <f t="shared" si="2"/>
        <v>1123</v>
      </c>
      <c r="L21" s="22"/>
      <c r="M21" s="771" t="s">
        <v>193</v>
      </c>
      <c r="N21" s="771"/>
      <c r="O21" s="771"/>
      <c r="P21" s="771"/>
      <c r="Q21" s="180">
        <f>Q20</f>
        <v>1.4999999999999999E-2</v>
      </c>
      <c r="R21" s="206" t="s">
        <v>9</v>
      </c>
      <c r="S21" s="209"/>
      <c r="T21" s="212">
        <v>71305</v>
      </c>
      <c r="U21" s="181">
        <f t="shared" si="3"/>
        <v>1070</v>
      </c>
    </row>
    <row r="22" spans="1:23"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3"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3"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3" ht="15" customHeight="1" x14ac:dyDescent="0.25">
      <c r="A25" s="22"/>
      <c r="B25" s="761" t="s">
        <v>37</v>
      </c>
      <c r="C25" s="761"/>
      <c r="D25" s="761"/>
      <c r="E25" s="761"/>
      <c r="F25" s="761"/>
      <c r="G25" s="761"/>
      <c r="H25" s="761"/>
      <c r="I25" s="761"/>
      <c r="J25" s="24">
        <f>SUM(J19:J24)</f>
        <v>43142</v>
      </c>
      <c r="L25" s="22"/>
      <c r="M25" s="772" t="s">
        <v>37</v>
      </c>
      <c r="N25" s="772"/>
      <c r="O25" s="772"/>
      <c r="P25" s="772"/>
      <c r="Q25" s="772"/>
      <c r="R25" s="772"/>
      <c r="S25" s="772"/>
      <c r="T25" s="772"/>
      <c r="U25" s="181">
        <f>SUM(U19:U24)</f>
        <v>42978</v>
      </c>
    </row>
    <row r="26" spans="1:23" ht="7.5" customHeight="1" x14ac:dyDescent="0.25">
      <c r="A26" s="22"/>
      <c r="B26" s="25"/>
      <c r="C26" s="25"/>
      <c r="D26" s="25"/>
      <c r="E26" s="25"/>
      <c r="F26" s="25"/>
      <c r="G26" s="25"/>
      <c r="H26" s="25"/>
      <c r="I26" s="25"/>
      <c r="J26" s="26"/>
      <c r="L26" s="22"/>
      <c r="M26" s="25"/>
      <c r="N26" s="25"/>
      <c r="O26" s="25"/>
      <c r="P26" s="25"/>
      <c r="Q26" s="25"/>
      <c r="R26" s="25"/>
      <c r="S26" s="25"/>
      <c r="T26" s="25"/>
      <c r="U26" s="26"/>
    </row>
    <row r="27" spans="1:23"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3"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3" ht="15" customHeight="1" x14ac:dyDescent="0.25">
      <c r="A29" s="22"/>
      <c r="B29" s="760"/>
      <c r="C29" s="760"/>
      <c r="D29" s="760"/>
      <c r="E29" s="760"/>
      <c r="F29" s="760"/>
      <c r="G29" s="31"/>
      <c r="H29" s="34"/>
      <c r="I29" s="24"/>
      <c r="J29" s="24">
        <f>ROUND((I29*H29*G29),0)</f>
        <v>0</v>
      </c>
      <c r="L29" s="22"/>
      <c r="M29" s="771"/>
      <c r="N29" s="771"/>
      <c r="O29" s="771"/>
      <c r="P29" s="771"/>
      <c r="Q29" s="771"/>
      <c r="R29" s="206"/>
      <c r="S29" s="180"/>
      <c r="T29" s="181"/>
      <c r="U29" s="181">
        <f>ROUND((T29*S29*R29),0)</f>
        <v>0</v>
      </c>
    </row>
    <row r="30" spans="1:23"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3"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3"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73</v>
      </c>
      <c r="C37" s="760"/>
      <c r="D37" s="760"/>
      <c r="E37" s="760"/>
      <c r="F37" s="760"/>
      <c r="G37" s="24">
        <f>IF(B37="","",VLOOKUP(B37,CUADRILLAS!$B$87:$C$101,2,FALSE))</f>
        <v>628854.93333333335</v>
      </c>
      <c r="H37" s="31">
        <v>1</v>
      </c>
      <c r="I37" s="34">
        <v>90</v>
      </c>
      <c r="J37" s="24">
        <f>ROUND(+IF(I37=0,0,G37*H37/I37),0)</f>
        <v>6987</v>
      </c>
      <c r="L37" s="22"/>
      <c r="M37" s="771" t="s">
        <v>73</v>
      </c>
      <c r="N37" s="771"/>
      <c r="O37" s="771"/>
      <c r="P37" s="771"/>
      <c r="Q37" s="771"/>
      <c r="R37" s="181">
        <v>628854.93333333335</v>
      </c>
      <c r="S37" s="206">
        <v>1</v>
      </c>
      <c r="T37" s="211">
        <v>100</v>
      </c>
      <c r="U37" s="181">
        <f>ROUND(+IF(T37=0,0,R37*S37/T37),0)</f>
        <v>6289</v>
      </c>
    </row>
    <row r="38" spans="1:21" ht="15" customHeight="1" x14ac:dyDescent="0.25">
      <c r="A38" s="22"/>
      <c r="B38" s="760"/>
      <c r="C38" s="760"/>
      <c r="D38" s="760"/>
      <c r="E38" s="760"/>
      <c r="F38" s="760"/>
      <c r="G38" s="24" t="str">
        <f>IF(B38="","",VLOOKUP(B38,CUADRILLAS!$B$87:$C$101,2,FALSE))</f>
        <v/>
      </c>
      <c r="H38" s="31"/>
      <c r="I38" s="34"/>
      <c r="J38" s="24">
        <f>ROUND(+IF(I38=0,0,G38*H38/I38),0)</f>
        <v>0</v>
      </c>
      <c r="L38" s="22"/>
      <c r="M38" s="771"/>
      <c r="N38" s="771"/>
      <c r="O38" s="771"/>
      <c r="P38" s="771"/>
      <c r="Q38" s="771"/>
      <c r="R38" s="181" t="s">
        <v>501</v>
      </c>
      <c r="S38" s="206"/>
      <c r="T38" s="180"/>
      <c r="U38" s="181">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6987</v>
      </c>
      <c r="L41" s="22"/>
      <c r="M41" s="772" t="s">
        <v>42</v>
      </c>
      <c r="N41" s="772"/>
      <c r="O41" s="772"/>
      <c r="P41" s="772"/>
      <c r="Q41" s="772"/>
      <c r="R41" s="772"/>
      <c r="S41" s="772"/>
      <c r="T41" s="772"/>
      <c r="U41" s="181">
        <f>SUM(U37:U40)</f>
        <v>6289</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50478</v>
      </c>
      <c r="L43" s="27"/>
      <c r="M43" s="773" t="s">
        <v>43</v>
      </c>
      <c r="N43" s="773"/>
      <c r="O43" s="773"/>
      <c r="P43" s="773"/>
      <c r="Q43" s="773"/>
      <c r="R43" s="773"/>
      <c r="S43" s="773"/>
      <c r="T43" s="773"/>
      <c r="U43" s="210">
        <f>+U41+U33+U15+U25</f>
        <v>49581</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20" display="'PPTO HOJA'!A20" xr:uid="{00000000-0004-0000-0800-000000000000}"/>
    <hyperlink ref="N6" location="'PPTO HOJA'!A15" display="'PPTO HOJA'!A15" xr:uid="{00000000-0004-0000-08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0800-000000000000}">
          <x14:formula1>
            <xm:f>CUADRILLAS!$B$86:$B$101</xm:f>
          </x14:formula1>
          <xm:sqref>B37:F40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tint="0.59999389629810485"/>
  </sheetPr>
  <dimension ref="A1:U44"/>
  <sheetViews>
    <sheetView topLeftCell="A2" zoomScale="85" zoomScaleNormal="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4.88671875" style="20" bestFit="1" customWidth="1"/>
    <col min="11" max="11" width="5.6640625" style="20" customWidth="1"/>
    <col min="12" max="13" width="11.44140625" style="20"/>
    <col min="14" max="14" width="11.5546875" style="20" bestFit="1" customWidth="1"/>
    <col min="15" max="16" width="11.44140625" style="20"/>
    <col min="17" max="17" width="11.5546875" style="20" bestFit="1" customWidth="1"/>
    <col min="18" max="18" width="13.44140625" style="20" bestFit="1" customWidth="1"/>
    <col min="19" max="19" width="11.44140625" style="20"/>
    <col min="20" max="20" width="13.109375" style="20" bestFit="1" customWidth="1"/>
    <col min="21" max="21" width="14.88671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163</v>
      </c>
      <c r="B6" s="29" t="s">
        <v>22</v>
      </c>
      <c r="C6" s="118">
        <f>+'PPTO HOJA'!A20</f>
        <v>2.04</v>
      </c>
      <c r="D6" s="28"/>
      <c r="E6" s="764" t="str">
        <f>'PPTO HOJA'!B20</f>
        <v>S/I Codo 90° PVC-S Ø2"</v>
      </c>
      <c r="F6" s="764"/>
      <c r="G6" s="764"/>
      <c r="H6" s="764"/>
      <c r="I6" s="30" t="s">
        <v>23</v>
      </c>
      <c r="J6" s="31" t="str">
        <f>'PPTO HOJA'!C20</f>
        <v>und</v>
      </c>
      <c r="L6" s="30" t="str">
        <f>A6</f>
        <v>II</v>
      </c>
      <c r="M6" s="29" t="s">
        <v>22</v>
      </c>
      <c r="N6" s="238">
        <f>C6</f>
        <v>2.04</v>
      </c>
      <c r="O6" s="28"/>
      <c r="P6" s="764" t="str">
        <f>E6</f>
        <v>S/I Codo 90° PVC-S Ø2"</v>
      </c>
      <c r="Q6" s="764"/>
      <c r="R6" s="764"/>
      <c r="S6" s="764"/>
      <c r="T6" s="30" t="s">
        <v>23</v>
      </c>
      <c r="U6" s="31" t="str">
        <f>J6</f>
        <v>und</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ht="26.4"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52</v>
      </c>
      <c r="L9" s="22"/>
      <c r="M9" s="771" t="s">
        <v>30</v>
      </c>
      <c r="N9" s="771"/>
      <c r="O9" s="771"/>
      <c r="P9" s="771"/>
      <c r="Q9" s="771"/>
      <c r="R9" s="206"/>
      <c r="S9" s="181"/>
      <c r="T9" s="208">
        <v>0.05</v>
      </c>
      <c r="U9" s="181">
        <f>ROUND(T9*U41,0)</f>
        <v>45</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52</v>
      </c>
      <c r="L15" s="22"/>
      <c r="M15" s="772" t="s">
        <v>31</v>
      </c>
      <c r="N15" s="772"/>
      <c r="O15" s="772"/>
      <c r="P15" s="772"/>
      <c r="Q15" s="772"/>
      <c r="R15" s="772"/>
      <c r="S15" s="772"/>
      <c r="T15" s="772"/>
      <c r="U15" s="181">
        <f>SUM(U9:U14)</f>
        <v>45</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1"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1" ht="14.25" customHeight="1" x14ac:dyDescent="0.25">
      <c r="A19" s="22"/>
      <c r="B19" s="764" t="s">
        <v>329</v>
      </c>
      <c r="C19" s="764"/>
      <c r="D19" s="764"/>
      <c r="E19" s="764"/>
      <c r="F19" s="34">
        <v>1</v>
      </c>
      <c r="G19" s="31" t="str">
        <f>IF(F19=0,"",VLOOKUP(B19,'LISTADO DE MATERIALES'!$B$6:$D$311,2,FALSE))</f>
        <v>und</v>
      </c>
      <c r="H19" s="107"/>
      <c r="I19" s="24">
        <f>IF(F19=0,"",VLOOKUP(B19,'LISTADO DE MATERIALES'!$B$6:$D$311,3,FALSE))</f>
        <v>4434</v>
      </c>
      <c r="J19" s="24">
        <f>IF(I19="",0,ROUND((+F19*I19*(1+H19)),0))</f>
        <v>4434</v>
      </c>
      <c r="L19" s="22"/>
      <c r="M19" s="777" t="s">
        <v>329</v>
      </c>
      <c r="N19" s="777"/>
      <c r="O19" s="777"/>
      <c r="P19" s="777"/>
      <c r="Q19" s="180">
        <v>1</v>
      </c>
      <c r="R19" s="206" t="s">
        <v>9</v>
      </c>
      <c r="S19" s="209"/>
      <c r="T19" s="181">
        <v>4434</v>
      </c>
      <c r="U19" s="181">
        <f>IF(T19="",0,ROUND((+Q19*T19*(1+S19)),0))</f>
        <v>4434</v>
      </c>
    </row>
    <row r="20" spans="1:21" ht="15" customHeight="1" x14ac:dyDescent="0.25">
      <c r="A20" s="22"/>
      <c r="B20" s="760" t="s">
        <v>192</v>
      </c>
      <c r="C20" s="760"/>
      <c r="D20" s="760"/>
      <c r="E20" s="760"/>
      <c r="F20" s="34">
        <v>5.0000000000000001E-3</v>
      </c>
      <c r="G20" s="31" t="str">
        <f>IF(F20=0,"",VLOOKUP(B20,'LISTADO DE MATERIALES'!$B$6:$D$311,2,FALSE))</f>
        <v>und</v>
      </c>
      <c r="H20" s="107">
        <v>0.05</v>
      </c>
      <c r="I20" s="24">
        <f>IF(F20=0,"",VLOOKUP(B20,'LISTADO DE MATERIALES'!$B$6:$D$311,3,FALSE))</f>
        <v>147850</v>
      </c>
      <c r="J20" s="24">
        <f t="shared" ref="J20:J24" si="2">IF(I20="",0,ROUND((+F20*I20*(1+H20)),0))</f>
        <v>776</v>
      </c>
      <c r="L20" s="22"/>
      <c r="M20" s="771" t="s">
        <v>192</v>
      </c>
      <c r="N20" s="771"/>
      <c r="O20" s="771"/>
      <c r="P20" s="771"/>
      <c r="Q20" s="180">
        <v>5.0000000000000001E-3</v>
      </c>
      <c r="R20" s="206" t="s">
        <v>9</v>
      </c>
      <c r="S20" s="209"/>
      <c r="T20" s="212">
        <v>147850</v>
      </c>
      <c r="U20" s="181">
        <f t="shared" ref="U20:U24" si="3">IF(T20="",0,ROUND((+Q20*T20*(1+S20)),0))</f>
        <v>739</v>
      </c>
    </row>
    <row r="21" spans="1:21" ht="15" customHeight="1" x14ac:dyDescent="0.25">
      <c r="A21" s="22"/>
      <c r="B21" s="760" t="s">
        <v>193</v>
      </c>
      <c r="C21" s="760"/>
      <c r="D21" s="760"/>
      <c r="E21" s="760"/>
      <c r="F21" s="34">
        <f>+F20</f>
        <v>5.0000000000000001E-3</v>
      </c>
      <c r="G21" s="31" t="str">
        <f>IF(F21=0,"",VLOOKUP(B21,'LISTADO DE MATERIALES'!$B$6:$D$311,2,FALSE))</f>
        <v>und</v>
      </c>
      <c r="H21" s="107">
        <v>0.05</v>
      </c>
      <c r="I21" s="24">
        <f>IF(F21=0,"",VLOOKUP(B21,'LISTADO DE MATERIALES'!$B$6:$D$311,3,FALSE))</f>
        <v>71305</v>
      </c>
      <c r="J21" s="24">
        <f t="shared" si="2"/>
        <v>374</v>
      </c>
      <c r="L21" s="22"/>
      <c r="M21" s="771" t="s">
        <v>193</v>
      </c>
      <c r="N21" s="771"/>
      <c r="O21" s="771"/>
      <c r="P21" s="771"/>
      <c r="Q21" s="180">
        <f>+Q20</f>
        <v>5.0000000000000001E-3</v>
      </c>
      <c r="R21" s="206" t="s">
        <v>9</v>
      </c>
      <c r="S21" s="209"/>
      <c r="T21" s="212">
        <v>71305</v>
      </c>
      <c r="U21" s="181">
        <f t="shared" si="3"/>
        <v>357</v>
      </c>
    </row>
    <row r="22" spans="1:21"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1"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1"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1" ht="15" customHeight="1" x14ac:dyDescent="0.25">
      <c r="A25" s="22"/>
      <c r="B25" s="761" t="s">
        <v>37</v>
      </c>
      <c r="C25" s="761"/>
      <c r="D25" s="761"/>
      <c r="E25" s="761"/>
      <c r="F25" s="761"/>
      <c r="G25" s="761"/>
      <c r="H25" s="761"/>
      <c r="I25" s="761"/>
      <c r="J25" s="24">
        <f>SUM(J19:J24)</f>
        <v>5584</v>
      </c>
      <c r="L25" s="22"/>
      <c r="M25" s="772" t="s">
        <v>37</v>
      </c>
      <c r="N25" s="772"/>
      <c r="O25" s="772"/>
      <c r="P25" s="772"/>
      <c r="Q25" s="772"/>
      <c r="R25" s="772"/>
      <c r="S25" s="772"/>
      <c r="T25" s="772"/>
      <c r="U25" s="181">
        <f>SUM(U19:U24)</f>
        <v>5530</v>
      </c>
    </row>
    <row r="26" spans="1:21" ht="7.5" customHeight="1" x14ac:dyDescent="0.25">
      <c r="A26" s="22"/>
      <c r="B26" s="25"/>
      <c r="C26" s="25"/>
      <c r="D26" s="25"/>
      <c r="E26" s="25"/>
      <c r="F26" s="25"/>
      <c r="G26" s="25"/>
      <c r="H26" s="25"/>
      <c r="I26" s="25"/>
      <c r="J26" s="26"/>
      <c r="L26" s="22"/>
      <c r="M26" s="25"/>
      <c r="N26" s="25"/>
      <c r="O26" s="25"/>
      <c r="P26" s="25"/>
      <c r="Q26" s="25"/>
      <c r="R26" s="25"/>
      <c r="S26" s="25"/>
      <c r="T26" s="25"/>
      <c r="U26" s="26"/>
    </row>
    <row r="27" spans="1:21"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1" ht="26.4"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1" ht="15" customHeight="1" x14ac:dyDescent="0.25">
      <c r="A29" s="22"/>
      <c r="B29" s="760"/>
      <c r="C29" s="760"/>
      <c r="D29" s="760"/>
      <c r="E29" s="760"/>
      <c r="F29" s="760"/>
      <c r="G29" s="31"/>
      <c r="H29" s="34"/>
      <c r="I29" s="24"/>
      <c r="J29" s="24">
        <f>ROUND((I29*H29*G29),0)</f>
        <v>0</v>
      </c>
      <c r="L29" s="22"/>
      <c r="M29" s="771"/>
      <c r="N29" s="771"/>
      <c r="O29" s="771"/>
      <c r="P29" s="771"/>
      <c r="Q29" s="771"/>
      <c r="R29" s="206"/>
      <c r="S29" s="180"/>
      <c r="T29" s="181"/>
      <c r="U29" s="181">
        <f>ROUND((T29*S29*R29),0)</f>
        <v>0</v>
      </c>
    </row>
    <row r="30" spans="1:21"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1"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1"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73</v>
      </c>
      <c r="C37" s="760"/>
      <c r="D37" s="760"/>
      <c r="E37" s="760"/>
      <c r="F37" s="760"/>
      <c r="G37" s="24">
        <f>IF(B37="","",VLOOKUP(B37,CUADRILLAS!$B$87:$C$101,2,FALSE))</f>
        <v>628854.93333333335</v>
      </c>
      <c r="H37" s="31">
        <v>1</v>
      </c>
      <c r="I37" s="34">
        <v>600</v>
      </c>
      <c r="J37" s="24">
        <f>ROUND(+IF(I37=0,0,G37*H37/I37),0)</f>
        <v>1048</v>
      </c>
      <c r="L37" s="22"/>
      <c r="M37" s="771" t="s">
        <v>73</v>
      </c>
      <c r="N37" s="771"/>
      <c r="O37" s="771"/>
      <c r="P37" s="771"/>
      <c r="Q37" s="771"/>
      <c r="R37" s="181">
        <v>628854.93333333335</v>
      </c>
      <c r="S37" s="206">
        <v>1</v>
      </c>
      <c r="T37" s="211">
        <v>700</v>
      </c>
      <c r="U37" s="181">
        <f>ROUND(+IF(T37=0,0,R37*S37/T37),0)</f>
        <v>898</v>
      </c>
    </row>
    <row r="38" spans="1:21" ht="15" customHeight="1" x14ac:dyDescent="0.25">
      <c r="A38" s="22"/>
      <c r="B38" s="760"/>
      <c r="C38" s="760"/>
      <c r="D38" s="760"/>
      <c r="E38" s="760"/>
      <c r="F38" s="760"/>
      <c r="G38" s="24" t="str">
        <f>IF(B38="","",VLOOKUP(B38,CUADRILLAS!$B$87:$C$101,2,FALSE))</f>
        <v/>
      </c>
      <c r="H38" s="31"/>
      <c r="I38" s="34"/>
      <c r="J38" s="24">
        <f>ROUND(+IF(I38=0,0,G38*H38/I38),0)</f>
        <v>0</v>
      </c>
      <c r="L38" s="22"/>
      <c r="M38" s="771"/>
      <c r="N38" s="771"/>
      <c r="O38" s="771"/>
      <c r="P38" s="771"/>
      <c r="Q38" s="771"/>
      <c r="R38" s="181" t="s">
        <v>501</v>
      </c>
      <c r="S38" s="206"/>
      <c r="T38" s="180"/>
      <c r="U38" s="181">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1048</v>
      </c>
      <c r="L41" s="22"/>
      <c r="M41" s="772" t="s">
        <v>42</v>
      </c>
      <c r="N41" s="772"/>
      <c r="O41" s="772"/>
      <c r="P41" s="772"/>
      <c r="Q41" s="772"/>
      <c r="R41" s="772"/>
      <c r="S41" s="772"/>
      <c r="T41" s="772"/>
      <c r="U41" s="181">
        <f>SUM(U37:U40)</f>
        <v>898</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6684</v>
      </c>
      <c r="L43" s="27"/>
      <c r="M43" s="773" t="s">
        <v>43</v>
      </c>
      <c r="N43" s="773"/>
      <c r="O43" s="773"/>
      <c r="P43" s="773"/>
      <c r="Q43" s="773"/>
      <c r="R43" s="773"/>
      <c r="S43" s="773"/>
      <c r="T43" s="773"/>
      <c r="U43" s="210">
        <f>+U15+U25+U41</f>
        <v>6473</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25" display="'PPTO HOJA'!A25" xr:uid="{00000000-0004-0000-0900-000000000000}"/>
    <hyperlink ref="N6" location="'PPTO HOJA'!A15" display="'PPTO HOJA'!A15" xr:uid="{00000000-0004-0000-0900-000001000000}"/>
  </hyperlinks>
  <pageMargins left="0.7" right="0.7" top="0.75" bottom="0.75" header="0.3" footer="0.3"/>
  <pageSetup paperSize="9" scale="36"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0900-000000000000}">
          <x14:formula1>
            <xm:f>CUADRILLAS!$B$86:$B$101</xm:f>
          </x14:formula1>
          <xm:sqref>B37:F40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59999389629810485"/>
  </sheetPr>
  <dimension ref="A1:U44"/>
  <sheetViews>
    <sheetView topLeftCell="A2"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7.6640625" style="20" customWidth="1"/>
    <col min="11" max="11" width="6.6640625" style="20" customWidth="1"/>
    <col min="12" max="17" width="11.44140625" style="20"/>
    <col min="18" max="18" width="13.44140625" style="20" bestFit="1" customWidth="1"/>
    <col min="19" max="19" width="11.44140625" style="20"/>
    <col min="20" max="20" width="13.5546875" style="20" bestFit="1" customWidth="1"/>
    <col min="21" max="21" width="16.6640625" style="20"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163</v>
      </c>
      <c r="B6" s="29" t="s">
        <v>22</v>
      </c>
      <c r="C6" s="118">
        <f>+'PPTO HOJA'!A21</f>
        <v>2.0499999999999998</v>
      </c>
      <c r="D6" s="28"/>
      <c r="E6" s="764" t="str">
        <f>'PPTO HOJA'!B21</f>
        <v>S/I Codo 90° PVC-S Ø3"</v>
      </c>
      <c r="F6" s="764"/>
      <c r="G6" s="764"/>
      <c r="H6" s="764"/>
      <c r="I6" s="30" t="s">
        <v>23</v>
      </c>
      <c r="J6" s="31" t="str">
        <f>'PPTO HOJA'!C21</f>
        <v>und</v>
      </c>
      <c r="L6" s="30" t="str">
        <f>A6</f>
        <v>II</v>
      </c>
      <c r="M6" s="29" t="s">
        <v>22</v>
      </c>
      <c r="N6" s="238">
        <f>C6</f>
        <v>2.0499999999999998</v>
      </c>
      <c r="O6" s="28"/>
      <c r="P6" s="764" t="str">
        <f>E6</f>
        <v>S/I Codo 90° PVC-S Ø3"</v>
      </c>
      <c r="Q6" s="764"/>
      <c r="R6" s="764"/>
      <c r="S6" s="764"/>
      <c r="T6" s="30" t="s">
        <v>23</v>
      </c>
      <c r="U6" s="31" t="str">
        <f>J6</f>
        <v>und</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ht="26.4" customHeight="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52</v>
      </c>
      <c r="L9" s="22"/>
      <c r="M9" s="771" t="s">
        <v>30</v>
      </c>
      <c r="N9" s="771"/>
      <c r="O9" s="771"/>
      <c r="P9" s="771"/>
      <c r="Q9" s="771"/>
      <c r="R9" s="206"/>
      <c r="S9" s="181"/>
      <c r="T9" s="208">
        <v>0.05</v>
      </c>
      <c r="U9" s="181">
        <f>ROUND(T9*U41,0)</f>
        <v>48</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52</v>
      </c>
      <c r="L15" s="22"/>
      <c r="M15" s="772" t="s">
        <v>31</v>
      </c>
      <c r="N15" s="772"/>
      <c r="O15" s="772"/>
      <c r="P15" s="772"/>
      <c r="Q15" s="772"/>
      <c r="R15" s="772"/>
      <c r="S15" s="772"/>
      <c r="T15" s="772"/>
      <c r="U15" s="181">
        <f>SUM(U9:U14)</f>
        <v>48</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1"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1" ht="14.25" customHeight="1" x14ac:dyDescent="0.25">
      <c r="A19" s="22"/>
      <c r="B19" s="764" t="s">
        <v>330</v>
      </c>
      <c r="C19" s="764"/>
      <c r="D19" s="764"/>
      <c r="E19" s="764"/>
      <c r="F19" s="34">
        <v>1</v>
      </c>
      <c r="G19" s="31" t="str">
        <f>IF(F19=0,"",VLOOKUP(B19,'LISTADO DE MATERIALES'!$B$6:$D$311,2,FALSE))</f>
        <v>und</v>
      </c>
      <c r="H19" s="107"/>
      <c r="I19" s="24">
        <f>IF(F19=0,"",VLOOKUP(B19,'LISTADO DE MATERIALES'!$B$6:$D$311,3,FALSE))</f>
        <v>10270</v>
      </c>
      <c r="J19" s="24">
        <f>IF(I19="",0,ROUND((+F19*I19*(1+H19)),0))</f>
        <v>10270</v>
      </c>
      <c r="L19" s="22"/>
      <c r="M19" s="777" t="s">
        <v>330</v>
      </c>
      <c r="N19" s="777"/>
      <c r="O19" s="777"/>
      <c r="P19" s="777"/>
      <c r="Q19" s="180">
        <v>1</v>
      </c>
      <c r="R19" s="206" t="s">
        <v>9</v>
      </c>
      <c r="S19" s="209"/>
      <c r="T19" s="181">
        <v>10270</v>
      </c>
      <c r="U19" s="181">
        <f>IF(T19="",0,ROUND((+Q19*T19*(1+S19)),0))</f>
        <v>10270</v>
      </c>
    </row>
    <row r="20" spans="1:21" ht="15" customHeight="1" x14ac:dyDescent="0.25">
      <c r="A20" s="22"/>
      <c r="B20" s="760" t="s">
        <v>192</v>
      </c>
      <c r="C20" s="760"/>
      <c r="D20" s="760"/>
      <c r="E20" s="760"/>
      <c r="F20" s="34">
        <v>5.0000000000000001E-3</v>
      </c>
      <c r="G20" s="31" t="str">
        <f>IF(F20=0,"",VLOOKUP(B20,'LISTADO DE MATERIALES'!$B$6:$D$311,2,FALSE))</f>
        <v>und</v>
      </c>
      <c r="H20" s="107">
        <v>0.05</v>
      </c>
      <c r="I20" s="24">
        <f>IF(F20=0,"",VLOOKUP(B20,'LISTADO DE MATERIALES'!$B$6:$D$311,3,FALSE))</f>
        <v>147850</v>
      </c>
      <c r="J20" s="24">
        <f t="shared" ref="J20:J24" si="2">IF(I20="",0,ROUND((+F20*I20*(1+H20)),0))</f>
        <v>776</v>
      </c>
      <c r="L20" s="22"/>
      <c r="M20" s="771" t="s">
        <v>192</v>
      </c>
      <c r="N20" s="771"/>
      <c r="O20" s="771"/>
      <c r="P20" s="771"/>
      <c r="Q20" s="180">
        <v>5.0000000000000001E-3</v>
      </c>
      <c r="R20" s="206" t="s">
        <v>9</v>
      </c>
      <c r="S20" s="209"/>
      <c r="T20" s="212">
        <v>147850</v>
      </c>
      <c r="U20" s="181">
        <f t="shared" ref="U20:U24" si="3">IF(T20="",0,ROUND((+Q20*T20*(1+S20)),0))</f>
        <v>739</v>
      </c>
    </row>
    <row r="21" spans="1:21" ht="15" customHeight="1" x14ac:dyDescent="0.25">
      <c r="A21" s="22"/>
      <c r="B21" s="760" t="s">
        <v>193</v>
      </c>
      <c r="C21" s="760"/>
      <c r="D21" s="760"/>
      <c r="E21" s="760"/>
      <c r="F21" s="34">
        <f>+F20</f>
        <v>5.0000000000000001E-3</v>
      </c>
      <c r="G21" s="31" t="str">
        <f>IF(F21=0,"",VLOOKUP(B21,'LISTADO DE MATERIALES'!$B$6:$D$311,2,FALSE))</f>
        <v>und</v>
      </c>
      <c r="H21" s="107">
        <v>0.05</v>
      </c>
      <c r="I21" s="24">
        <f>IF(F21=0,"",VLOOKUP(B21,'LISTADO DE MATERIALES'!$B$6:$D$311,3,FALSE))</f>
        <v>71305</v>
      </c>
      <c r="J21" s="24">
        <f t="shared" si="2"/>
        <v>374</v>
      </c>
      <c r="L21" s="22"/>
      <c r="M21" s="771" t="s">
        <v>193</v>
      </c>
      <c r="N21" s="771"/>
      <c r="O21" s="771"/>
      <c r="P21" s="771"/>
      <c r="Q21" s="180">
        <f>+Q20</f>
        <v>5.0000000000000001E-3</v>
      </c>
      <c r="R21" s="206" t="s">
        <v>9</v>
      </c>
      <c r="S21" s="209"/>
      <c r="T21" s="212">
        <v>71305</v>
      </c>
      <c r="U21" s="181">
        <f t="shared" si="3"/>
        <v>357</v>
      </c>
    </row>
    <row r="22" spans="1:21"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1"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1"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1" ht="15" customHeight="1" x14ac:dyDescent="0.25">
      <c r="A25" s="22"/>
      <c r="B25" s="761" t="s">
        <v>37</v>
      </c>
      <c r="C25" s="761"/>
      <c r="D25" s="761"/>
      <c r="E25" s="761"/>
      <c r="F25" s="761"/>
      <c r="G25" s="761"/>
      <c r="H25" s="761"/>
      <c r="I25" s="761"/>
      <c r="J25" s="24">
        <f>SUM(J19:J24)</f>
        <v>11420</v>
      </c>
      <c r="L25" s="22"/>
      <c r="M25" s="772" t="s">
        <v>37</v>
      </c>
      <c r="N25" s="772"/>
      <c r="O25" s="772"/>
      <c r="P25" s="772"/>
      <c r="Q25" s="772"/>
      <c r="R25" s="772"/>
      <c r="S25" s="772"/>
      <c r="T25" s="772"/>
      <c r="U25" s="181">
        <f>SUM(U19:U24)</f>
        <v>11366</v>
      </c>
    </row>
    <row r="26" spans="1:21" ht="7.5" customHeight="1" x14ac:dyDescent="0.25">
      <c r="A26" s="22"/>
      <c r="B26" s="25"/>
      <c r="C26" s="25"/>
      <c r="D26" s="25"/>
      <c r="E26" s="25"/>
      <c r="F26" s="25"/>
      <c r="G26" s="25"/>
      <c r="H26" s="25"/>
      <c r="I26" s="25"/>
      <c r="J26" s="26"/>
      <c r="L26" s="22"/>
      <c r="M26" s="25"/>
      <c r="N26" s="25"/>
      <c r="O26" s="25"/>
      <c r="P26" s="25"/>
      <c r="Q26" s="25"/>
      <c r="R26" s="25"/>
      <c r="S26" s="25"/>
      <c r="T26" s="25"/>
      <c r="U26" s="26"/>
    </row>
    <row r="27" spans="1:21"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1" ht="26.4" customHeight="1"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1" ht="15" customHeight="1" x14ac:dyDescent="0.25">
      <c r="A29" s="22"/>
      <c r="B29" s="760"/>
      <c r="C29" s="760"/>
      <c r="D29" s="760"/>
      <c r="E29" s="760"/>
      <c r="F29" s="760"/>
      <c r="G29" s="31"/>
      <c r="H29" s="34"/>
      <c r="I29" s="24"/>
      <c r="J29" s="24">
        <f>ROUND((I29*H29*G29),0)</f>
        <v>0</v>
      </c>
      <c r="L29" s="22"/>
      <c r="M29" s="771"/>
      <c r="N29" s="771"/>
      <c r="O29" s="771"/>
      <c r="P29" s="771"/>
      <c r="Q29" s="771"/>
      <c r="R29" s="206"/>
      <c r="S29" s="180"/>
      <c r="T29" s="181"/>
      <c r="U29" s="181">
        <f>ROUND((T29*S29*R29),0)</f>
        <v>0</v>
      </c>
    </row>
    <row r="30" spans="1:21"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1"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1"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73</v>
      </c>
      <c r="C37" s="760"/>
      <c r="D37" s="760"/>
      <c r="E37" s="760"/>
      <c r="F37" s="760"/>
      <c r="G37" s="24">
        <f>IF(B37="","",VLOOKUP(B37,CUADRILLAS!$B$87:$C$101,2,FALSE))</f>
        <v>628854.93333333335</v>
      </c>
      <c r="H37" s="31">
        <v>1</v>
      </c>
      <c r="I37" s="34">
        <v>600</v>
      </c>
      <c r="J37" s="24">
        <f>ROUND(+IF(I37=0,0,G37*H37/I37),0)</f>
        <v>1048</v>
      </c>
      <c r="L37" s="22"/>
      <c r="M37" s="771" t="s">
        <v>73</v>
      </c>
      <c r="N37" s="771"/>
      <c r="O37" s="771"/>
      <c r="P37" s="771"/>
      <c r="Q37" s="771"/>
      <c r="R37" s="181">
        <v>628854.93333333335</v>
      </c>
      <c r="S37" s="206">
        <v>1</v>
      </c>
      <c r="T37" s="211">
        <v>650</v>
      </c>
      <c r="U37" s="181">
        <f>ROUND(+IF(T37=0,0,R37*S37/T37),0)</f>
        <v>967</v>
      </c>
    </row>
    <row r="38" spans="1:21" ht="15" customHeight="1" x14ac:dyDescent="0.25">
      <c r="A38" s="22"/>
      <c r="B38" s="760"/>
      <c r="C38" s="760"/>
      <c r="D38" s="760"/>
      <c r="E38" s="760"/>
      <c r="F38" s="760"/>
      <c r="G38" s="24" t="str">
        <f>IF(B38="","",VLOOKUP(B38,CUADRILLAS!$B$87:$C$101,2,FALSE))</f>
        <v/>
      </c>
      <c r="H38" s="31"/>
      <c r="I38" s="34"/>
      <c r="J38" s="24">
        <f>ROUND(+IF(I38=0,0,G38*H38/I38),0)</f>
        <v>0</v>
      </c>
      <c r="L38" s="22"/>
      <c r="M38" s="771"/>
      <c r="N38" s="771"/>
      <c r="O38" s="771"/>
      <c r="P38" s="771"/>
      <c r="Q38" s="771"/>
      <c r="R38" s="181" t="s">
        <v>501</v>
      </c>
      <c r="S38" s="206"/>
      <c r="T38" s="180"/>
      <c r="U38" s="181">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1048</v>
      </c>
      <c r="L41" s="22"/>
      <c r="M41" s="772" t="s">
        <v>42</v>
      </c>
      <c r="N41" s="772"/>
      <c r="O41" s="772"/>
      <c r="P41" s="772"/>
      <c r="Q41" s="772"/>
      <c r="R41" s="772"/>
      <c r="S41" s="772"/>
      <c r="T41" s="772"/>
      <c r="U41" s="181">
        <f>SUM(U37:U40)</f>
        <v>967</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12520</v>
      </c>
      <c r="L43" s="27"/>
      <c r="M43" s="773" t="s">
        <v>43</v>
      </c>
      <c r="N43" s="773"/>
      <c r="O43" s="773"/>
      <c r="P43" s="773"/>
      <c r="Q43" s="773"/>
      <c r="R43" s="773"/>
      <c r="S43" s="773"/>
      <c r="T43" s="773"/>
      <c r="U43" s="210">
        <f>+U41+U33+U15+U25</f>
        <v>12381</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25" display="'PPTO HOJA'!A25" xr:uid="{00000000-0004-0000-0A00-000000000000}"/>
    <hyperlink ref="N6" location="'PPTO HOJA'!A15" display="'PPTO HOJA'!A15" xr:uid="{00000000-0004-0000-0A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0A00-000000000000}">
          <x14:formula1>
            <xm:f>CUADRILLAS!$B$86:$B$101</xm:f>
          </x14:formula1>
          <xm:sqref>B37:F40</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tint="0.59999389629810485"/>
  </sheetPr>
  <dimension ref="A1:U44"/>
  <sheetViews>
    <sheetView topLeftCell="A3"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6.33203125" style="20" bestFit="1" customWidth="1"/>
    <col min="11" max="11" width="6.44140625" style="20" customWidth="1"/>
    <col min="12" max="17" width="11.44140625" style="20"/>
    <col min="18" max="18" width="13.44140625" style="20" bestFit="1" customWidth="1"/>
    <col min="19" max="19" width="11.44140625" style="20"/>
    <col min="20" max="20" width="14.6640625" style="20" bestFit="1" customWidth="1"/>
    <col min="21" max="21" width="16.3320312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163</v>
      </c>
      <c r="B6" s="29" t="s">
        <v>22</v>
      </c>
      <c r="C6" s="118">
        <f>+'PPTO HOJA'!A22</f>
        <v>2.06</v>
      </c>
      <c r="D6" s="28"/>
      <c r="E6" s="764" t="str">
        <f>'PPTO HOJA'!B22</f>
        <v>S/I Codo 90° PVC-S Ø4"</v>
      </c>
      <c r="F6" s="764"/>
      <c r="G6" s="764"/>
      <c r="H6" s="764"/>
      <c r="I6" s="30" t="s">
        <v>23</v>
      </c>
      <c r="J6" s="31" t="str">
        <f>'PPTO HOJA'!C22</f>
        <v>und</v>
      </c>
      <c r="L6" s="30" t="str">
        <f>A6</f>
        <v>II</v>
      </c>
      <c r="M6" s="29" t="s">
        <v>22</v>
      </c>
      <c r="N6" s="238">
        <f>C6</f>
        <v>2.06</v>
      </c>
      <c r="O6" s="28"/>
      <c r="P6" s="764" t="str">
        <f>E6</f>
        <v>S/I Codo 90° PVC-S Ø4"</v>
      </c>
      <c r="Q6" s="764"/>
      <c r="R6" s="764"/>
      <c r="S6" s="764"/>
      <c r="T6" s="30" t="s">
        <v>23</v>
      </c>
      <c r="U6" s="31" t="str">
        <f>J6</f>
        <v>und</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63</v>
      </c>
      <c r="L9" s="22"/>
      <c r="M9" s="771" t="s">
        <v>30</v>
      </c>
      <c r="N9" s="771"/>
      <c r="O9" s="771"/>
      <c r="P9" s="771"/>
      <c r="Q9" s="771"/>
      <c r="R9" s="206"/>
      <c r="S9" s="181"/>
      <c r="T9" s="208">
        <v>0.05</v>
      </c>
      <c r="U9" s="181">
        <f>ROUND(T9*U41,0)</f>
        <v>52</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63</v>
      </c>
      <c r="L15" s="22"/>
      <c r="M15" s="772" t="s">
        <v>31</v>
      </c>
      <c r="N15" s="772"/>
      <c r="O15" s="772"/>
      <c r="P15" s="772"/>
      <c r="Q15" s="772"/>
      <c r="R15" s="772"/>
      <c r="S15" s="772"/>
      <c r="T15" s="772"/>
      <c r="U15" s="181">
        <f>SUM(U9:U14)</f>
        <v>52</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1"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1" ht="14.25" customHeight="1" x14ac:dyDescent="0.25">
      <c r="A19" s="22"/>
      <c r="B19" s="764" t="s">
        <v>326</v>
      </c>
      <c r="C19" s="764"/>
      <c r="D19" s="764"/>
      <c r="E19" s="764"/>
      <c r="F19" s="34">
        <v>1</v>
      </c>
      <c r="G19" s="31" t="str">
        <f>IF(F19=0,"",VLOOKUP(B19,'LISTADO DE MATERIALES'!$B$6:$D$311,2,FALSE))</f>
        <v>und</v>
      </c>
      <c r="H19" s="107"/>
      <c r="I19" s="24">
        <f>IF(F19=0,"",VLOOKUP(B19,'LISTADO DE MATERIALES'!$B$6:$D$311,3,FALSE))</f>
        <v>17859</v>
      </c>
      <c r="J19" s="24">
        <f>IF(I19="",0,ROUND((+F19*I19*(1+H19)),0))</f>
        <v>17859</v>
      </c>
      <c r="L19" s="22"/>
      <c r="M19" s="777" t="s">
        <v>326</v>
      </c>
      <c r="N19" s="777"/>
      <c r="O19" s="777"/>
      <c r="P19" s="777"/>
      <c r="Q19" s="180">
        <v>1</v>
      </c>
      <c r="R19" s="206" t="s">
        <v>9</v>
      </c>
      <c r="S19" s="209"/>
      <c r="T19" s="181">
        <f>+I19</f>
        <v>17859</v>
      </c>
      <c r="U19" s="181">
        <f>IF(T19="",0,ROUND((+Q19*T19*(1+S19)),0))</f>
        <v>17859</v>
      </c>
    </row>
    <row r="20" spans="1:21" ht="15" customHeight="1" x14ac:dyDescent="0.25">
      <c r="A20" s="22"/>
      <c r="B20" s="760" t="s">
        <v>192</v>
      </c>
      <c r="C20" s="760"/>
      <c r="D20" s="760"/>
      <c r="E20" s="760"/>
      <c r="F20" s="34">
        <v>7.0000000000000001E-3</v>
      </c>
      <c r="G20" s="31" t="str">
        <f>IF(F20=0,"",VLOOKUP(B20,'LISTADO DE MATERIALES'!$B$6:$D$311,2,FALSE))</f>
        <v>und</v>
      </c>
      <c r="H20" s="107">
        <v>0.05</v>
      </c>
      <c r="I20" s="24">
        <f>IF(F20=0,"",VLOOKUP(B20,'LISTADO DE MATERIALES'!$B$6:$D$311,3,FALSE))</f>
        <v>147850</v>
      </c>
      <c r="J20" s="24">
        <f t="shared" ref="J20:J24" si="2">IF(I20="",0,ROUND((+F20*I20*(1+H20)),0))</f>
        <v>1087</v>
      </c>
      <c r="L20" s="22"/>
      <c r="M20" s="771" t="s">
        <v>192</v>
      </c>
      <c r="N20" s="771"/>
      <c r="O20" s="771"/>
      <c r="P20" s="771"/>
      <c r="Q20" s="180">
        <v>7.0000000000000001E-3</v>
      </c>
      <c r="R20" s="206" t="s">
        <v>9</v>
      </c>
      <c r="S20" s="209"/>
      <c r="T20" s="212">
        <v>147850</v>
      </c>
      <c r="U20" s="181">
        <f t="shared" ref="U20:U24" si="3">IF(T20="",0,ROUND((+Q20*T20*(1+S20)),0))</f>
        <v>1035</v>
      </c>
    </row>
    <row r="21" spans="1:21" ht="15" customHeight="1" x14ac:dyDescent="0.25">
      <c r="A21" s="22"/>
      <c r="B21" s="760" t="s">
        <v>193</v>
      </c>
      <c r="C21" s="760"/>
      <c r="D21" s="760"/>
      <c r="E21" s="760"/>
      <c r="F21" s="34">
        <f>+F20</f>
        <v>7.0000000000000001E-3</v>
      </c>
      <c r="G21" s="31" t="str">
        <f>IF(F21=0,"",VLOOKUP(B21,'LISTADO DE MATERIALES'!$B$6:$D$311,2,FALSE))</f>
        <v>und</v>
      </c>
      <c r="H21" s="107">
        <v>0.05</v>
      </c>
      <c r="I21" s="24">
        <f>IF(F21=0,"",VLOOKUP(B21,'LISTADO DE MATERIALES'!$B$6:$D$311,3,FALSE))</f>
        <v>71305</v>
      </c>
      <c r="J21" s="24">
        <f t="shared" si="2"/>
        <v>524</v>
      </c>
      <c r="L21" s="22"/>
      <c r="M21" s="771" t="s">
        <v>193</v>
      </c>
      <c r="N21" s="771"/>
      <c r="O21" s="771"/>
      <c r="P21" s="771"/>
      <c r="Q21" s="180">
        <f>+Q20</f>
        <v>7.0000000000000001E-3</v>
      </c>
      <c r="R21" s="206" t="s">
        <v>9</v>
      </c>
      <c r="S21" s="209"/>
      <c r="T21" s="212">
        <v>71305</v>
      </c>
      <c r="U21" s="181">
        <f t="shared" si="3"/>
        <v>499</v>
      </c>
    </row>
    <row r="22" spans="1:21"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1"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1"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1" ht="15" customHeight="1" x14ac:dyDescent="0.25">
      <c r="A25" s="22"/>
      <c r="B25" s="761" t="s">
        <v>37</v>
      </c>
      <c r="C25" s="761"/>
      <c r="D25" s="761"/>
      <c r="E25" s="761"/>
      <c r="F25" s="761"/>
      <c r="G25" s="761"/>
      <c r="H25" s="761"/>
      <c r="I25" s="761"/>
      <c r="J25" s="24">
        <f>SUM(J19:J24)</f>
        <v>19470</v>
      </c>
      <c r="L25" s="22"/>
      <c r="M25" s="772" t="s">
        <v>37</v>
      </c>
      <c r="N25" s="772"/>
      <c r="O25" s="772"/>
      <c r="P25" s="772"/>
      <c r="Q25" s="772"/>
      <c r="R25" s="772"/>
      <c r="S25" s="772"/>
      <c r="T25" s="772"/>
      <c r="U25" s="181">
        <f>SUM(U19:U24)</f>
        <v>19393</v>
      </c>
    </row>
    <row r="26" spans="1:21" ht="7.5" customHeight="1" x14ac:dyDescent="0.25">
      <c r="A26" s="22"/>
      <c r="B26" s="25"/>
      <c r="C26" s="25"/>
      <c r="D26" s="25"/>
      <c r="E26" s="25"/>
      <c r="F26" s="25"/>
      <c r="G26" s="25"/>
      <c r="H26" s="25"/>
      <c r="I26" s="25"/>
      <c r="J26" s="26"/>
      <c r="L26" s="22"/>
      <c r="M26" s="25"/>
      <c r="N26" s="25"/>
      <c r="O26" s="25"/>
      <c r="P26" s="25"/>
      <c r="Q26" s="25"/>
      <c r="R26" s="25"/>
      <c r="S26" s="25"/>
      <c r="T26" s="25"/>
      <c r="U26" s="26"/>
    </row>
    <row r="27" spans="1:21"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1"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1" ht="15" customHeight="1" x14ac:dyDescent="0.25">
      <c r="A29" s="22"/>
      <c r="B29" s="760"/>
      <c r="C29" s="760"/>
      <c r="D29" s="760"/>
      <c r="E29" s="760"/>
      <c r="F29" s="760"/>
      <c r="G29" s="31"/>
      <c r="H29" s="34"/>
      <c r="I29" s="24"/>
      <c r="J29" s="24">
        <f>ROUND((I29*H29*G29),0)</f>
        <v>0</v>
      </c>
      <c r="L29" s="22"/>
      <c r="M29" s="771"/>
      <c r="N29" s="771"/>
      <c r="O29" s="771"/>
      <c r="P29" s="771"/>
      <c r="Q29" s="771"/>
      <c r="R29" s="206"/>
      <c r="S29" s="180"/>
      <c r="T29" s="181"/>
      <c r="U29" s="181">
        <f>ROUND((T29*S29*R29),0)</f>
        <v>0</v>
      </c>
    </row>
    <row r="30" spans="1:21"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1"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1"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73</v>
      </c>
      <c r="C37" s="760"/>
      <c r="D37" s="760"/>
      <c r="E37" s="760"/>
      <c r="F37" s="760"/>
      <c r="G37" s="24">
        <f>IF(B37="","",VLOOKUP(B37,CUADRILLAS!$B$87:$C$101,2,FALSE))</f>
        <v>628854.93333333335</v>
      </c>
      <c r="H37" s="31">
        <v>1</v>
      </c>
      <c r="I37" s="34">
        <v>500</v>
      </c>
      <c r="J37" s="24">
        <f>ROUND(+IF(I37=0,0,G37*H37/I37),0)</f>
        <v>1258</v>
      </c>
      <c r="L37" s="22"/>
      <c r="M37" s="771" t="s">
        <v>73</v>
      </c>
      <c r="N37" s="771"/>
      <c r="O37" s="771"/>
      <c r="P37" s="771"/>
      <c r="Q37" s="771"/>
      <c r="R37" s="181">
        <v>628854.93333333335</v>
      </c>
      <c r="S37" s="206">
        <v>1</v>
      </c>
      <c r="T37" s="211">
        <v>600</v>
      </c>
      <c r="U37" s="181">
        <f>ROUND(+IF(T37=0,0,R37*S37/T37),0)</f>
        <v>1048</v>
      </c>
    </row>
    <row r="38" spans="1:21" ht="15" customHeight="1" x14ac:dyDescent="0.25">
      <c r="A38" s="22"/>
      <c r="B38" s="760"/>
      <c r="C38" s="760"/>
      <c r="D38" s="760"/>
      <c r="E38" s="760"/>
      <c r="F38" s="760"/>
      <c r="G38" s="24" t="str">
        <f>IF(B38="","",VLOOKUP(B38,CUADRILLAS!$B$87:$C$101,2,FALSE))</f>
        <v/>
      </c>
      <c r="H38" s="31"/>
      <c r="I38" s="34"/>
      <c r="J38" s="24">
        <f>ROUND(+IF(I38=0,0,G38*H38/I38),0)</f>
        <v>0</v>
      </c>
      <c r="L38" s="22"/>
      <c r="M38" s="771"/>
      <c r="N38" s="771"/>
      <c r="O38" s="771"/>
      <c r="P38" s="771"/>
      <c r="Q38" s="771"/>
      <c r="R38" s="181" t="s">
        <v>501</v>
      </c>
      <c r="S38" s="206"/>
      <c r="T38" s="180"/>
      <c r="U38" s="181">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1258</v>
      </c>
      <c r="L41" s="22"/>
      <c r="M41" s="772" t="s">
        <v>42</v>
      </c>
      <c r="N41" s="772"/>
      <c r="O41" s="772"/>
      <c r="P41" s="772"/>
      <c r="Q41" s="772"/>
      <c r="R41" s="772"/>
      <c r="S41" s="772"/>
      <c r="T41" s="772"/>
      <c r="U41" s="181">
        <f>SUM(U37:U40)</f>
        <v>1048</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20791</v>
      </c>
      <c r="L43" s="27"/>
      <c r="M43" s="773" t="s">
        <v>43</v>
      </c>
      <c r="N43" s="773"/>
      <c r="O43" s="773"/>
      <c r="P43" s="773"/>
      <c r="Q43" s="773"/>
      <c r="R43" s="773"/>
      <c r="S43" s="773"/>
      <c r="T43" s="773"/>
      <c r="U43" s="210">
        <f>+U41+U33+U15+U25</f>
        <v>20493</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25" display="'PPTO HOJA'!A25" xr:uid="{00000000-0004-0000-0B00-000000000000}"/>
    <hyperlink ref="N6" location="'PPTO HOJA'!A15" display="'PPTO HOJA'!A15" xr:uid="{00000000-0004-0000-0B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0B00-000000000000}">
          <x14:formula1>
            <xm:f>CUADRILLAS!$B$86:$B$101</xm:f>
          </x14:formula1>
          <xm:sqref>B37:F40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4">
    <tabColor theme="9" tint="0.59999389629810485"/>
  </sheetPr>
  <dimension ref="A1:V49"/>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9.6640625" style="20" customWidth="1"/>
    <col min="5" max="5" width="15" style="20" customWidth="1"/>
    <col min="6" max="6" width="10.5546875" style="20" customWidth="1"/>
    <col min="7" max="7" width="15.88671875" style="20" customWidth="1"/>
    <col min="8" max="8" width="14.33203125" style="20" customWidth="1"/>
    <col min="9" max="9" width="14.6640625" style="20" bestFit="1" customWidth="1"/>
    <col min="10" max="10" width="18.6640625" style="20" bestFit="1" customWidth="1"/>
    <col min="11" max="11" width="5.5546875" style="20" customWidth="1"/>
    <col min="12" max="13" width="11.44140625" style="20"/>
    <col min="14" max="14" width="11.5546875" style="20" bestFit="1" customWidth="1"/>
    <col min="15" max="16" width="11.44140625" style="20"/>
    <col min="17" max="17" width="11.5546875" style="20" bestFit="1" customWidth="1"/>
    <col min="18" max="19" width="12.6640625" style="20" bestFit="1" customWidth="1"/>
    <col min="20" max="20" width="14" style="20" bestFit="1" customWidth="1"/>
    <col min="21" max="21" width="17.5546875" style="20" bestFit="1" customWidth="1"/>
    <col min="22" max="22" width="13.6640625" style="20" bestFit="1" customWidth="1"/>
    <col min="23"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73.2"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40.5" customHeight="1" x14ac:dyDescent="0.3">
      <c r="A6" s="30" t="s">
        <v>163</v>
      </c>
      <c r="B6" s="29" t="s">
        <v>22</v>
      </c>
      <c r="C6" s="116">
        <f>+'PPTO HOJA'!A23</f>
        <v>2.0699999999999998</v>
      </c>
      <c r="D6" s="28"/>
      <c r="E6" s="764" t="str">
        <f>+'PPTO HOJA'!B23</f>
        <v>Caja de registro en concreto reforzado de resistencia 28 Mpa de seción hidráulica interna de 0.30m x 0.30m x 0.80m, incluye tapa, refuerzo, mortero impermeabilizante, excavacion y relleno</v>
      </c>
      <c r="F6" s="764"/>
      <c r="G6" s="764"/>
      <c r="H6" s="764"/>
      <c r="I6" s="30" t="s">
        <v>23</v>
      </c>
      <c r="J6" s="31" t="str">
        <f>'PPTO HOJA'!C23</f>
        <v>und</v>
      </c>
      <c r="L6" s="30" t="str">
        <f>A6</f>
        <v>II</v>
      </c>
      <c r="M6" s="29" t="s">
        <v>22</v>
      </c>
      <c r="N6" s="238">
        <f>C6</f>
        <v>2.0699999999999998</v>
      </c>
      <c r="O6" s="28"/>
      <c r="P6" s="764" t="str">
        <f>E6</f>
        <v>Caja de registro en concreto reforzado de resistencia 28 Mpa de seción hidráulica interna de 0.30m x 0.30m x 0.80m, incluye tapa, refuerzo, mortero impermeabilizante, excavacion y relleno</v>
      </c>
      <c r="Q6" s="764"/>
      <c r="R6" s="764"/>
      <c r="S6" s="764"/>
      <c r="T6" s="30" t="s">
        <v>23</v>
      </c>
      <c r="U6" s="31" t="str">
        <f>J6</f>
        <v>und</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ROUND(I9*J43,0)</f>
        <v>9826</v>
      </c>
      <c r="L9" s="22"/>
      <c r="M9" s="771" t="s">
        <v>30</v>
      </c>
      <c r="N9" s="771"/>
      <c r="O9" s="771"/>
      <c r="P9" s="771"/>
      <c r="Q9" s="771"/>
      <c r="R9" s="206"/>
      <c r="S9" s="181"/>
      <c r="T9" s="208">
        <v>0.05</v>
      </c>
      <c r="U9" s="181">
        <f>ROUND(T9*U43,0)</f>
        <v>10481</v>
      </c>
    </row>
    <row r="10" spans="1:21" ht="15" customHeight="1" x14ac:dyDescent="0.25">
      <c r="A10" s="22"/>
      <c r="B10" s="760" t="s">
        <v>136</v>
      </c>
      <c r="C10" s="760"/>
      <c r="D10" s="760"/>
      <c r="E10" s="760"/>
      <c r="F10" s="760"/>
      <c r="G10" s="31" t="str">
        <f>IF(B10="","",VLOOKUP(B10,EQUIPOS!$B$7:$F$46,3,FALSE))</f>
        <v>Gasolina</v>
      </c>
      <c r="H10" s="24">
        <f>IF(B10="","",VLOOKUP(B10,EQUIPOS!$B$7:$F$46,5,FALSE))</f>
        <v>85000</v>
      </c>
      <c r="I10" s="34">
        <f>+I39</f>
        <v>2</v>
      </c>
      <c r="J10" s="24">
        <f t="shared" ref="J10" si="0">IF(B10="",0,ROUND(H10/I10,0))</f>
        <v>42500</v>
      </c>
      <c r="L10" s="22"/>
      <c r="M10" s="782" t="s">
        <v>260</v>
      </c>
      <c r="N10" s="783"/>
      <c r="O10" s="783"/>
      <c r="P10" s="783"/>
      <c r="Q10" s="784"/>
      <c r="R10" s="214" t="s">
        <v>108</v>
      </c>
      <c r="S10" s="212">
        <v>116000</v>
      </c>
      <c r="T10" s="211">
        <f>+T39</f>
        <v>1.5</v>
      </c>
      <c r="U10" s="212">
        <f t="shared" ref="U10:U13" si="1">IF(M10="",0,ROUND(S10/T10,0))</f>
        <v>77333</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2">IF(B11="",0,ROUND(H11/I11,0))</f>
        <v>0</v>
      </c>
      <c r="L11" s="22"/>
      <c r="M11" s="771" t="s">
        <v>136</v>
      </c>
      <c r="N11" s="771"/>
      <c r="O11" s="771"/>
      <c r="P11" s="771"/>
      <c r="Q11" s="771"/>
      <c r="R11" s="206" t="s">
        <v>137</v>
      </c>
      <c r="S11" s="181">
        <v>85000</v>
      </c>
      <c r="T11" s="180">
        <f>+T10</f>
        <v>1.5</v>
      </c>
      <c r="U11" s="181">
        <f t="shared" si="1"/>
        <v>56667</v>
      </c>
    </row>
    <row r="12" spans="1:21" ht="15" customHeight="1" x14ac:dyDescent="0.25">
      <c r="A12" s="22"/>
      <c r="B12" s="760"/>
      <c r="C12" s="760"/>
      <c r="D12" s="760"/>
      <c r="E12" s="760"/>
      <c r="F12" s="760"/>
      <c r="G12" s="31" t="str">
        <f>IF(B12="","",VLOOKUP(B12,EQUIPOS!$B$7:$F$46,3,FALSE))</f>
        <v/>
      </c>
      <c r="H12" s="24" t="str">
        <f>IF(B12="","",VLOOKUP(B12,EQUIPOS!$B$7:$F$46,5,FALSE))</f>
        <v/>
      </c>
      <c r="I12" s="34"/>
      <c r="J12" s="24">
        <f t="shared" ref="J12" si="3">IF(B12="",0,ROUND(H12/I12,0))</f>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2"/>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52326</v>
      </c>
      <c r="L15" s="22"/>
      <c r="M15" s="772" t="s">
        <v>31</v>
      </c>
      <c r="N15" s="772"/>
      <c r="O15" s="772"/>
      <c r="P15" s="772"/>
      <c r="Q15" s="772"/>
      <c r="R15" s="772"/>
      <c r="S15" s="772"/>
      <c r="T15" s="772"/>
      <c r="U15" s="181">
        <f>SUM(U9:U14)</f>
        <v>144481</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2"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2"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2" ht="14.25" customHeight="1" x14ac:dyDescent="0.25">
      <c r="A19" s="22"/>
      <c r="B19" s="764" t="str">
        <f>+'PPTO HOJA'!B12</f>
        <v>Excavación manual en material común bajo cualquier grado de humedad</v>
      </c>
      <c r="C19" s="764"/>
      <c r="D19" s="764"/>
      <c r="E19" s="764"/>
      <c r="F19" s="34">
        <f>1*1*(0.8+0.15)</f>
        <v>0.95000000000000007</v>
      </c>
      <c r="G19" s="31" t="s">
        <v>261</v>
      </c>
      <c r="H19" s="107"/>
      <c r="I19" s="24">
        <f>+'PPTO HOJA'!E12</f>
        <v>41268</v>
      </c>
      <c r="J19" s="24">
        <f>IF(I19="",0,ROUND((+F19*I19*(1+H19)),0))</f>
        <v>39205</v>
      </c>
      <c r="L19" s="22"/>
      <c r="M19" s="777" t="s">
        <v>166</v>
      </c>
      <c r="N19" s="777"/>
      <c r="O19" s="777"/>
      <c r="P19" s="777"/>
      <c r="Q19" s="211">
        <f>0.4*0.4*0.9</f>
        <v>0.14400000000000004</v>
      </c>
      <c r="R19" s="206" t="s">
        <v>261</v>
      </c>
      <c r="S19" s="209"/>
      <c r="T19" s="181">
        <v>38212</v>
      </c>
      <c r="U19" s="181">
        <f>IF(T19="",0,ROUND((+Q19*T19*(1+S19)),0))</f>
        <v>5503</v>
      </c>
      <c r="V19" s="239" t="s">
        <v>448</v>
      </c>
    </row>
    <row r="20" spans="1:22" ht="15" customHeight="1" x14ac:dyDescent="0.25">
      <c r="A20" s="22"/>
      <c r="B20" s="760" t="s">
        <v>266</v>
      </c>
      <c r="C20" s="760"/>
      <c r="D20" s="760"/>
      <c r="E20" s="760"/>
      <c r="F20" s="34">
        <f>(0.5*0.5*0.1)+(0.5*0.85*0.1*2)+(0.3*0.85*0.1*2)+(0.3*0.3*0.06)</f>
        <v>0.16640000000000002</v>
      </c>
      <c r="G20" s="31" t="s">
        <v>261</v>
      </c>
      <c r="H20" s="107">
        <v>0.1</v>
      </c>
      <c r="I20" s="24">
        <f>+'APU BÁSICOS'!J91</f>
        <v>1003196</v>
      </c>
      <c r="J20" s="24">
        <f t="shared" ref="J20:J26" si="4">IF(I20="",0,ROUND((+F20*I20*(1+H20)),0))</f>
        <v>183625</v>
      </c>
      <c r="L20" s="22"/>
      <c r="M20" s="771" t="s">
        <v>266</v>
      </c>
      <c r="N20" s="771"/>
      <c r="O20" s="771"/>
      <c r="P20" s="771"/>
      <c r="Q20" s="275">
        <f>(0.5*0.5*0.1)+(0.5*0.85*0.1*2)+(0.3*0.85*0.1*2)+(0.3*0.3*0.06)</f>
        <v>0.16640000000000002</v>
      </c>
      <c r="R20" s="206" t="s">
        <v>261</v>
      </c>
      <c r="S20" s="209">
        <v>0.05</v>
      </c>
      <c r="T20" s="212">
        <f>'APU BÁSICOS'!J91</f>
        <v>1003196</v>
      </c>
      <c r="U20" s="181">
        <f t="shared" ref="U20:U26" si="5">IF(T20="",0,ROUND((+Q20*T20*(1+S20)),0))</f>
        <v>175278</v>
      </c>
      <c r="V20" s="239" t="s">
        <v>448</v>
      </c>
    </row>
    <row r="21" spans="1:22" ht="15" customHeight="1" x14ac:dyDescent="0.25">
      <c r="A21" s="22"/>
      <c r="B21" s="760" t="s">
        <v>250</v>
      </c>
      <c r="C21" s="760"/>
      <c r="D21" s="760"/>
      <c r="E21" s="760"/>
      <c r="F21" s="34">
        <f>(((2+(0.1*2))*6)+((1.6+(0.1*2))*6))*0.56</f>
        <v>13.440000000000001</v>
      </c>
      <c r="G21" s="31" t="s">
        <v>49</v>
      </c>
      <c r="H21" s="107">
        <v>0.05</v>
      </c>
      <c r="I21" s="24">
        <f>IF(F21=0,"",VLOOKUP(B21,'LISTADO DE MATERIALES'!$B$6:$D$311,3,FALSE))</f>
        <v>6225</v>
      </c>
      <c r="J21" s="24">
        <f t="shared" si="4"/>
        <v>87847</v>
      </c>
      <c r="L21" s="22"/>
      <c r="M21" s="771" t="s">
        <v>250</v>
      </c>
      <c r="N21" s="771"/>
      <c r="O21" s="771"/>
      <c r="P21" s="771"/>
      <c r="Q21" s="211">
        <f>(((0.8+0.8+0.4)*6)+((0.4+0.4+0.4+0.4+0.1+0.1)*5))*0.56</f>
        <v>11.760000000000002</v>
      </c>
      <c r="R21" s="206" t="s">
        <v>49</v>
      </c>
      <c r="S21" s="209">
        <v>0.05</v>
      </c>
      <c r="T21" s="181">
        <v>6225</v>
      </c>
      <c r="U21" s="181">
        <f t="shared" si="5"/>
        <v>76866</v>
      </c>
      <c r="V21" s="239" t="s">
        <v>448</v>
      </c>
    </row>
    <row r="22" spans="1:22" ht="15" customHeight="1" x14ac:dyDescent="0.25">
      <c r="A22" s="22"/>
      <c r="B22" s="760" t="s">
        <v>251</v>
      </c>
      <c r="C22" s="760"/>
      <c r="D22" s="760"/>
      <c r="E22" s="760"/>
      <c r="F22" s="34">
        <f>+F21*5%</f>
        <v>0.67200000000000015</v>
      </c>
      <c r="G22" s="31" t="s">
        <v>49</v>
      </c>
      <c r="H22" s="107">
        <v>0.1</v>
      </c>
      <c r="I22" s="24">
        <f>IF(F22=0,"",VLOOKUP(B22,'LISTADO DE MATERIALES'!$B$6:$D$311,3,FALSE))</f>
        <v>12450</v>
      </c>
      <c r="J22" s="24">
        <f t="shared" ref="J22" si="6">IF(I22="",0,ROUND((+F22*I22*(1+H22)),0))</f>
        <v>9203</v>
      </c>
      <c r="L22" s="22"/>
      <c r="M22" s="771" t="s">
        <v>251</v>
      </c>
      <c r="N22" s="771"/>
      <c r="O22" s="771"/>
      <c r="P22" s="771"/>
      <c r="Q22" s="180">
        <f>+Q21*5%</f>
        <v>0.58800000000000008</v>
      </c>
      <c r="R22" s="206" t="s">
        <v>49</v>
      </c>
      <c r="S22" s="209"/>
      <c r="T22" s="181">
        <v>12450</v>
      </c>
      <c r="U22" s="181">
        <f t="shared" si="5"/>
        <v>7321</v>
      </c>
      <c r="V22" s="239" t="s">
        <v>448</v>
      </c>
    </row>
    <row r="23" spans="1:22" ht="15" customHeight="1" x14ac:dyDescent="0.25">
      <c r="A23" s="22"/>
      <c r="B23" s="760" t="s">
        <v>263</v>
      </c>
      <c r="C23" s="760"/>
      <c r="D23" s="760"/>
      <c r="E23" s="760"/>
      <c r="F23" s="34">
        <f>(0.3*0.3*0.02)+((0.8*0.3*0.02)*4)+(0.5*0.5*0.02)</f>
        <v>2.5999999999999999E-2</v>
      </c>
      <c r="G23" s="31" t="str">
        <f>+'APU BÁSICOS'!J232</f>
        <v>m3</v>
      </c>
      <c r="H23" s="107">
        <v>0.1</v>
      </c>
      <c r="I23" s="24">
        <f>+'APU BÁSICOS'!J269</f>
        <v>718979</v>
      </c>
      <c r="J23" s="24">
        <f t="shared" si="4"/>
        <v>20563</v>
      </c>
      <c r="L23" s="22"/>
      <c r="M23" s="771"/>
      <c r="N23" s="771"/>
      <c r="O23" s="771"/>
      <c r="P23" s="771"/>
      <c r="Q23" s="180"/>
      <c r="R23" s="206"/>
      <c r="S23" s="213"/>
      <c r="T23" s="181"/>
      <c r="U23" s="181"/>
      <c r="V23" s="239" t="s">
        <v>449</v>
      </c>
    </row>
    <row r="24" spans="1:22" ht="15" customHeight="1" x14ac:dyDescent="0.25">
      <c r="A24" s="22"/>
      <c r="B24" s="760" t="s">
        <v>267</v>
      </c>
      <c r="C24" s="760"/>
      <c r="D24" s="760"/>
      <c r="E24" s="760"/>
      <c r="F24" s="34">
        <v>2.5</v>
      </c>
      <c r="G24" s="31" t="str">
        <f>IF(F24=0,"",VLOOKUP(B24,'LISTADO DE MATERIALES'!$B$6:$D$311,2,FALSE))</f>
        <v>Kg</v>
      </c>
      <c r="H24" s="107">
        <v>0.05</v>
      </c>
      <c r="I24" s="24">
        <f>IF(F24=0,"",VLOOKUP(B24,'LISTADO DE MATERIALES'!$B$6:$D$311,3,FALSE))</f>
        <v>26061</v>
      </c>
      <c r="J24" s="24">
        <f t="shared" si="4"/>
        <v>68410</v>
      </c>
      <c r="K24" s="163"/>
      <c r="L24" s="22"/>
      <c r="M24" s="771" t="s">
        <v>267</v>
      </c>
      <c r="N24" s="771"/>
      <c r="O24" s="771"/>
      <c r="P24" s="771"/>
      <c r="Q24" s="211">
        <v>2.36</v>
      </c>
      <c r="R24" s="206" t="s">
        <v>49</v>
      </c>
      <c r="S24" s="272"/>
      <c r="T24" s="181">
        <v>6876</v>
      </c>
      <c r="U24" s="181">
        <f t="shared" si="5"/>
        <v>16227</v>
      </c>
      <c r="V24" s="239" t="s">
        <v>448</v>
      </c>
    </row>
    <row r="25" spans="1:22" ht="15" customHeight="1" x14ac:dyDescent="0.25">
      <c r="A25" s="22"/>
      <c r="B25" s="779" t="s">
        <v>335</v>
      </c>
      <c r="C25" s="780"/>
      <c r="D25" s="780"/>
      <c r="E25" s="781"/>
      <c r="F25" s="34">
        <v>1</v>
      </c>
      <c r="G25" s="31" t="str">
        <f>IF(F25=0,"",VLOOKUP(B25,'LISTADO DE MATERIALES'!$B$6:$D$311,2,FALSE))</f>
        <v>und</v>
      </c>
      <c r="H25" s="31"/>
      <c r="I25" s="24">
        <f>IF(F25=0,"",VLOOKUP(B25,'LISTADO DE MATERIALES'!$B$6:$D$311,3,FALSE))</f>
        <v>180000</v>
      </c>
      <c r="J25" s="24">
        <f t="shared" si="4"/>
        <v>180000</v>
      </c>
      <c r="L25" s="22"/>
      <c r="M25" s="785" t="s">
        <v>335</v>
      </c>
      <c r="N25" s="786"/>
      <c r="O25" s="786"/>
      <c r="P25" s="787"/>
      <c r="Q25" s="180">
        <v>1</v>
      </c>
      <c r="R25" s="206" t="s">
        <v>9</v>
      </c>
      <c r="S25" s="206"/>
      <c r="T25" s="181">
        <f>+I25</f>
        <v>180000</v>
      </c>
      <c r="U25" s="181">
        <f t="shared" si="5"/>
        <v>180000</v>
      </c>
      <c r="V25" s="239" t="s">
        <v>448</v>
      </c>
    </row>
    <row r="26" spans="1:22" ht="15" customHeight="1" x14ac:dyDescent="0.25">
      <c r="A26" s="22"/>
      <c r="B26" s="760" t="s">
        <v>269</v>
      </c>
      <c r="C26" s="760"/>
      <c r="D26" s="760"/>
      <c r="E26" s="760"/>
      <c r="F26" s="34">
        <v>2.1</v>
      </c>
      <c r="G26" s="31" t="str">
        <f>IF(F26=0,"",VLOOKUP(B26,'LISTADO DE MATERIALES'!$B$6:$D$311,2,FALSE))</f>
        <v>m2</v>
      </c>
      <c r="H26" s="107">
        <v>0.05</v>
      </c>
      <c r="I26" s="24">
        <f>IF(F26=0,"",VLOOKUP(B26,'LISTADO DE MATERIALES'!$B$6:$D$311,3,FALSE))</f>
        <v>39550</v>
      </c>
      <c r="J26" s="24">
        <f t="shared" si="4"/>
        <v>87208</v>
      </c>
      <c r="L26" s="22"/>
      <c r="M26" s="771" t="s">
        <v>269</v>
      </c>
      <c r="N26" s="771"/>
      <c r="O26" s="771"/>
      <c r="P26" s="771"/>
      <c r="Q26" s="211">
        <v>2.1</v>
      </c>
      <c r="R26" s="206" t="s">
        <v>436</v>
      </c>
      <c r="S26" s="272"/>
      <c r="T26" s="181">
        <v>39550</v>
      </c>
      <c r="U26" s="181">
        <f t="shared" si="5"/>
        <v>83055</v>
      </c>
      <c r="V26" s="239" t="s">
        <v>448</v>
      </c>
    </row>
    <row r="27" spans="1:22" ht="15" customHeight="1" x14ac:dyDescent="0.25">
      <c r="A27" s="22"/>
      <c r="B27" s="761" t="s">
        <v>37</v>
      </c>
      <c r="C27" s="761"/>
      <c r="D27" s="761"/>
      <c r="E27" s="761"/>
      <c r="F27" s="761"/>
      <c r="G27" s="761"/>
      <c r="H27" s="761"/>
      <c r="I27" s="761"/>
      <c r="J27" s="24">
        <f>SUM(J19:J26)</f>
        <v>676061</v>
      </c>
      <c r="L27" s="22"/>
      <c r="M27" s="772" t="s">
        <v>37</v>
      </c>
      <c r="N27" s="772"/>
      <c r="O27" s="772"/>
      <c r="P27" s="772"/>
      <c r="Q27" s="772"/>
      <c r="R27" s="772"/>
      <c r="S27" s="772"/>
      <c r="T27" s="772"/>
      <c r="U27" s="181">
        <f>SUM(U19:U26)</f>
        <v>544250</v>
      </c>
      <c r="V27" s="239"/>
    </row>
    <row r="28" spans="1:22" ht="7.5" customHeight="1" x14ac:dyDescent="0.25">
      <c r="A28" s="22"/>
      <c r="B28" s="25"/>
      <c r="C28" s="25"/>
      <c r="D28" s="25"/>
      <c r="E28" s="25"/>
      <c r="F28" s="25"/>
      <c r="G28" s="25"/>
      <c r="H28" s="25"/>
      <c r="I28" s="25"/>
      <c r="J28" s="26"/>
      <c r="L28" s="22"/>
      <c r="M28" s="25"/>
      <c r="N28" s="25"/>
      <c r="O28" s="25"/>
      <c r="P28" s="25"/>
      <c r="Q28" s="25"/>
      <c r="R28" s="25"/>
      <c r="S28" s="25"/>
      <c r="T28" s="25"/>
      <c r="U28" s="26"/>
    </row>
    <row r="29" spans="1:22" ht="15" customHeight="1" x14ac:dyDescent="0.25">
      <c r="A29" s="22"/>
      <c r="B29" s="761" t="s">
        <v>38</v>
      </c>
      <c r="C29" s="761"/>
      <c r="D29" s="761"/>
      <c r="E29" s="761"/>
      <c r="F29" s="761"/>
      <c r="G29" s="761"/>
      <c r="H29" s="761"/>
      <c r="I29" s="761"/>
      <c r="J29" s="761"/>
      <c r="L29" s="22"/>
      <c r="M29" s="772" t="s">
        <v>38</v>
      </c>
      <c r="N29" s="772"/>
      <c r="O29" s="772"/>
      <c r="P29" s="772"/>
      <c r="Q29" s="772"/>
      <c r="R29" s="772"/>
      <c r="S29" s="772"/>
      <c r="T29" s="772"/>
      <c r="U29" s="772"/>
    </row>
    <row r="30" spans="1:22" x14ac:dyDescent="0.25">
      <c r="A30" s="22"/>
      <c r="B30" s="763" t="s">
        <v>33</v>
      </c>
      <c r="C30" s="763"/>
      <c r="D30" s="763"/>
      <c r="E30" s="763"/>
      <c r="F30" s="763"/>
      <c r="G30" s="31" t="s">
        <v>133</v>
      </c>
      <c r="H30" s="31" t="s">
        <v>132</v>
      </c>
      <c r="I30" s="31" t="s">
        <v>39</v>
      </c>
      <c r="J30" s="32" t="s">
        <v>29</v>
      </c>
      <c r="L30" s="22"/>
      <c r="M30" s="774" t="s">
        <v>33</v>
      </c>
      <c r="N30" s="774"/>
      <c r="O30" s="774"/>
      <c r="P30" s="774"/>
      <c r="Q30" s="774"/>
      <c r="R30" s="206" t="s">
        <v>133</v>
      </c>
      <c r="S30" s="206" t="s">
        <v>132</v>
      </c>
      <c r="T30" s="206" t="s">
        <v>39</v>
      </c>
      <c r="U30" s="207" t="s">
        <v>29</v>
      </c>
    </row>
    <row r="31" spans="1:22" ht="15" customHeight="1" x14ac:dyDescent="0.25">
      <c r="A31" s="22"/>
      <c r="B31" s="760" t="s">
        <v>334</v>
      </c>
      <c r="C31" s="760"/>
      <c r="D31" s="760"/>
      <c r="E31" s="760"/>
      <c r="F31" s="760"/>
      <c r="G31" s="34">
        <f>+F19*1.3</f>
        <v>1.2350000000000001</v>
      </c>
      <c r="H31" s="34">
        <f>+TRANSPORTE!B7</f>
        <v>10.5</v>
      </c>
      <c r="I31" s="319">
        <f>+TRANSPORTE!C7</f>
        <v>1667</v>
      </c>
      <c r="J31" s="24">
        <f>ROUND((I31*H31*G31),0)</f>
        <v>21617</v>
      </c>
      <c r="L31" s="22"/>
      <c r="M31" s="771" t="s">
        <v>334</v>
      </c>
      <c r="N31" s="771"/>
      <c r="O31" s="771"/>
      <c r="P31" s="771"/>
      <c r="Q31" s="771"/>
      <c r="R31" s="180">
        <f>+Q19*1.3</f>
        <v>0.18720000000000006</v>
      </c>
      <c r="S31" s="180">
        <v>10.5</v>
      </c>
      <c r="T31" s="181">
        <v>1530</v>
      </c>
      <c r="U31" s="181">
        <f>ROUND((T31*S31*R31),0)</f>
        <v>3007</v>
      </c>
    </row>
    <row r="32" spans="1:22" ht="15" customHeight="1" x14ac:dyDescent="0.25">
      <c r="A32" s="22"/>
      <c r="B32" s="760"/>
      <c r="C32" s="760"/>
      <c r="D32" s="760"/>
      <c r="E32" s="760"/>
      <c r="F32" s="760"/>
      <c r="G32" s="31"/>
      <c r="H32" s="34"/>
      <c r="I32" s="24"/>
      <c r="J32" s="24">
        <v>0</v>
      </c>
      <c r="L32" s="22"/>
      <c r="M32" s="771"/>
      <c r="N32" s="771"/>
      <c r="O32" s="771"/>
      <c r="P32" s="771"/>
      <c r="Q32" s="771"/>
      <c r="R32" s="206"/>
      <c r="S32" s="180"/>
      <c r="T32" s="181"/>
      <c r="U32" s="181">
        <v>0</v>
      </c>
    </row>
    <row r="33" spans="1:22" ht="15" customHeight="1" x14ac:dyDescent="0.25">
      <c r="A33" s="22"/>
      <c r="B33" s="760"/>
      <c r="C33" s="760"/>
      <c r="D33" s="760"/>
      <c r="E33" s="760"/>
      <c r="F33" s="760"/>
      <c r="G33" s="31"/>
      <c r="H33" s="34"/>
      <c r="I33" s="24"/>
      <c r="J33" s="24">
        <v>0</v>
      </c>
      <c r="L33" s="22"/>
      <c r="M33" s="771"/>
      <c r="N33" s="771"/>
      <c r="O33" s="771"/>
      <c r="P33" s="771"/>
      <c r="Q33" s="771"/>
      <c r="R33" s="206"/>
      <c r="S33" s="180"/>
      <c r="T33" s="181"/>
      <c r="U33" s="181">
        <v>0</v>
      </c>
    </row>
    <row r="34" spans="1:22" ht="15" customHeight="1" x14ac:dyDescent="0.25">
      <c r="A34" s="22"/>
      <c r="B34" s="760"/>
      <c r="C34" s="760"/>
      <c r="D34" s="760"/>
      <c r="E34" s="760"/>
      <c r="F34" s="760"/>
      <c r="G34" s="31"/>
      <c r="H34" s="31"/>
      <c r="I34" s="24"/>
      <c r="J34" s="24">
        <v>0</v>
      </c>
      <c r="L34" s="22"/>
      <c r="M34" s="771"/>
      <c r="N34" s="771"/>
      <c r="O34" s="771"/>
      <c r="P34" s="771"/>
      <c r="Q34" s="771"/>
      <c r="R34" s="206"/>
      <c r="S34" s="206"/>
      <c r="T34" s="181"/>
      <c r="U34" s="181">
        <v>0</v>
      </c>
    </row>
    <row r="35" spans="1:22" ht="15" customHeight="1" x14ac:dyDescent="0.25">
      <c r="A35" s="22"/>
      <c r="B35" s="761" t="s">
        <v>40</v>
      </c>
      <c r="C35" s="761"/>
      <c r="D35" s="761"/>
      <c r="E35" s="761"/>
      <c r="F35" s="761"/>
      <c r="G35" s="761"/>
      <c r="H35" s="761"/>
      <c r="I35" s="761"/>
      <c r="J35" s="24">
        <f>SUM(J31:J34)</f>
        <v>21617</v>
      </c>
      <c r="L35" s="22"/>
      <c r="M35" s="772" t="s">
        <v>40</v>
      </c>
      <c r="N35" s="772"/>
      <c r="O35" s="772"/>
      <c r="P35" s="772"/>
      <c r="Q35" s="772"/>
      <c r="R35" s="772"/>
      <c r="S35" s="772"/>
      <c r="T35" s="772"/>
      <c r="U35" s="181">
        <f>SUM(U31:U34)</f>
        <v>3007</v>
      </c>
    </row>
    <row r="36" spans="1:22" ht="7.5" customHeight="1" x14ac:dyDescent="0.25">
      <c r="A36" s="22"/>
      <c r="B36" s="25"/>
      <c r="C36" s="25"/>
      <c r="D36" s="25"/>
      <c r="E36" s="25"/>
      <c r="F36" s="25"/>
      <c r="G36" s="25"/>
      <c r="H36" s="25"/>
      <c r="I36" s="25"/>
      <c r="J36" s="26"/>
      <c r="L36" s="22"/>
      <c r="M36" s="25"/>
      <c r="N36" s="25"/>
      <c r="O36" s="25"/>
      <c r="P36" s="25"/>
      <c r="Q36" s="25"/>
      <c r="R36" s="25"/>
      <c r="S36" s="25"/>
      <c r="T36" s="25"/>
      <c r="U36" s="26"/>
    </row>
    <row r="37" spans="1:22" ht="15" customHeight="1" x14ac:dyDescent="0.25">
      <c r="A37" s="22"/>
      <c r="B37" s="761" t="s">
        <v>41</v>
      </c>
      <c r="C37" s="761"/>
      <c r="D37" s="761"/>
      <c r="E37" s="761"/>
      <c r="F37" s="761"/>
      <c r="G37" s="761"/>
      <c r="H37" s="761"/>
      <c r="I37" s="761"/>
      <c r="J37" s="761"/>
      <c r="L37" s="22"/>
      <c r="M37" s="772" t="s">
        <v>41</v>
      </c>
      <c r="N37" s="772"/>
      <c r="O37" s="772"/>
      <c r="P37" s="772"/>
      <c r="Q37" s="772"/>
      <c r="R37" s="772"/>
      <c r="S37" s="772"/>
      <c r="T37" s="772"/>
      <c r="U37" s="772"/>
    </row>
    <row r="38" spans="1:22" ht="39.6" x14ac:dyDescent="0.25">
      <c r="A38" s="22"/>
      <c r="B38" s="763" t="s">
        <v>4</v>
      </c>
      <c r="C38" s="763"/>
      <c r="D38" s="763"/>
      <c r="E38" s="763"/>
      <c r="F38" s="763"/>
      <c r="G38" s="32" t="s">
        <v>51</v>
      </c>
      <c r="H38" s="32" t="s">
        <v>19</v>
      </c>
      <c r="I38" s="32" t="s">
        <v>28</v>
      </c>
      <c r="J38" s="32" t="s">
        <v>29</v>
      </c>
      <c r="L38" s="22"/>
      <c r="M38" s="774" t="s">
        <v>4</v>
      </c>
      <c r="N38" s="774"/>
      <c r="O38" s="774"/>
      <c r="P38" s="774"/>
      <c r="Q38" s="774"/>
      <c r="R38" s="207" t="s">
        <v>51</v>
      </c>
      <c r="S38" s="207" t="s">
        <v>19</v>
      </c>
      <c r="T38" s="207" t="s">
        <v>28</v>
      </c>
      <c r="U38" s="207" t="s">
        <v>29</v>
      </c>
    </row>
    <row r="39" spans="1:22" ht="15" customHeight="1" x14ac:dyDescent="0.25">
      <c r="A39" s="22"/>
      <c r="B39" s="760" t="s">
        <v>120</v>
      </c>
      <c r="C39" s="760"/>
      <c r="D39" s="760"/>
      <c r="E39" s="760"/>
      <c r="F39" s="760"/>
      <c r="G39" s="24">
        <f>IF(B39="","",VLOOKUP(B39,CUADRILLAS!$B$87:$C$101,2,FALSE))</f>
        <v>157213.73333333334</v>
      </c>
      <c r="H39" s="31">
        <v>1</v>
      </c>
      <c r="I39" s="34">
        <v>2</v>
      </c>
      <c r="J39" s="24">
        <f>ROUND(+IF(I39=0,0,G39*H39/I39),0)</f>
        <v>78607</v>
      </c>
      <c r="L39" s="22"/>
      <c r="M39" s="771" t="s">
        <v>120</v>
      </c>
      <c r="N39" s="771"/>
      <c r="O39" s="771"/>
      <c r="P39" s="771"/>
      <c r="Q39" s="771"/>
      <c r="R39" s="181">
        <v>157213.73333333334</v>
      </c>
      <c r="S39" s="206">
        <v>1</v>
      </c>
      <c r="T39" s="180">
        <v>1.5</v>
      </c>
      <c r="U39" s="181">
        <f>ROUND(+IF(T39=0,0,R39*S39/T39),0)</f>
        <v>104809</v>
      </c>
    </row>
    <row r="40" spans="1:22" ht="15" customHeight="1" x14ac:dyDescent="0.25">
      <c r="A40" s="22"/>
      <c r="B40" s="760" t="s">
        <v>121</v>
      </c>
      <c r="C40" s="760"/>
      <c r="D40" s="760"/>
      <c r="E40" s="760"/>
      <c r="F40" s="760"/>
      <c r="G40" s="24">
        <f>IF(B40="","",VLOOKUP(B40,CUADRILLAS!$B$87:$C$101,2,FALSE))</f>
        <v>78606.866666666669</v>
      </c>
      <c r="H40" s="31">
        <v>3</v>
      </c>
      <c r="I40" s="34">
        <f>+I39</f>
        <v>2</v>
      </c>
      <c r="J40" s="24">
        <f>ROUND(+IF(I40=0,0,G40*H40/I40),0)</f>
        <v>117910</v>
      </c>
      <c r="L40" s="22"/>
      <c r="M40" s="771" t="s">
        <v>121</v>
      </c>
      <c r="N40" s="771"/>
      <c r="O40" s="771"/>
      <c r="P40" s="771"/>
      <c r="Q40" s="771"/>
      <c r="R40" s="181">
        <v>78606.866666666669</v>
      </c>
      <c r="S40" s="214">
        <v>2</v>
      </c>
      <c r="T40" s="180">
        <f>+T39</f>
        <v>1.5</v>
      </c>
      <c r="U40" s="181">
        <f>ROUND(+IF(T40=0,0,R40*S40/T40),0)</f>
        <v>104809</v>
      </c>
    </row>
    <row r="41" spans="1:22" ht="15" customHeight="1" x14ac:dyDescent="0.25">
      <c r="A41" s="22"/>
      <c r="B41" s="760"/>
      <c r="C41" s="760"/>
      <c r="D41" s="760"/>
      <c r="E41" s="760"/>
      <c r="F41" s="760"/>
      <c r="G41" s="24" t="str">
        <f>IF(B41="","",VLOOKUP(B41,CUADRILLAS!$B$87:$C$101,2,FALSE))</f>
        <v/>
      </c>
      <c r="H41" s="31"/>
      <c r="I41" s="34"/>
      <c r="J41" s="24">
        <f t="shared" ref="J41:J42" si="7">+IF(I41=0,0,G41*H41/I41)</f>
        <v>0</v>
      </c>
      <c r="L41" s="22"/>
      <c r="M41" s="771"/>
      <c r="N41" s="771"/>
      <c r="O41" s="771"/>
      <c r="P41" s="771"/>
      <c r="Q41" s="771"/>
      <c r="R41" s="181" t="s">
        <v>501</v>
      </c>
      <c r="S41" s="206"/>
      <c r="T41" s="180"/>
      <c r="U41" s="181">
        <f t="shared" ref="U41:U42" si="8">+IF(T41=0,0,R41*S41/T41)</f>
        <v>0</v>
      </c>
    </row>
    <row r="42" spans="1:22" ht="15" customHeight="1" x14ac:dyDescent="0.25">
      <c r="A42" s="22"/>
      <c r="B42" s="760"/>
      <c r="C42" s="760"/>
      <c r="D42" s="760"/>
      <c r="E42" s="760"/>
      <c r="F42" s="760"/>
      <c r="G42" s="24" t="str">
        <f>IF(B42="","",VLOOKUP(B42,CUADRILLAS!$B$87:$C$101,2,FALSE))</f>
        <v/>
      </c>
      <c r="H42" s="31"/>
      <c r="I42" s="34"/>
      <c r="J42" s="24">
        <f t="shared" si="7"/>
        <v>0</v>
      </c>
      <c r="L42" s="22"/>
      <c r="M42" s="771"/>
      <c r="N42" s="771"/>
      <c r="O42" s="771"/>
      <c r="P42" s="771"/>
      <c r="Q42" s="771"/>
      <c r="R42" s="181" t="s">
        <v>501</v>
      </c>
      <c r="S42" s="206"/>
      <c r="T42" s="180"/>
      <c r="U42" s="181">
        <f t="shared" si="8"/>
        <v>0</v>
      </c>
    </row>
    <row r="43" spans="1:22" ht="15" customHeight="1" x14ac:dyDescent="0.25">
      <c r="A43" s="22"/>
      <c r="B43" s="761" t="s">
        <v>42</v>
      </c>
      <c r="C43" s="761"/>
      <c r="D43" s="761"/>
      <c r="E43" s="761"/>
      <c r="F43" s="761"/>
      <c r="G43" s="761"/>
      <c r="H43" s="761"/>
      <c r="I43" s="761"/>
      <c r="J43" s="24">
        <f>SUM(J39:J42)</f>
        <v>196517</v>
      </c>
      <c r="L43" s="22"/>
      <c r="M43" s="772" t="s">
        <v>42</v>
      </c>
      <c r="N43" s="772"/>
      <c r="O43" s="772"/>
      <c r="P43" s="772"/>
      <c r="Q43" s="772"/>
      <c r="R43" s="772"/>
      <c r="S43" s="772"/>
      <c r="T43" s="772"/>
      <c r="U43" s="181">
        <f>SUM(U39:U42)</f>
        <v>209618</v>
      </c>
      <c r="V43" s="163"/>
    </row>
    <row r="44" spans="1:22" ht="7.5" customHeight="1" x14ac:dyDescent="0.25">
      <c r="A44" s="22"/>
      <c r="B44" s="25"/>
      <c r="C44" s="25"/>
      <c r="D44" s="25"/>
      <c r="E44" s="25"/>
      <c r="F44" s="25"/>
      <c r="G44" s="25"/>
      <c r="H44" s="25"/>
      <c r="I44" s="25"/>
      <c r="J44" s="26"/>
      <c r="L44" s="22"/>
      <c r="M44" s="25"/>
      <c r="N44" s="25"/>
      <c r="O44" s="25"/>
      <c r="P44" s="25"/>
      <c r="Q44" s="25"/>
      <c r="R44" s="25"/>
      <c r="S44" s="25"/>
      <c r="T44" s="25"/>
      <c r="U44" s="26"/>
    </row>
    <row r="45" spans="1:22" ht="15.75" customHeight="1" x14ac:dyDescent="0.25">
      <c r="A45" s="27"/>
      <c r="B45" s="762" t="s">
        <v>43</v>
      </c>
      <c r="C45" s="762"/>
      <c r="D45" s="762"/>
      <c r="E45" s="762"/>
      <c r="F45" s="762"/>
      <c r="G45" s="762"/>
      <c r="H45" s="762"/>
      <c r="I45" s="762"/>
      <c r="J45" s="106">
        <f>+J43+J35+J15+J27</f>
        <v>946521</v>
      </c>
      <c r="L45" s="27"/>
      <c r="M45" s="773" t="s">
        <v>43</v>
      </c>
      <c r="N45" s="773"/>
      <c r="O45" s="773"/>
      <c r="P45" s="773"/>
      <c r="Q45" s="773"/>
      <c r="R45" s="773"/>
      <c r="S45" s="773"/>
      <c r="T45" s="773"/>
      <c r="U45" s="210">
        <f>+U43+U35+U15+U27</f>
        <v>901356</v>
      </c>
      <c r="V45" s="163"/>
    </row>
    <row r="46" spans="1:22" x14ac:dyDescent="0.25">
      <c r="B46" s="21"/>
      <c r="C46" s="21"/>
      <c r="D46" s="21"/>
      <c r="E46" s="21"/>
      <c r="F46" s="21"/>
      <c r="G46" s="21"/>
      <c r="H46" s="21"/>
      <c r="I46" s="21"/>
      <c r="J46" s="21"/>
    </row>
    <row r="47" spans="1:22" x14ac:dyDescent="0.25">
      <c r="G47" s="163"/>
      <c r="M47" s="788" t="s">
        <v>450</v>
      </c>
      <c r="N47" s="788"/>
      <c r="O47" s="788"/>
      <c r="P47" s="788"/>
      <c r="Q47" s="788"/>
      <c r="R47" s="788"/>
      <c r="S47" s="788"/>
      <c r="T47" s="788"/>
    </row>
    <row r="48" spans="1:22" x14ac:dyDescent="0.25">
      <c r="M48" s="788"/>
      <c r="N48" s="788"/>
      <c r="O48" s="788"/>
      <c r="P48" s="788"/>
      <c r="Q48" s="788"/>
      <c r="R48" s="788"/>
      <c r="S48" s="788"/>
      <c r="T48" s="788"/>
    </row>
    <row r="49" spans="13:20" x14ac:dyDescent="0.25">
      <c r="M49" s="788"/>
      <c r="N49" s="788"/>
      <c r="O49" s="788"/>
      <c r="P49" s="788"/>
      <c r="Q49" s="788"/>
      <c r="R49" s="788"/>
      <c r="S49" s="788"/>
      <c r="T49" s="788"/>
    </row>
  </sheetData>
  <mergeCells count="83">
    <mergeCell ref="M45:T45"/>
    <mergeCell ref="M47:T49"/>
    <mergeCell ref="M39:Q39"/>
    <mergeCell ref="M40:Q40"/>
    <mergeCell ref="M43:T43"/>
    <mergeCell ref="M25:P25"/>
    <mergeCell ref="M26:P26"/>
    <mergeCell ref="M27:T27"/>
    <mergeCell ref="M29:U29"/>
    <mergeCell ref="M33:Q33"/>
    <mergeCell ref="M30:Q30"/>
    <mergeCell ref="M31:Q31"/>
    <mergeCell ref="M32:Q32"/>
    <mergeCell ref="M34:Q34"/>
    <mergeCell ref="M35:T35"/>
    <mergeCell ref="M37:U37"/>
    <mergeCell ref="M41:Q41"/>
    <mergeCell ref="M42:Q42"/>
    <mergeCell ref="M38:Q38"/>
    <mergeCell ref="M22:P22"/>
    <mergeCell ref="M23:P23"/>
    <mergeCell ref="M24:P24"/>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E6:H6"/>
    <mergeCell ref="A1:C4"/>
    <mergeCell ref="D1:J1"/>
    <mergeCell ref="D2:J2"/>
    <mergeCell ref="D3:J3"/>
    <mergeCell ref="D4:J4"/>
    <mergeCell ref="B19:E19"/>
    <mergeCell ref="B7:J7"/>
    <mergeCell ref="B8:F8"/>
    <mergeCell ref="B9:F9"/>
    <mergeCell ref="B10:F10"/>
    <mergeCell ref="B11:F11"/>
    <mergeCell ref="B13:F13"/>
    <mergeCell ref="B14:F14"/>
    <mergeCell ref="B15:I15"/>
    <mergeCell ref="B17:J17"/>
    <mergeCell ref="B18:E18"/>
    <mergeCell ref="B12:F12"/>
    <mergeCell ref="B31:F31"/>
    <mergeCell ref="B32:F32"/>
    <mergeCell ref="B33:F33"/>
    <mergeCell ref="B34:F34"/>
    <mergeCell ref="B24:E24"/>
    <mergeCell ref="B26:E26"/>
    <mergeCell ref="B27:I27"/>
    <mergeCell ref="B42:F42"/>
    <mergeCell ref="B43:I43"/>
    <mergeCell ref="B45:I45"/>
    <mergeCell ref="B20:E20"/>
    <mergeCell ref="B21:E21"/>
    <mergeCell ref="B22:E22"/>
    <mergeCell ref="B23:E23"/>
    <mergeCell ref="B25:E25"/>
    <mergeCell ref="B35:I35"/>
    <mergeCell ref="B37:J37"/>
    <mergeCell ref="B38:F38"/>
    <mergeCell ref="B39:F39"/>
    <mergeCell ref="B40:F40"/>
    <mergeCell ref="B41:F41"/>
    <mergeCell ref="B29:J29"/>
    <mergeCell ref="B30:F30"/>
  </mergeCells>
  <hyperlinks>
    <hyperlink ref="C6" location="'PPTO HOJA'!A27" display="'PPTO HOJA'!A27" xr:uid="{00000000-0004-0000-0C00-000000000000}"/>
    <hyperlink ref="N6" location="'PPTO HOJA'!A15" display="'PPTO HOJA'!A15" xr:uid="{00000000-0004-0000-0C00-000001000000}"/>
  </hyperlinks>
  <pageMargins left="0.7" right="0.7" top="0.75" bottom="0.75" header="0.3" footer="0.3"/>
  <pageSetup paperSize="9" scale="31"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0C00-000000000000}">
          <x14:formula1>
            <xm:f>CUADRILLAS!$B$86:$B$101</xm:f>
          </x14:formula1>
          <xm:sqref>B39:F42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5">
    <tabColor theme="9" tint="0.59999389629810485"/>
  </sheetPr>
  <dimension ref="A1:U49"/>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8" width="14.33203125" style="20" customWidth="1"/>
    <col min="9" max="9" width="14.6640625" style="20" bestFit="1" customWidth="1"/>
    <col min="10" max="10" width="19" style="20" bestFit="1" customWidth="1"/>
    <col min="11" max="11" width="3.33203125" style="20" customWidth="1"/>
    <col min="12" max="17" width="11.44140625" style="20"/>
    <col min="18" max="18" width="12.6640625" style="20" bestFit="1" customWidth="1"/>
    <col min="19" max="19" width="11.44140625" style="20"/>
    <col min="20" max="20" width="14" style="20" bestFit="1" customWidth="1"/>
    <col min="21" max="21" width="19.44140625" style="20"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61.2"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40.5" customHeight="1" x14ac:dyDescent="0.3">
      <c r="A6" s="30" t="s">
        <v>163</v>
      </c>
      <c r="B6" s="29" t="s">
        <v>22</v>
      </c>
      <c r="C6" s="116">
        <f>+'PPTO HOJA'!A24</f>
        <v>2.0799999999999996</v>
      </c>
      <c r="D6" s="28"/>
      <c r="E6" s="764" t="str">
        <f>'PPTO HOJA'!B24</f>
        <v>Caja de registro en concreto reforzado de resistencia 28 Mpa de seción hidráulica interna de 0.50m x 0.50m x 0.90m, incluye tapa, refuerzo, mortero impermeabilizante, excavacion y relleno</v>
      </c>
      <c r="F6" s="764"/>
      <c r="G6" s="764"/>
      <c r="H6" s="764"/>
      <c r="I6" s="30" t="s">
        <v>23</v>
      </c>
      <c r="J6" s="31" t="str">
        <f>'PPTO HOJA'!C24</f>
        <v>und</v>
      </c>
      <c r="L6" s="30" t="str">
        <f>A6</f>
        <v>II</v>
      </c>
      <c r="M6" s="29" t="s">
        <v>22</v>
      </c>
      <c r="N6" s="238">
        <f>C6</f>
        <v>2.0799999999999996</v>
      </c>
      <c r="O6" s="28"/>
      <c r="P6" s="764" t="str">
        <f>E6</f>
        <v>Caja de registro en concreto reforzado de resistencia 28 Mpa de seción hidráulica interna de 0.50m x 0.50m x 0.90m, incluye tapa, refuerzo, mortero impermeabilizante, excavacion y relleno</v>
      </c>
      <c r="Q6" s="764"/>
      <c r="R6" s="764"/>
      <c r="S6" s="764"/>
      <c r="T6" s="30" t="s">
        <v>23</v>
      </c>
      <c r="U6" s="31" t="str">
        <f>J6</f>
        <v>und</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ROUND(I9*J42,0)</f>
        <v>13101</v>
      </c>
      <c r="L9" s="22"/>
      <c r="M9" s="771" t="s">
        <v>30</v>
      </c>
      <c r="N9" s="771"/>
      <c r="O9" s="771"/>
      <c r="P9" s="771"/>
      <c r="Q9" s="771"/>
      <c r="R9" s="206"/>
      <c r="S9" s="181"/>
      <c r="T9" s="208">
        <v>0.05</v>
      </c>
      <c r="U9" s="181">
        <f>ROUND(T9*U42,0)</f>
        <v>10481</v>
      </c>
    </row>
    <row r="10" spans="1:21" ht="15" customHeight="1" x14ac:dyDescent="0.25">
      <c r="A10" s="22"/>
      <c r="B10" s="760" t="s">
        <v>136</v>
      </c>
      <c r="C10" s="760"/>
      <c r="D10" s="760"/>
      <c r="E10" s="760"/>
      <c r="F10" s="760"/>
      <c r="G10" s="31" t="str">
        <f>IF(B10="","",VLOOKUP(B10,EQUIPOS!$B$7:$F$46,3,FALSE))</f>
        <v>Gasolina</v>
      </c>
      <c r="H10" s="24">
        <f>IF(B10="","",VLOOKUP(B10,EQUIPOS!$B$7:$F$46,5,FALSE))</f>
        <v>85000</v>
      </c>
      <c r="I10" s="34">
        <f>+I38</f>
        <v>1.5</v>
      </c>
      <c r="J10" s="24">
        <f>IF(B10="",0,ROUND(H10/I10,0))</f>
        <v>56667</v>
      </c>
      <c r="L10" s="22"/>
      <c r="M10" s="789" t="s">
        <v>260</v>
      </c>
      <c r="N10" s="789"/>
      <c r="O10" s="789"/>
      <c r="P10" s="789"/>
      <c r="Q10" s="789"/>
      <c r="R10" s="214" t="s">
        <v>108</v>
      </c>
      <c r="S10" s="212">
        <v>116000</v>
      </c>
      <c r="T10" s="211">
        <f>+T38</f>
        <v>1.5</v>
      </c>
      <c r="U10" s="212">
        <f>IF(M10="",0,ROUND(S10/T10,0))</f>
        <v>77333</v>
      </c>
    </row>
    <row r="11" spans="1:21" ht="15" customHeight="1" x14ac:dyDescent="0.25">
      <c r="A11" s="22"/>
      <c r="B11" s="760"/>
      <c r="C11" s="760"/>
      <c r="D11" s="760"/>
      <c r="E11" s="760"/>
      <c r="F11" s="760"/>
      <c r="G11" s="31" t="str">
        <f>IF(B11="","",VLOOKUP(B11,EQUIPOS!$B$7:$F$46,3,FALSE))</f>
        <v/>
      </c>
      <c r="H11" s="24" t="str">
        <f>IF(B11="","",VLOOKUP(B11,EQUIPOS!$B$7:$F$46,5,FALSE))</f>
        <v/>
      </c>
      <c r="I11" s="34"/>
      <c r="J11" s="24">
        <f>IF(B11="",0,ROUND(H11/I11,0))</f>
        <v>0</v>
      </c>
      <c r="L11" s="22"/>
      <c r="M11" s="771" t="s">
        <v>136</v>
      </c>
      <c r="N11" s="771"/>
      <c r="O11" s="771"/>
      <c r="P11" s="771"/>
      <c r="Q11" s="771"/>
      <c r="R11" s="206" t="s">
        <v>137</v>
      </c>
      <c r="S11" s="181">
        <v>85000</v>
      </c>
      <c r="T11" s="180">
        <f>+T10</f>
        <v>1.5</v>
      </c>
      <c r="U11" s="181">
        <f>IF(M11="",0,ROUND(S11/T11,0))</f>
        <v>56667</v>
      </c>
    </row>
    <row r="12" spans="1:21" ht="15" customHeight="1" x14ac:dyDescent="0.25">
      <c r="A12" s="22"/>
      <c r="B12" s="760"/>
      <c r="C12" s="760"/>
      <c r="D12" s="760"/>
      <c r="E12" s="760"/>
      <c r="F12" s="760"/>
      <c r="G12" s="31" t="str">
        <f>IF(B12="","",VLOOKUP(B12,EQUIPOS!$B$7:$F$46,3,FALSE))</f>
        <v/>
      </c>
      <c r="H12" s="24" t="str">
        <f>IF(B12="","",VLOOKUP(B12,EQUIPOS!$B$7:$F$46,5,FALSE))</f>
        <v/>
      </c>
      <c r="I12" s="34"/>
      <c r="J12" s="24">
        <f t="shared" ref="J12" si="0">IF(B12="",0,ROUND(H12/I12,0))</f>
        <v>0</v>
      </c>
      <c r="L12" s="22"/>
      <c r="M12" s="771"/>
      <c r="N12" s="771"/>
      <c r="O12" s="771"/>
      <c r="P12" s="771"/>
      <c r="Q12" s="771"/>
      <c r="R12" s="206" t="s">
        <v>501</v>
      </c>
      <c r="S12" s="181" t="s">
        <v>501</v>
      </c>
      <c r="T12" s="180"/>
      <c r="U12" s="181">
        <f t="shared" ref="U12" si="1">IF(M12="",0,ROUND(S12/T12,0))</f>
        <v>0</v>
      </c>
    </row>
    <row r="13" spans="1:21" ht="15" customHeight="1" x14ac:dyDescent="0.25">
      <c r="A13" s="22"/>
      <c r="B13" s="760"/>
      <c r="C13" s="760"/>
      <c r="D13" s="760"/>
      <c r="E13" s="760"/>
      <c r="F13" s="760"/>
      <c r="G13" s="31" t="str">
        <f>IF(B13="","",VLOOKUP(B13,EQUIPOS!$B$7:$F$46,3,FALSE))</f>
        <v/>
      </c>
      <c r="H13" s="24" t="str">
        <f>IF(B13="","",VLOOKUP(B13,EQUIPOS!$B$7:$F$46,5,FALSE))</f>
        <v/>
      </c>
      <c r="I13" s="34"/>
      <c r="J13" s="24"/>
      <c r="L13" s="22"/>
      <c r="M13" s="771"/>
      <c r="N13" s="771"/>
      <c r="O13" s="771"/>
      <c r="P13" s="771"/>
      <c r="Q13" s="771"/>
      <c r="R13" s="206" t="s">
        <v>501</v>
      </c>
      <c r="S13" s="181" t="s">
        <v>501</v>
      </c>
      <c r="T13" s="180"/>
      <c r="U13" s="181"/>
    </row>
    <row r="14" spans="1:21" ht="15" customHeight="1" x14ac:dyDescent="0.25">
      <c r="A14" s="22"/>
      <c r="B14" s="761" t="s">
        <v>31</v>
      </c>
      <c r="C14" s="761"/>
      <c r="D14" s="761"/>
      <c r="E14" s="761"/>
      <c r="F14" s="761"/>
      <c r="G14" s="761"/>
      <c r="H14" s="761"/>
      <c r="I14" s="761"/>
      <c r="J14" s="24">
        <f>SUM(J9:J13)</f>
        <v>69768</v>
      </c>
      <c r="L14" s="22"/>
      <c r="M14" s="772" t="s">
        <v>31</v>
      </c>
      <c r="N14" s="772"/>
      <c r="O14" s="772"/>
      <c r="P14" s="772"/>
      <c r="Q14" s="772"/>
      <c r="R14" s="772"/>
      <c r="S14" s="772"/>
      <c r="T14" s="772"/>
      <c r="U14" s="181">
        <f>SUM(U9:U13)</f>
        <v>144481</v>
      </c>
    </row>
    <row r="15" spans="1:21" ht="7.5" customHeight="1" x14ac:dyDescent="0.25">
      <c r="A15" s="22"/>
      <c r="B15" s="25"/>
      <c r="C15" s="25"/>
      <c r="D15" s="25"/>
      <c r="E15" s="25"/>
      <c r="F15" s="25"/>
      <c r="G15" s="25"/>
      <c r="H15" s="25"/>
      <c r="I15" s="25"/>
      <c r="J15" s="26"/>
      <c r="L15" s="22"/>
      <c r="M15" s="25"/>
      <c r="N15" s="25"/>
      <c r="O15" s="25"/>
      <c r="P15" s="25"/>
      <c r="Q15" s="25"/>
      <c r="R15" s="25"/>
      <c r="S15" s="25"/>
      <c r="T15" s="25"/>
      <c r="U15" s="26"/>
    </row>
    <row r="16" spans="1:21" ht="15" customHeight="1" x14ac:dyDescent="0.25">
      <c r="A16" s="22"/>
      <c r="B16" s="761" t="s">
        <v>32</v>
      </c>
      <c r="C16" s="761"/>
      <c r="D16" s="761"/>
      <c r="E16" s="761"/>
      <c r="F16" s="761"/>
      <c r="G16" s="761"/>
      <c r="H16" s="761"/>
      <c r="I16" s="761"/>
      <c r="J16" s="761"/>
      <c r="L16" s="22"/>
      <c r="M16" s="772" t="s">
        <v>32</v>
      </c>
      <c r="N16" s="772"/>
      <c r="O16" s="772"/>
      <c r="P16" s="772"/>
      <c r="Q16" s="772"/>
      <c r="R16" s="772"/>
      <c r="S16" s="772"/>
      <c r="T16" s="772"/>
      <c r="U16" s="772"/>
    </row>
    <row r="17" spans="1:21" ht="26.4" x14ac:dyDescent="0.25">
      <c r="A17" s="22"/>
      <c r="B17" s="763" t="s">
        <v>33</v>
      </c>
      <c r="C17" s="763"/>
      <c r="D17" s="763"/>
      <c r="E17" s="763"/>
      <c r="F17" s="28" t="s">
        <v>19</v>
      </c>
      <c r="G17" s="31" t="s">
        <v>34</v>
      </c>
      <c r="H17" s="32" t="s">
        <v>35</v>
      </c>
      <c r="I17" s="32" t="s">
        <v>36</v>
      </c>
      <c r="J17" s="32" t="s">
        <v>29</v>
      </c>
      <c r="L17" s="22"/>
      <c r="M17" s="774" t="s">
        <v>33</v>
      </c>
      <c r="N17" s="774"/>
      <c r="O17" s="774"/>
      <c r="P17" s="774"/>
      <c r="Q17" s="205" t="s">
        <v>19</v>
      </c>
      <c r="R17" s="206" t="s">
        <v>34</v>
      </c>
      <c r="S17" s="207" t="s">
        <v>35</v>
      </c>
      <c r="T17" s="207" t="s">
        <v>36</v>
      </c>
      <c r="U17" s="207" t="s">
        <v>29</v>
      </c>
    </row>
    <row r="18" spans="1:21" ht="14.25" customHeight="1" x14ac:dyDescent="0.25">
      <c r="A18" s="22"/>
      <c r="B18" s="764" t="str">
        <f>+'PPTO HOJA'!B12</f>
        <v>Excavación manual en material común bajo cualquier grado de humedad</v>
      </c>
      <c r="C18" s="764"/>
      <c r="D18" s="764"/>
      <c r="E18" s="764"/>
      <c r="F18" s="34">
        <f>0.9*0.9*1</f>
        <v>0.81</v>
      </c>
      <c r="G18" s="31" t="s">
        <v>261</v>
      </c>
      <c r="H18" s="107"/>
      <c r="I18" s="24">
        <f>+'PPTO HOJA'!E12</f>
        <v>41268</v>
      </c>
      <c r="J18" s="24">
        <f>IF(I18="",0,ROUND((+F18*I18*(1+H18)),0))</f>
        <v>33427</v>
      </c>
      <c r="L18" s="22"/>
      <c r="M18" s="777" t="s">
        <v>166</v>
      </c>
      <c r="N18" s="777"/>
      <c r="O18" s="777"/>
      <c r="P18" s="777"/>
      <c r="Q18" s="211">
        <f>0.9*0.9*1</f>
        <v>0.81</v>
      </c>
      <c r="R18" s="206" t="s">
        <v>261</v>
      </c>
      <c r="S18" s="209"/>
      <c r="T18" s="181">
        <v>38212</v>
      </c>
      <c r="U18" s="181">
        <f>IF(T18="",0,ROUND((+Q18*T18*(1+S18)),0))</f>
        <v>30952</v>
      </c>
    </row>
    <row r="19" spans="1:21" ht="15" customHeight="1" x14ac:dyDescent="0.25">
      <c r="A19" s="22"/>
      <c r="B19" s="760" t="s">
        <v>266</v>
      </c>
      <c r="C19" s="760"/>
      <c r="D19" s="760"/>
      <c r="E19" s="760"/>
      <c r="F19" s="34">
        <f>(0.7*0.7*0.1)+(0.7*0.9*0.1*2)+(0.5*0.9*0.1*2)+(0.5*0.5*0.06)</f>
        <v>0.28000000000000003</v>
      </c>
      <c r="G19" s="31" t="s">
        <v>261</v>
      </c>
      <c r="H19" s="107">
        <v>0.1</v>
      </c>
      <c r="I19" s="24">
        <f>+'APU BÁSICOS'!J91</f>
        <v>1003196</v>
      </c>
      <c r="J19" s="24">
        <f t="shared" ref="J19:J25" si="2">IF(I19="",0,ROUND((+F19*I19*(1+H19)),0))</f>
        <v>308984</v>
      </c>
      <c r="L19" s="22"/>
      <c r="M19" s="771" t="s">
        <v>266</v>
      </c>
      <c r="N19" s="771"/>
      <c r="O19" s="771"/>
      <c r="P19" s="771"/>
      <c r="Q19" s="211">
        <f>(0.7*0.7*0.15)+(0.7*0.9*0.1*2)+(0.5*0.9*0.1*2)+(0.5*0.5*0.06)</f>
        <v>0.30449999999999999</v>
      </c>
      <c r="R19" s="206" t="s">
        <v>261</v>
      </c>
      <c r="S19" s="209">
        <v>0.05</v>
      </c>
      <c r="T19" s="181">
        <v>1103813</v>
      </c>
      <c r="U19" s="181">
        <f t="shared" ref="U19:U25" si="3">IF(T19="",0,ROUND((+Q19*T19*(1+S19)),0))</f>
        <v>352917</v>
      </c>
    </row>
    <row r="20" spans="1:21" ht="15" customHeight="1" x14ac:dyDescent="0.25">
      <c r="A20" s="22"/>
      <c r="B20" s="760" t="s">
        <v>250</v>
      </c>
      <c r="C20" s="760"/>
      <c r="D20" s="760"/>
      <c r="E20" s="760"/>
      <c r="F20" s="34">
        <f>(((2.4+(0.1*2))*8)+((2.4+(0.1*2)*7)))*0.56</f>
        <v>13.776000000000002</v>
      </c>
      <c r="G20" s="31" t="s">
        <v>49</v>
      </c>
      <c r="H20" s="107">
        <v>0.05</v>
      </c>
      <c r="I20" s="24">
        <f>IF(F20=0,"",VLOOKUP(B20,'LISTADO DE MATERIALES'!$B$6:$D$311,3,FALSE))</f>
        <v>6225</v>
      </c>
      <c r="J20" s="24">
        <f t="shared" si="2"/>
        <v>90043</v>
      </c>
      <c r="L20" s="22"/>
      <c r="M20" s="771" t="s">
        <v>250</v>
      </c>
      <c r="N20" s="771"/>
      <c r="O20" s="771"/>
      <c r="P20" s="771"/>
      <c r="Q20" s="211">
        <f>((2.45*8)+((2.4+(0.1*2)*7)))*0.56</f>
        <v>13.104000000000003</v>
      </c>
      <c r="R20" s="206" t="s">
        <v>49</v>
      </c>
      <c r="S20" s="209">
        <v>0.05</v>
      </c>
      <c r="T20" s="181">
        <v>6225</v>
      </c>
      <c r="U20" s="181">
        <f t="shared" si="3"/>
        <v>85651</v>
      </c>
    </row>
    <row r="21" spans="1:21" ht="15" customHeight="1" x14ac:dyDescent="0.25">
      <c r="A21" s="22"/>
      <c r="B21" s="760" t="s">
        <v>251</v>
      </c>
      <c r="C21" s="760"/>
      <c r="D21" s="760"/>
      <c r="E21" s="760"/>
      <c r="F21" s="34">
        <f>+F20*5%</f>
        <v>0.68880000000000008</v>
      </c>
      <c r="G21" s="31" t="str">
        <f>IF(F21=0,"",VLOOKUP(B21,'LISTADO DE MATERIALES'!$B$6:$D$311,2,FALSE))</f>
        <v>Kg</v>
      </c>
      <c r="H21" s="107">
        <v>0.1</v>
      </c>
      <c r="I21" s="24">
        <f>IF(F21=0,"",VLOOKUP(B21,'LISTADO DE MATERIALES'!$B$6:$D$311,3,FALSE))</f>
        <v>12450</v>
      </c>
      <c r="J21" s="24">
        <f t="shared" si="2"/>
        <v>9433</v>
      </c>
      <c r="L21" s="22"/>
      <c r="M21" s="771" t="s">
        <v>251</v>
      </c>
      <c r="N21" s="771"/>
      <c r="O21" s="771"/>
      <c r="P21" s="771"/>
      <c r="Q21" s="180">
        <f>+Q20*5%</f>
        <v>0.65520000000000023</v>
      </c>
      <c r="R21" s="206" t="s">
        <v>49</v>
      </c>
      <c r="S21" s="272"/>
      <c r="T21" s="181">
        <v>12450</v>
      </c>
      <c r="U21" s="181">
        <f t="shared" si="3"/>
        <v>8157</v>
      </c>
    </row>
    <row r="22" spans="1:21" ht="15" customHeight="1" x14ac:dyDescent="0.25">
      <c r="A22" s="22"/>
      <c r="B22" s="760" t="s">
        <v>263</v>
      </c>
      <c r="C22" s="760"/>
      <c r="D22" s="760"/>
      <c r="E22" s="760"/>
      <c r="F22" s="34">
        <f>(0.5*0.5*0.02)+(0.5*0.9*0.02*4)+(0.5*0.5*0.02)</f>
        <v>4.5999999999999999E-2</v>
      </c>
      <c r="G22" s="31" t="str">
        <f>+'APU BÁSICOS'!J232</f>
        <v>m3</v>
      </c>
      <c r="H22" s="107">
        <v>0.1</v>
      </c>
      <c r="I22" s="24">
        <f>+'APU BÁSICOS'!J269</f>
        <v>718979</v>
      </c>
      <c r="J22" s="24">
        <f t="shared" si="2"/>
        <v>36380</v>
      </c>
      <c r="L22" s="22"/>
      <c r="M22" s="771"/>
      <c r="N22" s="771"/>
      <c r="O22" s="771"/>
      <c r="P22" s="771"/>
      <c r="Q22" s="180"/>
      <c r="R22" s="206"/>
      <c r="S22" s="209"/>
      <c r="T22" s="181"/>
      <c r="U22" s="181"/>
    </row>
    <row r="23" spans="1:21" ht="15" customHeight="1" x14ac:dyDescent="0.25">
      <c r="A23" s="22"/>
      <c r="B23" s="760" t="s">
        <v>267</v>
      </c>
      <c r="C23" s="760"/>
      <c r="D23" s="760"/>
      <c r="E23" s="760"/>
      <c r="F23" s="34">
        <v>3.5</v>
      </c>
      <c r="G23" s="31" t="str">
        <f>IF(F23=0,"",VLOOKUP(B23,'LISTADO DE MATERIALES'!$B$6:$D$311,2,FALSE))</f>
        <v>Kg</v>
      </c>
      <c r="H23" s="107">
        <v>0.05</v>
      </c>
      <c r="I23" s="24">
        <f>IF(F23=0,"",VLOOKUP(B23,'LISTADO DE MATERIALES'!$B$6:$D$311,3,FALSE))</f>
        <v>26061</v>
      </c>
      <c r="J23" s="24">
        <f t="shared" si="2"/>
        <v>95774</v>
      </c>
      <c r="L23" s="22"/>
      <c r="M23" s="771" t="s">
        <v>267</v>
      </c>
      <c r="N23" s="771"/>
      <c r="O23" s="771"/>
      <c r="P23" s="771"/>
      <c r="Q23" s="211">
        <v>4.6124999999999998</v>
      </c>
      <c r="R23" s="206" t="s">
        <v>49</v>
      </c>
      <c r="S23" s="272"/>
      <c r="T23" s="181">
        <v>6876</v>
      </c>
      <c r="U23" s="181">
        <f t="shared" si="3"/>
        <v>31716</v>
      </c>
    </row>
    <row r="24" spans="1:21" ht="15" customHeight="1" x14ac:dyDescent="0.25">
      <c r="A24" s="22"/>
      <c r="B24" s="779" t="s">
        <v>336</v>
      </c>
      <c r="C24" s="780"/>
      <c r="D24" s="780"/>
      <c r="E24" s="781"/>
      <c r="F24" s="34">
        <v>1</v>
      </c>
      <c r="G24" s="31" t="str">
        <f>IF(F24=0,"",VLOOKUP(B24,'LISTADO DE MATERIALES'!$B$6:$D$311,2,FALSE))</f>
        <v>und</v>
      </c>
      <c r="H24" s="31"/>
      <c r="I24" s="24">
        <f>IF(F24=0,"",VLOOKUP(B24,'LISTADO DE MATERIALES'!$B$6:$D$311,3,FALSE))</f>
        <v>253000</v>
      </c>
      <c r="J24" s="24">
        <f t="shared" si="2"/>
        <v>253000</v>
      </c>
      <c r="L24" s="22"/>
      <c r="M24" s="785" t="s">
        <v>336</v>
      </c>
      <c r="N24" s="786"/>
      <c r="O24" s="786"/>
      <c r="P24" s="787"/>
      <c r="Q24" s="180">
        <v>1</v>
      </c>
      <c r="R24" s="206" t="s">
        <v>9</v>
      </c>
      <c r="S24" s="206"/>
      <c r="T24" s="24">
        <f>IF(Q24=0,"",VLOOKUP(M24,'LISTADO DE MATERIALES'!$B$6:$D$311,3,FALSE))</f>
        <v>253000</v>
      </c>
      <c r="U24" s="181">
        <f t="shared" si="3"/>
        <v>253000</v>
      </c>
    </row>
    <row r="25" spans="1:21" ht="15" customHeight="1" x14ac:dyDescent="0.25">
      <c r="A25" s="22"/>
      <c r="B25" s="760" t="s">
        <v>269</v>
      </c>
      <c r="C25" s="760"/>
      <c r="D25" s="760"/>
      <c r="E25" s="760"/>
      <c r="F25" s="34">
        <v>3.5</v>
      </c>
      <c r="G25" s="31" t="str">
        <f>IF(F25=0,"",VLOOKUP(B25,'LISTADO DE MATERIALES'!$B$6:$D$311,2,FALSE))</f>
        <v>m2</v>
      </c>
      <c r="H25" s="107">
        <v>0.05</v>
      </c>
      <c r="I25" s="24">
        <f>IF(F25=0,"",VLOOKUP(B25,'LISTADO DE MATERIALES'!$B$6:$D$311,3,FALSE))</f>
        <v>39550</v>
      </c>
      <c r="J25" s="24">
        <f t="shared" si="2"/>
        <v>145346</v>
      </c>
      <c r="L25" s="22"/>
      <c r="M25" s="771" t="s">
        <v>269</v>
      </c>
      <c r="N25" s="771"/>
      <c r="O25" s="771"/>
      <c r="P25" s="771"/>
      <c r="Q25" s="211">
        <v>4.74</v>
      </c>
      <c r="R25" s="206" t="s">
        <v>436</v>
      </c>
      <c r="S25" s="272"/>
      <c r="T25" s="181">
        <v>39550</v>
      </c>
      <c r="U25" s="181">
        <f t="shared" si="3"/>
        <v>187467</v>
      </c>
    </row>
    <row r="26" spans="1:21" ht="15" customHeight="1" x14ac:dyDescent="0.25">
      <c r="A26" s="22"/>
      <c r="B26" s="761" t="s">
        <v>37</v>
      </c>
      <c r="C26" s="761"/>
      <c r="D26" s="761"/>
      <c r="E26" s="761"/>
      <c r="F26" s="761"/>
      <c r="G26" s="761"/>
      <c r="H26" s="761"/>
      <c r="I26" s="761"/>
      <c r="J26" s="24">
        <f>SUM(J18:J25)</f>
        <v>972387</v>
      </c>
      <c r="L26" s="22"/>
      <c r="M26" s="772" t="s">
        <v>37</v>
      </c>
      <c r="N26" s="772"/>
      <c r="O26" s="772"/>
      <c r="P26" s="772"/>
      <c r="Q26" s="772"/>
      <c r="R26" s="772"/>
      <c r="S26" s="772"/>
      <c r="T26" s="772"/>
      <c r="U26" s="181">
        <f>SUM(U18:U25)</f>
        <v>949860</v>
      </c>
    </row>
    <row r="27" spans="1:21" ht="7.5" customHeight="1" x14ac:dyDescent="0.25">
      <c r="A27" s="22"/>
      <c r="B27" s="25"/>
      <c r="C27" s="25"/>
      <c r="D27" s="25"/>
      <c r="E27" s="25"/>
      <c r="F27" s="25"/>
      <c r="G27" s="25"/>
      <c r="H27" s="25"/>
      <c r="I27" s="25"/>
      <c r="J27" s="26"/>
      <c r="L27" s="22"/>
      <c r="M27" s="25"/>
      <c r="N27" s="25"/>
      <c r="O27" s="25"/>
      <c r="P27" s="25"/>
      <c r="Q27" s="25"/>
      <c r="R27" s="25"/>
      <c r="S27" s="25"/>
      <c r="T27" s="25"/>
      <c r="U27" s="26"/>
    </row>
    <row r="28" spans="1:21" ht="15" customHeight="1" x14ac:dyDescent="0.25">
      <c r="A28" s="22"/>
      <c r="B28" s="761" t="s">
        <v>38</v>
      </c>
      <c r="C28" s="761"/>
      <c r="D28" s="761"/>
      <c r="E28" s="761"/>
      <c r="F28" s="761"/>
      <c r="G28" s="761"/>
      <c r="H28" s="761"/>
      <c r="I28" s="761"/>
      <c r="J28" s="761"/>
      <c r="L28" s="22"/>
      <c r="M28" s="772" t="s">
        <v>38</v>
      </c>
      <c r="N28" s="772"/>
      <c r="O28" s="772"/>
      <c r="P28" s="772"/>
      <c r="Q28" s="772"/>
      <c r="R28" s="772"/>
      <c r="S28" s="772"/>
      <c r="T28" s="772"/>
      <c r="U28" s="772"/>
    </row>
    <row r="29" spans="1:21" x14ac:dyDescent="0.25">
      <c r="A29" s="22"/>
      <c r="B29" s="763" t="s">
        <v>33</v>
      </c>
      <c r="C29" s="763"/>
      <c r="D29" s="763"/>
      <c r="E29" s="763"/>
      <c r="F29" s="763"/>
      <c r="G29" s="31" t="s">
        <v>133</v>
      </c>
      <c r="H29" s="31" t="s">
        <v>132</v>
      </c>
      <c r="I29" s="31" t="s">
        <v>39</v>
      </c>
      <c r="J29" s="32" t="s">
        <v>29</v>
      </c>
      <c r="L29" s="22"/>
      <c r="M29" s="774" t="s">
        <v>33</v>
      </c>
      <c r="N29" s="774"/>
      <c r="O29" s="774"/>
      <c r="P29" s="774"/>
      <c r="Q29" s="774"/>
      <c r="R29" s="206" t="s">
        <v>133</v>
      </c>
      <c r="S29" s="206" t="s">
        <v>132</v>
      </c>
      <c r="T29" s="206" t="s">
        <v>39</v>
      </c>
      <c r="U29" s="207" t="s">
        <v>29</v>
      </c>
    </row>
    <row r="30" spans="1:21" ht="15" customHeight="1" x14ac:dyDescent="0.25">
      <c r="A30" s="22"/>
      <c r="B30" s="760" t="s">
        <v>334</v>
      </c>
      <c r="C30" s="760"/>
      <c r="D30" s="760"/>
      <c r="E30" s="760"/>
      <c r="F30" s="760"/>
      <c r="G30" s="34">
        <f>+F18*1.3</f>
        <v>1.0530000000000002</v>
      </c>
      <c r="H30" s="34">
        <f>+TRANSPORTE!B7</f>
        <v>10.5</v>
      </c>
      <c r="I30" s="319">
        <f>+TRANSPORTE!C7</f>
        <v>1667</v>
      </c>
      <c r="J30" s="24">
        <f>ROUND((I30*H30*G30),0)</f>
        <v>18431</v>
      </c>
      <c r="L30" s="22"/>
      <c r="M30" s="771" t="s">
        <v>262</v>
      </c>
      <c r="N30" s="771"/>
      <c r="O30" s="771"/>
      <c r="P30" s="771"/>
      <c r="Q30" s="771"/>
      <c r="R30" s="180">
        <f>+Q18*1.3</f>
        <v>1.0530000000000002</v>
      </c>
      <c r="S30" s="180">
        <v>10.5</v>
      </c>
      <c r="T30" s="181">
        <v>1530</v>
      </c>
      <c r="U30" s="181">
        <f>ROUND((T30*S30*R30),0)</f>
        <v>16916</v>
      </c>
    </row>
    <row r="31" spans="1:21"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1" ht="15" customHeight="1" x14ac:dyDescent="0.25">
      <c r="A32" s="22"/>
      <c r="B32" s="760"/>
      <c r="C32" s="760"/>
      <c r="D32" s="760"/>
      <c r="E32" s="760"/>
      <c r="F32" s="760"/>
      <c r="G32" s="31"/>
      <c r="H32" s="34"/>
      <c r="I32" s="24"/>
      <c r="J32" s="24">
        <v>0</v>
      </c>
      <c r="L32" s="22"/>
      <c r="M32" s="771"/>
      <c r="N32" s="771"/>
      <c r="O32" s="771"/>
      <c r="P32" s="771"/>
      <c r="Q32" s="771"/>
      <c r="R32" s="206"/>
      <c r="S32" s="180"/>
      <c r="T32" s="181"/>
      <c r="U32" s="181">
        <v>0</v>
      </c>
    </row>
    <row r="33" spans="1:21" ht="15" customHeight="1" x14ac:dyDescent="0.25">
      <c r="A33" s="22"/>
      <c r="B33" s="760"/>
      <c r="C33" s="760"/>
      <c r="D33" s="760"/>
      <c r="E33" s="760"/>
      <c r="F33" s="760"/>
      <c r="G33" s="31"/>
      <c r="H33" s="31"/>
      <c r="I33" s="24"/>
      <c r="J33" s="24">
        <v>0</v>
      </c>
      <c r="L33" s="22"/>
      <c r="M33" s="771"/>
      <c r="N33" s="771"/>
      <c r="O33" s="771"/>
      <c r="P33" s="771"/>
      <c r="Q33" s="771"/>
      <c r="R33" s="206"/>
      <c r="S33" s="206"/>
      <c r="T33" s="181"/>
      <c r="U33" s="181">
        <v>0</v>
      </c>
    </row>
    <row r="34" spans="1:21" ht="15" customHeight="1" x14ac:dyDescent="0.25">
      <c r="A34" s="22"/>
      <c r="B34" s="761" t="s">
        <v>40</v>
      </c>
      <c r="C34" s="761"/>
      <c r="D34" s="761"/>
      <c r="E34" s="761"/>
      <c r="F34" s="761"/>
      <c r="G34" s="761"/>
      <c r="H34" s="761"/>
      <c r="I34" s="761"/>
      <c r="J34" s="24">
        <f>SUM(J30:J33)</f>
        <v>18431</v>
      </c>
      <c r="L34" s="22"/>
      <c r="M34" s="772" t="s">
        <v>40</v>
      </c>
      <c r="N34" s="772"/>
      <c r="O34" s="772"/>
      <c r="P34" s="772"/>
      <c r="Q34" s="772"/>
      <c r="R34" s="772"/>
      <c r="S34" s="772"/>
      <c r="T34" s="772"/>
      <c r="U34" s="181">
        <f>SUM(U30:U33)</f>
        <v>16916</v>
      </c>
    </row>
    <row r="35" spans="1:21" ht="7.5" customHeight="1" x14ac:dyDescent="0.25">
      <c r="A35" s="22"/>
      <c r="B35" s="25"/>
      <c r="C35" s="25"/>
      <c r="D35" s="25"/>
      <c r="E35" s="25"/>
      <c r="F35" s="25"/>
      <c r="G35" s="25"/>
      <c r="H35" s="25"/>
      <c r="I35" s="25"/>
      <c r="J35" s="26"/>
      <c r="L35" s="22"/>
      <c r="M35" s="25"/>
      <c r="N35" s="25"/>
      <c r="O35" s="25"/>
      <c r="P35" s="25"/>
      <c r="Q35" s="25"/>
      <c r="R35" s="25"/>
      <c r="S35" s="25"/>
      <c r="T35" s="25"/>
      <c r="U35" s="26"/>
    </row>
    <row r="36" spans="1:21" ht="15" customHeight="1" x14ac:dyDescent="0.25">
      <c r="A36" s="22"/>
      <c r="B36" s="761" t="s">
        <v>41</v>
      </c>
      <c r="C36" s="761"/>
      <c r="D36" s="761"/>
      <c r="E36" s="761"/>
      <c r="F36" s="761"/>
      <c r="G36" s="761"/>
      <c r="H36" s="761"/>
      <c r="I36" s="761"/>
      <c r="J36" s="761"/>
      <c r="L36" s="22"/>
      <c r="M36" s="772" t="s">
        <v>41</v>
      </c>
      <c r="N36" s="772"/>
      <c r="O36" s="772"/>
      <c r="P36" s="772"/>
      <c r="Q36" s="772"/>
      <c r="R36" s="772"/>
      <c r="S36" s="772"/>
      <c r="T36" s="772"/>
      <c r="U36" s="772"/>
    </row>
    <row r="37" spans="1:21" ht="39.6" x14ac:dyDescent="0.25">
      <c r="A37" s="22"/>
      <c r="B37" s="763" t="s">
        <v>4</v>
      </c>
      <c r="C37" s="763"/>
      <c r="D37" s="763"/>
      <c r="E37" s="763"/>
      <c r="F37" s="763"/>
      <c r="G37" s="32" t="s">
        <v>51</v>
      </c>
      <c r="H37" s="32" t="s">
        <v>19</v>
      </c>
      <c r="I37" s="32" t="s">
        <v>28</v>
      </c>
      <c r="J37" s="32" t="s">
        <v>29</v>
      </c>
      <c r="L37" s="22"/>
      <c r="M37" s="774" t="s">
        <v>4</v>
      </c>
      <c r="N37" s="774"/>
      <c r="O37" s="774"/>
      <c r="P37" s="774"/>
      <c r="Q37" s="774"/>
      <c r="R37" s="207" t="s">
        <v>51</v>
      </c>
      <c r="S37" s="207" t="s">
        <v>19</v>
      </c>
      <c r="T37" s="207" t="s">
        <v>28</v>
      </c>
      <c r="U37" s="207" t="s">
        <v>29</v>
      </c>
    </row>
    <row r="38" spans="1:21" ht="15" customHeight="1" x14ac:dyDescent="0.25">
      <c r="A38" s="22"/>
      <c r="B38" s="760" t="s">
        <v>120</v>
      </c>
      <c r="C38" s="760"/>
      <c r="D38" s="760"/>
      <c r="E38" s="760"/>
      <c r="F38" s="760"/>
      <c r="G38" s="24">
        <f>IF(B38="","",VLOOKUP(B38,CUADRILLAS!$B$87:$C$101,2,FALSE))</f>
        <v>157213.73333333334</v>
      </c>
      <c r="H38" s="31">
        <v>1</v>
      </c>
      <c r="I38" s="34">
        <v>1.5</v>
      </c>
      <c r="J38" s="24">
        <f>ROUND(+IF(I38=0,0,G38*H38/I38),0)</f>
        <v>104809</v>
      </c>
      <c r="L38" s="22"/>
      <c r="M38" s="771" t="s">
        <v>120</v>
      </c>
      <c r="N38" s="771"/>
      <c r="O38" s="771"/>
      <c r="P38" s="771"/>
      <c r="Q38" s="771"/>
      <c r="R38" s="181">
        <v>157213.73333333334</v>
      </c>
      <c r="S38" s="206">
        <v>1</v>
      </c>
      <c r="T38" s="180">
        <v>1.5</v>
      </c>
      <c r="U38" s="181">
        <f>ROUND(+IF(T38=0,0,R38*S38/T38),0)</f>
        <v>104809</v>
      </c>
    </row>
    <row r="39" spans="1:21" ht="15" customHeight="1" x14ac:dyDescent="0.25">
      <c r="A39" s="22"/>
      <c r="B39" s="760" t="s">
        <v>121</v>
      </c>
      <c r="C39" s="760"/>
      <c r="D39" s="760"/>
      <c r="E39" s="760"/>
      <c r="F39" s="760"/>
      <c r="G39" s="24">
        <f>IF(B39="","",VLOOKUP(B39,CUADRILLAS!$B$87:$C$101,2,FALSE))</f>
        <v>78606.866666666669</v>
      </c>
      <c r="H39" s="31">
        <v>3</v>
      </c>
      <c r="I39" s="34">
        <f>+I38</f>
        <v>1.5</v>
      </c>
      <c r="J39" s="24">
        <f>ROUND(+IF(I39=0,0,G39*H39/I39),0)</f>
        <v>157214</v>
      </c>
      <c r="L39" s="22"/>
      <c r="M39" s="771" t="s">
        <v>121</v>
      </c>
      <c r="N39" s="771"/>
      <c r="O39" s="771"/>
      <c r="P39" s="771"/>
      <c r="Q39" s="771"/>
      <c r="R39" s="181">
        <v>78606.866666666669</v>
      </c>
      <c r="S39" s="214">
        <v>2</v>
      </c>
      <c r="T39" s="180">
        <f>+T38</f>
        <v>1.5</v>
      </c>
      <c r="U39" s="181">
        <f>ROUND(+IF(T39=0,0,R39*S39/T39),0)</f>
        <v>104809</v>
      </c>
    </row>
    <row r="40" spans="1:21" ht="15" customHeight="1" x14ac:dyDescent="0.25">
      <c r="A40" s="22"/>
      <c r="B40" s="760"/>
      <c r="C40" s="760"/>
      <c r="D40" s="760"/>
      <c r="E40" s="760"/>
      <c r="F40" s="760"/>
      <c r="G40" s="24" t="str">
        <f>IF(B40="","",VLOOKUP(B40,CUADRILLAS!$B$87:$C$101,2,FALSE))</f>
        <v/>
      </c>
      <c r="H40" s="31"/>
      <c r="I40" s="34"/>
      <c r="J40" s="24">
        <f t="shared" ref="J40:J41" si="4">+IF(I40=0,0,G40*H40/I40)</f>
        <v>0</v>
      </c>
      <c r="L40" s="22"/>
      <c r="M40" s="771"/>
      <c r="N40" s="771"/>
      <c r="O40" s="771"/>
      <c r="P40" s="771"/>
      <c r="Q40" s="771"/>
      <c r="R40" s="181" t="s">
        <v>501</v>
      </c>
      <c r="S40" s="206"/>
      <c r="T40" s="180"/>
      <c r="U40" s="181">
        <f t="shared" ref="U40:U41" si="5">+IF(T40=0,0,R40*S40/T40)</f>
        <v>0</v>
      </c>
    </row>
    <row r="41" spans="1:21" ht="15" customHeight="1" x14ac:dyDescent="0.25">
      <c r="A41" s="22"/>
      <c r="B41" s="760"/>
      <c r="C41" s="760"/>
      <c r="D41" s="760"/>
      <c r="E41" s="760"/>
      <c r="F41" s="760"/>
      <c r="G41" s="24" t="str">
        <f>IF(B41="","",VLOOKUP(B41,CUADRILLAS!$B$87:$C$101,2,FALSE))</f>
        <v/>
      </c>
      <c r="H41" s="31"/>
      <c r="I41" s="34"/>
      <c r="J41" s="24">
        <f t="shared" si="4"/>
        <v>0</v>
      </c>
      <c r="L41" s="22"/>
      <c r="M41" s="771"/>
      <c r="N41" s="771"/>
      <c r="O41" s="771"/>
      <c r="P41" s="771"/>
      <c r="Q41" s="771"/>
      <c r="R41" s="181" t="s">
        <v>501</v>
      </c>
      <c r="S41" s="206"/>
      <c r="T41" s="180"/>
      <c r="U41" s="181">
        <f t="shared" si="5"/>
        <v>0</v>
      </c>
    </row>
    <row r="42" spans="1:21" ht="15" customHeight="1" x14ac:dyDescent="0.25">
      <c r="A42" s="22"/>
      <c r="B42" s="761" t="s">
        <v>42</v>
      </c>
      <c r="C42" s="761"/>
      <c r="D42" s="761"/>
      <c r="E42" s="761"/>
      <c r="F42" s="761"/>
      <c r="G42" s="761"/>
      <c r="H42" s="761"/>
      <c r="I42" s="761"/>
      <c r="J42" s="24">
        <f>SUM(J38:J41)</f>
        <v>262023</v>
      </c>
      <c r="L42" s="22"/>
      <c r="M42" s="772" t="s">
        <v>42</v>
      </c>
      <c r="N42" s="772"/>
      <c r="O42" s="772"/>
      <c r="P42" s="772"/>
      <c r="Q42" s="772"/>
      <c r="R42" s="772"/>
      <c r="S42" s="772"/>
      <c r="T42" s="772"/>
      <c r="U42" s="181">
        <f>SUM(U38:U41)</f>
        <v>209618</v>
      </c>
    </row>
    <row r="43" spans="1:21" ht="7.5" customHeight="1" x14ac:dyDescent="0.25">
      <c r="A43" s="22"/>
      <c r="B43" s="25"/>
      <c r="C43" s="25"/>
      <c r="D43" s="25"/>
      <c r="E43" s="25"/>
      <c r="F43" s="25"/>
      <c r="G43" s="25"/>
      <c r="H43" s="25"/>
      <c r="I43" s="25"/>
      <c r="J43" s="26"/>
      <c r="L43" s="22"/>
      <c r="M43" s="25"/>
      <c r="N43" s="25"/>
      <c r="O43" s="25"/>
      <c r="P43" s="25"/>
      <c r="Q43" s="25"/>
      <c r="R43" s="25"/>
      <c r="S43" s="25"/>
      <c r="T43" s="25"/>
      <c r="U43" s="26"/>
    </row>
    <row r="44" spans="1:21" ht="15.75" customHeight="1" x14ac:dyDescent="0.25">
      <c r="A44" s="27"/>
      <c r="B44" s="762" t="s">
        <v>43</v>
      </c>
      <c r="C44" s="762"/>
      <c r="D44" s="762"/>
      <c r="E44" s="762"/>
      <c r="F44" s="762"/>
      <c r="G44" s="762"/>
      <c r="H44" s="762"/>
      <c r="I44" s="762"/>
      <c r="J44" s="106">
        <f>+J42+J34+J14+J26</f>
        <v>1322609</v>
      </c>
      <c r="L44" s="27"/>
      <c r="M44" s="773" t="s">
        <v>43</v>
      </c>
      <c r="N44" s="773"/>
      <c r="O44" s="773"/>
      <c r="P44" s="773"/>
      <c r="Q44" s="773"/>
      <c r="R44" s="773"/>
      <c r="S44" s="773"/>
      <c r="T44" s="773"/>
      <c r="U44" s="210">
        <f>+U42+U34+U14+U26</f>
        <v>1320875</v>
      </c>
    </row>
    <row r="47" spans="1:21" x14ac:dyDescent="0.25">
      <c r="M47" s="788" t="s">
        <v>450</v>
      </c>
      <c r="N47" s="788"/>
      <c r="O47" s="788"/>
      <c r="P47" s="788"/>
      <c r="Q47" s="788"/>
      <c r="R47" s="788"/>
      <c r="S47" s="788"/>
      <c r="T47" s="788"/>
    </row>
    <row r="48" spans="1:21" x14ac:dyDescent="0.25">
      <c r="M48" s="788"/>
      <c r="N48" s="788"/>
      <c r="O48" s="788"/>
      <c r="P48" s="788"/>
      <c r="Q48" s="788"/>
      <c r="R48" s="788"/>
      <c r="S48" s="788"/>
      <c r="T48" s="788"/>
    </row>
    <row r="49" spans="13:20" x14ac:dyDescent="0.25">
      <c r="M49" s="788"/>
      <c r="N49" s="788"/>
      <c r="O49" s="788"/>
      <c r="P49" s="788"/>
      <c r="Q49" s="788"/>
      <c r="R49" s="788"/>
      <c r="S49" s="788"/>
      <c r="T49" s="788"/>
    </row>
  </sheetData>
  <mergeCells count="81">
    <mergeCell ref="M47:T49"/>
    <mergeCell ref="M44:T44"/>
    <mergeCell ref="M39:Q39"/>
    <mergeCell ref="M40:Q40"/>
    <mergeCell ref="M14:T14"/>
    <mergeCell ref="M16:U16"/>
    <mergeCell ref="M17:P17"/>
    <mergeCell ref="M25:P25"/>
    <mergeCell ref="M26:T26"/>
    <mergeCell ref="M28:U28"/>
    <mergeCell ref="M33:Q33"/>
    <mergeCell ref="M34:T34"/>
    <mergeCell ref="M36:U36"/>
    <mergeCell ref="M41:Q41"/>
    <mergeCell ref="M42:T42"/>
    <mergeCell ref="M37:Q37"/>
    <mergeCell ref="M38:Q38"/>
    <mergeCell ref="M29:Q29"/>
    <mergeCell ref="M30:Q30"/>
    <mergeCell ref="M31:Q31"/>
    <mergeCell ref="M32:Q32"/>
    <mergeCell ref="M22:P22"/>
    <mergeCell ref="M23:P23"/>
    <mergeCell ref="M24:P24"/>
    <mergeCell ref="M18:P18"/>
    <mergeCell ref="M19:P19"/>
    <mergeCell ref="M20:P20"/>
    <mergeCell ref="M21:P21"/>
    <mergeCell ref="M11:Q11"/>
    <mergeCell ref="M12:Q12"/>
    <mergeCell ref="M13:Q13"/>
    <mergeCell ref="P6:S6"/>
    <mergeCell ref="M7:U7"/>
    <mergeCell ref="M8:Q8"/>
    <mergeCell ref="M9:Q9"/>
    <mergeCell ref="M10:Q10"/>
    <mergeCell ref="L1:N4"/>
    <mergeCell ref="O1:U1"/>
    <mergeCell ref="O2:U2"/>
    <mergeCell ref="O3:U3"/>
    <mergeCell ref="O4:U4"/>
    <mergeCell ref="B11:F11"/>
    <mergeCell ref="A1:C4"/>
    <mergeCell ref="D1:J1"/>
    <mergeCell ref="D2:J2"/>
    <mergeCell ref="D3:J3"/>
    <mergeCell ref="D4:J4"/>
    <mergeCell ref="E6:H6"/>
    <mergeCell ref="B7:J7"/>
    <mergeCell ref="B8:F8"/>
    <mergeCell ref="B9:F9"/>
    <mergeCell ref="B10:F10"/>
    <mergeCell ref="B21:E21"/>
    <mergeCell ref="B12:F12"/>
    <mergeCell ref="B13:F13"/>
    <mergeCell ref="B14:I14"/>
    <mergeCell ref="B16:J16"/>
    <mergeCell ref="B17:E17"/>
    <mergeCell ref="B18:E18"/>
    <mergeCell ref="B19:E19"/>
    <mergeCell ref="B20:E20"/>
    <mergeCell ref="B34:I34"/>
    <mergeCell ref="B22:E22"/>
    <mergeCell ref="B23:E23"/>
    <mergeCell ref="B24:E24"/>
    <mergeCell ref="B25:E25"/>
    <mergeCell ref="B26:I26"/>
    <mergeCell ref="B28:J28"/>
    <mergeCell ref="B29:F29"/>
    <mergeCell ref="B30:F30"/>
    <mergeCell ref="B31:F31"/>
    <mergeCell ref="B32:F32"/>
    <mergeCell ref="B33:F33"/>
    <mergeCell ref="B42:I42"/>
    <mergeCell ref="B44:I44"/>
    <mergeCell ref="B36:J36"/>
    <mergeCell ref="B37:F37"/>
    <mergeCell ref="B38:F38"/>
    <mergeCell ref="B39:F39"/>
    <mergeCell ref="B40:F40"/>
    <mergeCell ref="B41:F41"/>
  </mergeCells>
  <hyperlinks>
    <hyperlink ref="C6" location="'PPTO HOJA'!A28" display="'PPTO HOJA'!A28" xr:uid="{00000000-0004-0000-0D00-000000000000}"/>
    <hyperlink ref="N6" location="'PPTO HOJA'!A15" display="'PPTO HOJA'!A15" xr:uid="{00000000-0004-0000-0D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0D00-000000000000}">
          <x14:formula1>
            <xm:f>CUADRILLAS!$B$86:$B$101</xm:f>
          </x14:formula1>
          <xm:sqref>B38:F41</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9">
    <tabColor theme="9" tint="0.59999389629810485"/>
  </sheetPr>
  <dimension ref="A1:W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5.88671875" style="20" bestFit="1" customWidth="1"/>
    <col min="11" max="11" width="5.6640625" style="20" customWidth="1"/>
    <col min="12" max="13" width="11.44140625" style="20"/>
    <col min="14" max="14" width="11.5546875" style="20" bestFit="1" customWidth="1"/>
    <col min="15" max="16" width="11.44140625" style="20"/>
    <col min="17" max="17" width="11.5546875" style="20" bestFit="1" customWidth="1"/>
    <col min="18" max="18" width="13.44140625" style="20" bestFit="1" customWidth="1"/>
    <col min="19" max="19" width="11.5546875" style="20" bestFit="1" customWidth="1"/>
    <col min="20" max="20" width="13.109375" style="20" bestFit="1" customWidth="1"/>
    <col min="21" max="21" width="15.88671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337</v>
      </c>
      <c r="B6" s="29" t="s">
        <v>22</v>
      </c>
      <c r="C6" s="116">
        <f>+'PPTO HOJA'!A26</f>
        <v>3.01</v>
      </c>
      <c r="D6" s="28"/>
      <c r="E6" s="764" t="str">
        <f>+'PPTO HOJA'!B26</f>
        <v>S/I Tubería Presión PVC-P Ø 1 1/2" RDE 21</v>
      </c>
      <c r="F6" s="764"/>
      <c r="G6" s="764"/>
      <c r="H6" s="764"/>
      <c r="I6" s="30" t="s">
        <v>23</v>
      </c>
      <c r="J6" s="31" t="str">
        <f>'PPTO HOJA'!C26</f>
        <v>m</v>
      </c>
      <c r="L6" s="30" t="str">
        <f>A6</f>
        <v>III</v>
      </c>
      <c r="M6" s="29" t="s">
        <v>22</v>
      </c>
      <c r="N6" s="238">
        <f>C6</f>
        <v>3.01</v>
      </c>
      <c r="O6" s="28"/>
      <c r="P6" s="764" t="str">
        <f>E6</f>
        <v>S/I Tubería Presión PVC-P Ø 1 1/2" RDE 21</v>
      </c>
      <c r="Q6" s="764"/>
      <c r="R6" s="764"/>
      <c r="S6" s="764"/>
      <c r="T6" s="30" t="s">
        <v>23</v>
      </c>
      <c r="U6" s="31" t="str">
        <f>J6</f>
        <v>m</v>
      </c>
    </row>
    <row r="7" spans="1:21" ht="15" customHeight="1" x14ac:dyDescent="0.25">
      <c r="A7" s="22"/>
      <c r="B7" s="761" t="s">
        <v>199</v>
      </c>
      <c r="C7" s="761"/>
      <c r="D7" s="761"/>
      <c r="E7" s="761"/>
      <c r="F7" s="761"/>
      <c r="G7" s="761"/>
      <c r="H7" s="761"/>
      <c r="I7" s="761"/>
      <c r="J7" s="761"/>
      <c r="L7" s="22"/>
      <c r="M7" s="772" t="s">
        <v>199</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157</v>
      </c>
      <c r="L9" s="22"/>
      <c r="M9" s="771" t="s">
        <v>30</v>
      </c>
      <c r="N9" s="771"/>
      <c r="O9" s="771"/>
      <c r="P9" s="771"/>
      <c r="Q9" s="771"/>
      <c r="R9" s="206"/>
      <c r="S9" s="181"/>
      <c r="T9" s="208">
        <v>0.05</v>
      </c>
      <c r="U9" s="181">
        <f>ROUND(T9*U41,0)</f>
        <v>157</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157</v>
      </c>
      <c r="L15" s="22"/>
      <c r="M15" s="772" t="s">
        <v>31</v>
      </c>
      <c r="N15" s="772"/>
      <c r="O15" s="772"/>
      <c r="P15" s="772"/>
      <c r="Q15" s="772"/>
      <c r="R15" s="772"/>
      <c r="S15" s="772"/>
      <c r="T15" s="772"/>
      <c r="U15" s="181">
        <f>SUM(U9:U14)</f>
        <v>157</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3"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3"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3" ht="14.25" customHeight="1" x14ac:dyDescent="0.25">
      <c r="A19" s="22"/>
      <c r="B19" s="764" t="s">
        <v>202</v>
      </c>
      <c r="C19" s="764"/>
      <c r="D19" s="764"/>
      <c r="E19" s="764"/>
      <c r="F19" s="34">
        <v>1</v>
      </c>
      <c r="G19" s="31" t="str">
        <f>IF(F19=0,"",VLOOKUP(B19,'LISTADO DE MATERIALES'!$B$6:$D$311,2,FALSE))</f>
        <v>m</v>
      </c>
      <c r="H19" s="107">
        <v>0.05</v>
      </c>
      <c r="I19" s="24">
        <f>IF(F19=0,"",VLOOKUP(B19,'LISTADO DE MATERIALES'!$B$6:$D$311,3,FALSE))</f>
        <v>16430</v>
      </c>
      <c r="J19" s="24">
        <f>IF(I19="",0,ROUND((+F19*I19*(1+H19)),0))</f>
        <v>17252</v>
      </c>
      <c r="L19" s="22"/>
      <c r="M19" s="777" t="s">
        <v>202</v>
      </c>
      <c r="N19" s="777"/>
      <c r="O19" s="777"/>
      <c r="P19" s="777"/>
      <c r="Q19" s="180">
        <v>1</v>
      </c>
      <c r="R19" s="206" t="s">
        <v>190</v>
      </c>
      <c r="S19" s="209">
        <v>0.05</v>
      </c>
      <c r="T19" s="181">
        <v>16430</v>
      </c>
      <c r="U19" s="181">
        <f>IF(T19="",0,ROUND((+Q19*T19*(1+S19)),0))</f>
        <v>17252</v>
      </c>
      <c r="W19" s="274">
        <f>91127/6</f>
        <v>15187.833333333334</v>
      </c>
    </row>
    <row r="20" spans="1:23" ht="15" customHeight="1" x14ac:dyDescent="0.25">
      <c r="A20" s="22"/>
      <c r="B20" s="760" t="s">
        <v>192</v>
      </c>
      <c r="C20" s="760"/>
      <c r="D20" s="760"/>
      <c r="E20" s="760"/>
      <c r="F20" s="34">
        <v>7.0000000000000001E-3</v>
      </c>
      <c r="G20" s="31" t="str">
        <f>IF(F20=0,"",VLOOKUP(B20,'LISTADO DE MATERIALES'!$B$6:$D$311,2,FALSE))</f>
        <v>und</v>
      </c>
      <c r="H20" s="107">
        <v>0.05</v>
      </c>
      <c r="I20" s="24">
        <f>IF(F20=0,"",VLOOKUP(B20,'LISTADO DE MATERIALES'!$B$6:$D$311,3,FALSE))</f>
        <v>147850</v>
      </c>
      <c r="J20" s="24">
        <f t="shared" ref="J20:J24" si="2">IF(I20="",0,ROUND((+F20*I20*(1+H20)),0))</f>
        <v>1087</v>
      </c>
      <c r="L20" s="22"/>
      <c r="M20" s="771" t="s">
        <v>192</v>
      </c>
      <c r="N20" s="771"/>
      <c r="O20" s="771"/>
      <c r="P20" s="771"/>
      <c r="Q20" s="180">
        <v>7.0000000000000001E-3</v>
      </c>
      <c r="R20" s="206" t="s">
        <v>9</v>
      </c>
      <c r="S20" s="209"/>
      <c r="T20" s="212">
        <v>147850</v>
      </c>
      <c r="U20" s="181">
        <f t="shared" ref="U20:U24" si="3">IF(T20="",0,ROUND((+Q20*T20*(1+S20)),0))</f>
        <v>1035</v>
      </c>
    </row>
    <row r="21" spans="1:23" ht="15" customHeight="1" x14ac:dyDescent="0.25">
      <c r="A21" s="22"/>
      <c r="B21" s="760" t="s">
        <v>193</v>
      </c>
      <c r="C21" s="760"/>
      <c r="D21" s="760"/>
      <c r="E21" s="760"/>
      <c r="F21" s="34">
        <f>+F20</f>
        <v>7.0000000000000001E-3</v>
      </c>
      <c r="G21" s="31" t="str">
        <f>IF(F21=0,"",VLOOKUP(B21,'LISTADO DE MATERIALES'!$B$6:$D$311,2,FALSE))</f>
        <v>und</v>
      </c>
      <c r="H21" s="107">
        <v>0.05</v>
      </c>
      <c r="I21" s="24">
        <f>IF(F21=0,"",VLOOKUP(B21,'LISTADO DE MATERIALES'!$B$6:$D$311,3,FALSE))</f>
        <v>71305</v>
      </c>
      <c r="J21" s="24">
        <f t="shared" si="2"/>
        <v>524</v>
      </c>
      <c r="L21" s="22"/>
      <c r="M21" s="771" t="s">
        <v>193</v>
      </c>
      <c r="N21" s="771"/>
      <c r="O21" s="771"/>
      <c r="P21" s="771"/>
      <c r="Q21" s="180">
        <f>+Q20</f>
        <v>7.0000000000000001E-3</v>
      </c>
      <c r="R21" s="206" t="s">
        <v>9</v>
      </c>
      <c r="S21" s="209"/>
      <c r="T21" s="212">
        <v>71305</v>
      </c>
      <c r="U21" s="181">
        <f t="shared" si="3"/>
        <v>499</v>
      </c>
    </row>
    <row r="22" spans="1:23"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3"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3"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3" ht="15" customHeight="1" x14ac:dyDescent="0.25">
      <c r="A25" s="22"/>
      <c r="B25" s="761" t="s">
        <v>37</v>
      </c>
      <c r="C25" s="761"/>
      <c r="D25" s="761"/>
      <c r="E25" s="761"/>
      <c r="F25" s="761"/>
      <c r="G25" s="761"/>
      <c r="H25" s="761"/>
      <c r="I25" s="761"/>
      <c r="J25" s="24">
        <f>SUM(J19:J24)</f>
        <v>18863</v>
      </c>
      <c r="L25" s="22"/>
      <c r="M25" s="772" t="s">
        <v>37</v>
      </c>
      <c r="N25" s="772"/>
      <c r="O25" s="772"/>
      <c r="P25" s="772"/>
      <c r="Q25" s="772"/>
      <c r="R25" s="772"/>
      <c r="S25" s="772"/>
      <c r="T25" s="772"/>
      <c r="U25" s="181">
        <f>SUM(U19:U24)</f>
        <v>18786</v>
      </c>
    </row>
    <row r="26" spans="1:23" ht="7.5" customHeight="1" x14ac:dyDescent="0.25">
      <c r="A26" s="22"/>
      <c r="B26" s="25"/>
      <c r="C26" s="25"/>
      <c r="D26" s="25"/>
      <c r="E26" s="25"/>
      <c r="F26" s="25"/>
      <c r="G26" s="25"/>
      <c r="H26" s="25"/>
      <c r="I26" s="25"/>
      <c r="J26" s="26"/>
      <c r="L26" s="22"/>
      <c r="M26" s="25"/>
      <c r="N26" s="25"/>
      <c r="O26" s="25"/>
      <c r="P26" s="25"/>
      <c r="Q26" s="25"/>
      <c r="R26" s="25"/>
      <c r="S26" s="25"/>
      <c r="T26" s="25"/>
      <c r="U26" s="26"/>
    </row>
    <row r="27" spans="1:23"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3"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3" ht="15" customHeight="1" x14ac:dyDescent="0.25">
      <c r="A29" s="22"/>
      <c r="B29" s="760"/>
      <c r="C29" s="760"/>
      <c r="D29" s="760"/>
      <c r="E29" s="760"/>
      <c r="F29" s="760"/>
      <c r="G29" s="31"/>
      <c r="H29" s="34"/>
      <c r="I29" s="24"/>
      <c r="J29" s="24">
        <f>ROUND((I29*H29*G29),0)</f>
        <v>0</v>
      </c>
      <c r="L29" s="22"/>
      <c r="M29" s="771"/>
      <c r="N29" s="771"/>
      <c r="O29" s="771"/>
      <c r="P29" s="771"/>
      <c r="Q29" s="771"/>
      <c r="R29" s="206"/>
      <c r="S29" s="180"/>
      <c r="T29" s="181"/>
      <c r="U29" s="181">
        <f>ROUND((T29*S29*R29),0)</f>
        <v>0</v>
      </c>
    </row>
    <row r="30" spans="1:23"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3"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3"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73</v>
      </c>
      <c r="C37" s="760"/>
      <c r="D37" s="760"/>
      <c r="E37" s="760"/>
      <c r="F37" s="760"/>
      <c r="G37" s="24">
        <f>IF(B37="","",VLOOKUP(B37,CUADRILLAS!$B$87:$C$101,2,FALSE))</f>
        <v>628854.93333333335</v>
      </c>
      <c r="H37" s="31">
        <v>1</v>
      </c>
      <c r="I37" s="34">
        <v>200</v>
      </c>
      <c r="J37" s="24">
        <f>ROUND(+IF(I37=0,0,G37*H37/I37),0)</f>
        <v>3144</v>
      </c>
      <c r="L37" s="22"/>
      <c r="M37" s="771" t="s">
        <v>73</v>
      </c>
      <c r="N37" s="771"/>
      <c r="O37" s="771"/>
      <c r="P37" s="771"/>
      <c r="Q37" s="771"/>
      <c r="R37" s="181">
        <v>628854.93333333335</v>
      </c>
      <c r="S37" s="206">
        <v>1</v>
      </c>
      <c r="T37" s="180">
        <v>200</v>
      </c>
      <c r="U37" s="181">
        <f>ROUND(+IF(T37=0,0,R37*S37/T37),0)</f>
        <v>3144</v>
      </c>
    </row>
    <row r="38" spans="1:21" ht="15" customHeight="1" x14ac:dyDescent="0.25">
      <c r="A38" s="22"/>
      <c r="B38" s="760"/>
      <c r="C38" s="760"/>
      <c r="D38" s="760"/>
      <c r="E38" s="760"/>
      <c r="F38" s="760"/>
      <c r="G38" s="24" t="str">
        <f>IF(B38="","",VLOOKUP(B38,CUADRILLAS!$B$87:$C$101,2,FALSE))</f>
        <v/>
      </c>
      <c r="H38" s="31"/>
      <c r="I38" s="34"/>
      <c r="J38" s="24">
        <f>ROUND(+IF(I38=0,0,G38*H38/I38),0)</f>
        <v>0</v>
      </c>
      <c r="L38" s="22"/>
      <c r="M38" s="771"/>
      <c r="N38" s="771"/>
      <c r="O38" s="771"/>
      <c r="P38" s="771"/>
      <c r="Q38" s="771"/>
      <c r="R38" s="181" t="s">
        <v>501</v>
      </c>
      <c r="S38" s="206"/>
      <c r="T38" s="180"/>
      <c r="U38" s="181">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3144</v>
      </c>
      <c r="L41" s="22"/>
      <c r="M41" s="772" t="s">
        <v>42</v>
      </c>
      <c r="N41" s="772"/>
      <c r="O41" s="772"/>
      <c r="P41" s="772"/>
      <c r="Q41" s="772"/>
      <c r="R41" s="772"/>
      <c r="S41" s="772"/>
      <c r="T41" s="772"/>
      <c r="U41" s="181">
        <f>SUM(U37:U40)</f>
        <v>3144</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22164</v>
      </c>
      <c r="L43" s="27"/>
      <c r="M43" s="773" t="s">
        <v>43</v>
      </c>
      <c r="N43" s="773"/>
      <c r="O43" s="773"/>
      <c r="P43" s="773"/>
      <c r="Q43" s="773"/>
      <c r="R43" s="773"/>
      <c r="S43" s="773"/>
      <c r="T43" s="773"/>
      <c r="U43" s="210">
        <f>+U41+U33+U15+U25</f>
        <v>22087</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E6:H6"/>
    <mergeCell ref="A1:C4"/>
    <mergeCell ref="D1:J1"/>
    <mergeCell ref="D2:J2"/>
    <mergeCell ref="D3:J3"/>
    <mergeCell ref="D4:J4"/>
    <mergeCell ref="B19:E19"/>
    <mergeCell ref="B7:J7"/>
    <mergeCell ref="B8:F8"/>
    <mergeCell ref="B9:F9"/>
    <mergeCell ref="B10:F10"/>
    <mergeCell ref="B11:F11"/>
    <mergeCell ref="B12:F12"/>
    <mergeCell ref="B13:F13"/>
    <mergeCell ref="B14:F14"/>
    <mergeCell ref="B15:I15"/>
    <mergeCell ref="B17:J17"/>
    <mergeCell ref="B18:E18"/>
    <mergeCell ref="B32:F32"/>
    <mergeCell ref="B20:E20"/>
    <mergeCell ref="B21:E21"/>
    <mergeCell ref="B22:E22"/>
    <mergeCell ref="B23:E23"/>
    <mergeCell ref="B24:E24"/>
    <mergeCell ref="B25:I25"/>
    <mergeCell ref="B27:J27"/>
    <mergeCell ref="B28:F28"/>
    <mergeCell ref="B29:F29"/>
    <mergeCell ref="B30:F30"/>
    <mergeCell ref="B31:F31"/>
    <mergeCell ref="B40:F40"/>
    <mergeCell ref="B41:I41"/>
    <mergeCell ref="B43:I43"/>
    <mergeCell ref="B33:I33"/>
    <mergeCell ref="B35:J35"/>
    <mergeCell ref="B36:F36"/>
    <mergeCell ref="B37:F37"/>
    <mergeCell ref="B38:F38"/>
    <mergeCell ref="B39:F39"/>
  </mergeCells>
  <hyperlinks>
    <hyperlink ref="C6" location="'PPTO HOJA'!A34" display="'PPTO HOJA'!A34" xr:uid="{00000000-0004-0000-0E00-000000000000}"/>
    <hyperlink ref="N6" location="'PPTO HOJA'!A15" display="'PPTO HOJA'!A15" xr:uid="{00000000-0004-0000-0E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0E00-000000000000}">
          <x14:formula1>
            <xm:f>CUADRILLAS!$B$86:$B$101</xm:f>
          </x14:formula1>
          <xm:sqref>B37:F40</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20">
    <tabColor theme="9" tint="0.59999389629810485"/>
  </sheetPr>
  <dimension ref="A1:W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5.88671875" style="20" bestFit="1" customWidth="1"/>
    <col min="11" max="11" width="6.109375" style="20" customWidth="1"/>
    <col min="12" max="13" width="11.44140625" style="20"/>
    <col min="14" max="14" width="11.5546875" style="20" bestFit="1" customWidth="1"/>
    <col min="15" max="16" width="11.44140625" style="20"/>
    <col min="17" max="17" width="11.5546875" style="20" bestFit="1" customWidth="1"/>
    <col min="18" max="18" width="13.44140625" style="20" bestFit="1" customWidth="1"/>
    <col min="19" max="19" width="11.5546875" style="20" bestFit="1" customWidth="1"/>
    <col min="20" max="20" width="13.109375" style="20" bestFit="1" customWidth="1"/>
    <col min="21" max="21" width="15.88671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60"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337</v>
      </c>
      <c r="B6" s="29" t="s">
        <v>22</v>
      </c>
      <c r="C6" s="116">
        <f>+'PPTO HOJA'!A27</f>
        <v>3.0199999999999996</v>
      </c>
      <c r="D6" s="28"/>
      <c r="E6" s="764" t="str">
        <f>+'PPTO HOJA'!B27</f>
        <v>S/I Tubería Presión PVC-P Ø 1 1/4" RDE 21</v>
      </c>
      <c r="F6" s="764"/>
      <c r="G6" s="764"/>
      <c r="H6" s="764"/>
      <c r="I6" s="30" t="s">
        <v>23</v>
      </c>
      <c r="J6" s="31" t="str">
        <f>'PPTO HOJA'!C27</f>
        <v>m</v>
      </c>
      <c r="L6" s="30" t="str">
        <f>A6</f>
        <v>III</v>
      </c>
      <c r="M6" s="29" t="s">
        <v>22</v>
      </c>
      <c r="N6" s="238">
        <f>C6</f>
        <v>3.0199999999999996</v>
      </c>
      <c r="O6" s="28"/>
      <c r="P6" s="764" t="str">
        <f>E6</f>
        <v>S/I Tubería Presión PVC-P Ø 1 1/4" RDE 21</v>
      </c>
      <c r="Q6" s="764"/>
      <c r="R6" s="764"/>
      <c r="S6" s="764"/>
      <c r="T6" s="30" t="s">
        <v>23</v>
      </c>
      <c r="U6" s="31" t="str">
        <f>J6</f>
        <v>m</v>
      </c>
    </row>
    <row r="7" spans="1:21" ht="15" customHeight="1" x14ac:dyDescent="0.25">
      <c r="A7" s="22"/>
      <c r="B7" s="761" t="s">
        <v>199</v>
      </c>
      <c r="C7" s="761"/>
      <c r="D7" s="761"/>
      <c r="E7" s="761"/>
      <c r="F7" s="761"/>
      <c r="G7" s="761"/>
      <c r="H7" s="761"/>
      <c r="I7" s="761"/>
      <c r="J7" s="761"/>
      <c r="L7" s="22"/>
      <c r="M7" s="772" t="s">
        <v>199</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137</v>
      </c>
      <c r="L9" s="22"/>
      <c r="M9" s="771" t="s">
        <v>30</v>
      </c>
      <c r="N9" s="771"/>
      <c r="O9" s="771"/>
      <c r="P9" s="771"/>
      <c r="Q9" s="771"/>
      <c r="R9" s="206"/>
      <c r="S9" s="181"/>
      <c r="T9" s="208">
        <v>0.05</v>
      </c>
      <c r="U9" s="181">
        <f>ROUND(T9*U41,0)</f>
        <v>137</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137</v>
      </c>
      <c r="L15" s="22"/>
      <c r="M15" s="772" t="s">
        <v>31</v>
      </c>
      <c r="N15" s="772"/>
      <c r="O15" s="772"/>
      <c r="P15" s="772"/>
      <c r="Q15" s="772"/>
      <c r="R15" s="772"/>
      <c r="S15" s="772"/>
      <c r="T15" s="772"/>
      <c r="U15" s="181">
        <f>SUM(U9:U14)</f>
        <v>137</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3"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3"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3" ht="14.25" customHeight="1" x14ac:dyDescent="0.25">
      <c r="A19" s="22"/>
      <c r="B19" s="764" t="s">
        <v>203</v>
      </c>
      <c r="C19" s="764"/>
      <c r="D19" s="764"/>
      <c r="E19" s="764"/>
      <c r="F19" s="34">
        <v>1</v>
      </c>
      <c r="G19" s="31" t="str">
        <f>IF(F19=0,"",VLOOKUP(B19,'LISTADO DE MATERIALES'!$B$6:$D$311,2,FALSE))</f>
        <v>m</v>
      </c>
      <c r="H19" s="107">
        <v>0.05</v>
      </c>
      <c r="I19" s="24">
        <f>IF(F19=0,"",VLOOKUP(B19,'LISTADO DE MATERIALES'!$B$6:$D$311,3,FALSE))</f>
        <v>13385</v>
      </c>
      <c r="J19" s="24">
        <f>IF(I19="",0,ROUND((+F19*I19*(1+H19)),0))</f>
        <v>14054</v>
      </c>
      <c r="L19" s="22"/>
      <c r="M19" s="777" t="s">
        <v>203</v>
      </c>
      <c r="N19" s="777"/>
      <c r="O19" s="777"/>
      <c r="P19" s="777"/>
      <c r="Q19" s="180">
        <v>1</v>
      </c>
      <c r="R19" s="206" t="s">
        <v>190</v>
      </c>
      <c r="S19" s="272">
        <v>0.05</v>
      </c>
      <c r="T19" s="212">
        <v>13385</v>
      </c>
      <c r="U19" s="181">
        <f>IF(T19="",0,ROUND((+Q19*T19*(1+S19)),0))</f>
        <v>14054</v>
      </c>
      <c r="W19" s="273">
        <f>69791/6</f>
        <v>11631.833333333334</v>
      </c>
    </row>
    <row r="20" spans="1:23" ht="15" customHeight="1" x14ac:dyDescent="0.25">
      <c r="A20" s="22"/>
      <c r="B20" s="760" t="s">
        <v>192</v>
      </c>
      <c r="C20" s="760"/>
      <c r="D20" s="760"/>
      <c r="E20" s="760"/>
      <c r="F20" s="34">
        <v>6.1999999999999998E-3</v>
      </c>
      <c r="G20" s="31" t="str">
        <f>IF(F20=0,"",VLOOKUP(B20,'LISTADO DE MATERIALES'!$B$6:$D$311,2,FALSE))</f>
        <v>und</v>
      </c>
      <c r="H20" s="107">
        <v>0.05</v>
      </c>
      <c r="I20" s="24">
        <f>IF(F20=0,"",VLOOKUP(B20,'LISTADO DE MATERIALES'!$B$6:$D$311,3,FALSE))</f>
        <v>147850</v>
      </c>
      <c r="J20" s="24">
        <f t="shared" ref="J20:J24" si="2">IF(I20="",0,ROUND((+F20*I20*(1+H20)),0))</f>
        <v>963</v>
      </c>
      <c r="L20" s="22"/>
      <c r="M20" s="771" t="s">
        <v>192</v>
      </c>
      <c r="N20" s="771"/>
      <c r="O20" s="771"/>
      <c r="P20" s="771"/>
      <c r="Q20" s="180">
        <v>6.1999999999999998E-3</v>
      </c>
      <c r="R20" s="206" t="s">
        <v>9</v>
      </c>
      <c r="S20" s="272"/>
      <c r="T20" s="212">
        <v>147850</v>
      </c>
      <c r="U20" s="181">
        <f t="shared" ref="U20:U24" si="3">IF(T20="",0,ROUND((+Q20*T20*(1+S20)),0))</f>
        <v>917</v>
      </c>
    </row>
    <row r="21" spans="1:23" ht="15" customHeight="1" x14ac:dyDescent="0.25">
      <c r="A21" s="22"/>
      <c r="B21" s="760" t="s">
        <v>193</v>
      </c>
      <c r="C21" s="760"/>
      <c r="D21" s="760"/>
      <c r="E21" s="760"/>
      <c r="F21" s="34">
        <f>+F20</f>
        <v>6.1999999999999998E-3</v>
      </c>
      <c r="G21" s="31" t="str">
        <f>IF(F21=0,"",VLOOKUP(B21,'LISTADO DE MATERIALES'!$B$6:$D$311,2,FALSE))</f>
        <v>und</v>
      </c>
      <c r="H21" s="107">
        <v>0.05</v>
      </c>
      <c r="I21" s="24">
        <f>IF(F21=0,"",VLOOKUP(B21,'LISTADO DE MATERIALES'!$B$6:$D$311,3,FALSE))</f>
        <v>71305</v>
      </c>
      <c r="J21" s="24">
        <f t="shared" si="2"/>
        <v>464</v>
      </c>
      <c r="L21" s="22"/>
      <c r="M21" s="771" t="s">
        <v>193</v>
      </c>
      <c r="N21" s="771"/>
      <c r="O21" s="771"/>
      <c r="P21" s="771"/>
      <c r="Q21" s="180">
        <f>+Q20</f>
        <v>6.1999999999999998E-3</v>
      </c>
      <c r="R21" s="206" t="s">
        <v>9</v>
      </c>
      <c r="S21" s="272"/>
      <c r="T21" s="212">
        <v>71305</v>
      </c>
      <c r="U21" s="181">
        <f t="shared" si="3"/>
        <v>442</v>
      </c>
    </row>
    <row r="22" spans="1:23"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3"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3"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3" ht="15" customHeight="1" x14ac:dyDescent="0.25">
      <c r="A25" s="22"/>
      <c r="B25" s="761" t="s">
        <v>37</v>
      </c>
      <c r="C25" s="761"/>
      <c r="D25" s="761"/>
      <c r="E25" s="761"/>
      <c r="F25" s="761"/>
      <c r="G25" s="761"/>
      <c r="H25" s="761"/>
      <c r="I25" s="761"/>
      <c r="J25" s="24">
        <f>SUM(J19:J24)</f>
        <v>15481</v>
      </c>
      <c r="L25" s="22"/>
      <c r="M25" s="772" t="s">
        <v>37</v>
      </c>
      <c r="N25" s="772"/>
      <c r="O25" s="772"/>
      <c r="P25" s="772"/>
      <c r="Q25" s="772"/>
      <c r="R25" s="772"/>
      <c r="S25" s="772"/>
      <c r="T25" s="772"/>
      <c r="U25" s="181">
        <f>SUM(U19:U24)</f>
        <v>15413</v>
      </c>
    </row>
    <row r="26" spans="1:23" ht="7.5" customHeight="1" x14ac:dyDescent="0.25">
      <c r="A26" s="22"/>
      <c r="B26" s="25"/>
      <c r="C26" s="25"/>
      <c r="D26" s="25"/>
      <c r="E26" s="25"/>
      <c r="F26" s="25"/>
      <c r="G26" s="25"/>
      <c r="H26" s="25"/>
      <c r="I26" s="25"/>
      <c r="J26" s="26"/>
      <c r="L26" s="22"/>
      <c r="M26" s="25"/>
      <c r="N26" s="25"/>
      <c r="O26" s="25"/>
      <c r="P26" s="25"/>
      <c r="Q26" s="25"/>
      <c r="R26" s="25"/>
      <c r="S26" s="25"/>
      <c r="T26" s="25"/>
      <c r="U26" s="26"/>
    </row>
    <row r="27" spans="1:23"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3"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3" ht="15" customHeight="1" x14ac:dyDescent="0.25">
      <c r="A29" s="22"/>
      <c r="B29" s="760"/>
      <c r="C29" s="760"/>
      <c r="D29" s="760"/>
      <c r="E29" s="760"/>
      <c r="F29" s="760"/>
      <c r="G29" s="31"/>
      <c r="H29" s="34"/>
      <c r="I29" s="24"/>
      <c r="J29" s="24">
        <f>ROUND((I29*H29*G29),0)</f>
        <v>0</v>
      </c>
      <c r="L29" s="22"/>
      <c r="M29" s="771"/>
      <c r="N29" s="771"/>
      <c r="O29" s="771"/>
      <c r="P29" s="771"/>
      <c r="Q29" s="771"/>
      <c r="R29" s="206"/>
      <c r="S29" s="180"/>
      <c r="T29" s="181"/>
      <c r="U29" s="181">
        <f>ROUND((T29*S29*R29),0)</f>
        <v>0</v>
      </c>
    </row>
    <row r="30" spans="1:23"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3"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3"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73</v>
      </c>
      <c r="C37" s="760"/>
      <c r="D37" s="760"/>
      <c r="E37" s="760"/>
      <c r="F37" s="760"/>
      <c r="G37" s="24">
        <f>IF(B37="","",VLOOKUP(B37,CUADRILLAS!$B$87:$C$101,2,FALSE))</f>
        <v>628854.93333333335</v>
      </c>
      <c r="H37" s="31">
        <v>1</v>
      </c>
      <c r="I37" s="34">
        <v>230</v>
      </c>
      <c r="J37" s="24">
        <f>ROUND(+IF(I37=0,0,G37*H37/I37),0)</f>
        <v>2734</v>
      </c>
      <c r="L37" s="22"/>
      <c r="M37" s="771" t="s">
        <v>73</v>
      </c>
      <c r="N37" s="771"/>
      <c r="O37" s="771"/>
      <c r="P37" s="771"/>
      <c r="Q37" s="771"/>
      <c r="R37" s="181">
        <v>628854.93333333335</v>
      </c>
      <c r="S37" s="206">
        <v>1</v>
      </c>
      <c r="T37" s="180">
        <v>230</v>
      </c>
      <c r="U37" s="181">
        <f>ROUND(+IF(T37=0,0,R37*S37/T37),0)</f>
        <v>2734</v>
      </c>
    </row>
    <row r="38" spans="1:21" ht="15" customHeight="1" x14ac:dyDescent="0.25">
      <c r="A38" s="22"/>
      <c r="B38" s="760"/>
      <c r="C38" s="760"/>
      <c r="D38" s="760"/>
      <c r="E38" s="760"/>
      <c r="F38" s="760"/>
      <c r="G38" s="24" t="str">
        <f>IF(B38="","",VLOOKUP(B38,CUADRILLAS!$B$87:$C$101,2,FALSE))</f>
        <v/>
      </c>
      <c r="H38" s="31"/>
      <c r="I38" s="34"/>
      <c r="J38" s="24">
        <f>ROUND(+IF(I38=0,0,G38*H38/I38),0)</f>
        <v>0</v>
      </c>
      <c r="L38" s="22"/>
      <c r="M38" s="771"/>
      <c r="N38" s="771"/>
      <c r="O38" s="771"/>
      <c r="P38" s="771"/>
      <c r="Q38" s="771"/>
      <c r="R38" s="181" t="s">
        <v>501</v>
      </c>
      <c r="S38" s="206"/>
      <c r="T38" s="180"/>
      <c r="U38" s="181">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2734</v>
      </c>
      <c r="L41" s="22"/>
      <c r="M41" s="772" t="s">
        <v>42</v>
      </c>
      <c r="N41" s="772"/>
      <c r="O41" s="772"/>
      <c r="P41" s="772"/>
      <c r="Q41" s="772"/>
      <c r="R41" s="772"/>
      <c r="S41" s="772"/>
      <c r="T41" s="772"/>
      <c r="U41" s="181">
        <f>SUM(U37:U40)</f>
        <v>2734</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18352</v>
      </c>
      <c r="L43" s="27"/>
      <c r="M43" s="773" t="s">
        <v>43</v>
      </c>
      <c r="N43" s="773"/>
      <c r="O43" s="773"/>
      <c r="P43" s="773"/>
      <c r="Q43" s="773"/>
      <c r="R43" s="773"/>
      <c r="S43" s="773"/>
      <c r="T43" s="773"/>
      <c r="U43" s="210">
        <f>+U41+U33+U15+U25</f>
        <v>18284</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E6:H6"/>
    <mergeCell ref="A1:C4"/>
    <mergeCell ref="D1:J1"/>
    <mergeCell ref="D2:J2"/>
    <mergeCell ref="D3:J3"/>
    <mergeCell ref="D4:J4"/>
    <mergeCell ref="B19:E19"/>
    <mergeCell ref="B7:J7"/>
    <mergeCell ref="B8:F8"/>
    <mergeCell ref="B9:F9"/>
    <mergeCell ref="B10:F10"/>
    <mergeCell ref="B11:F11"/>
    <mergeCell ref="B12:F12"/>
    <mergeCell ref="B13:F13"/>
    <mergeCell ref="B14:F14"/>
    <mergeCell ref="B15:I15"/>
    <mergeCell ref="B17:J17"/>
    <mergeCell ref="B18:E18"/>
    <mergeCell ref="B32:F32"/>
    <mergeCell ref="B20:E20"/>
    <mergeCell ref="B21:E21"/>
    <mergeCell ref="B22:E22"/>
    <mergeCell ref="B23:E23"/>
    <mergeCell ref="B24:E24"/>
    <mergeCell ref="B25:I25"/>
    <mergeCell ref="B27:J27"/>
    <mergeCell ref="B28:F28"/>
    <mergeCell ref="B29:F29"/>
    <mergeCell ref="B30:F30"/>
    <mergeCell ref="B31:F31"/>
    <mergeCell ref="B40:F40"/>
    <mergeCell ref="B41:I41"/>
    <mergeCell ref="B43:I43"/>
    <mergeCell ref="B33:I33"/>
    <mergeCell ref="B35:J35"/>
    <mergeCell ref="B36:F36"/>
    <mergeCell ref="B37:F37"/>
    <mergeCell ref="B38:F38"/>
    <mergeCell ref="B39:F39"/>
  </mergeCells>
  <hyperlinks>
    <hyperlink ref="C6" location="'PPTO HOJA'!A35" display="'PPTO HOJA'!A35" xr:uid="{00000000-0004-0000-0F00-000000000000}"/>
    <hyperlink ref="N6" location="'PPTO HOJA'!A15" display="'PPTO HOJA'!A15" xr:uid="{00000000-0004-0000-0F00-000001000000}"/>
  </hyperlinks>
  <pageMargins left="0.7" right="0.7" top="0.75" bottom="0.75" header="0.3" footer="0.3"/>
  <pageSetup paperSize="9" scale="37"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0F00-000000000000}">
          <x14:formula1>
            <xm:f>CUADRILLAS!$B$86:$B$101</xm:f>
          </x14:formula1>
          <xm:sqref>B37:F40</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22">
    <tabColor theme="9" tint="0.59999389629810485"/>
  </sheetPr>
  <dimension ref="A1:W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4.88671875" style="20" bestFit="1" customWidth="1"/>
    <col min="11" max="11" width="6.6640625" style="20" customWidth="1"/>
    <col min="12" max="13" width="11.44140625" style="20"/>
    <col min="14" max="14" width="11.5546875" style="20" bestFit="1" customWidth="1"/>
    <col min="15" max="16" width="11.44140625" style="20"/>
    <col min="17" max="17" width="11.5546875" style="20" bestFit="1" customWidth="1"/>
    <col min="18" max="18" width="13.44140625" style="20" bestFit="1" customWidth="1"/>
    <col min="19" max="19" width="11.5546875" style="20" bestFit="1" customWidth="1"/>
    <col min="20" max="20" width="13.109375" style="20" bestFit="1" customWidth="1"/>
    <col min="21" max="21" width="14.88671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76.2"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337</v>
      </c>
      <c r="B6" s="29" t="s">
        <v>22</v>
      </c>
      <c r="C6" s="116">
        <f>+'PPTO HOJA'!A28</f>
        <v>3.0299999999999994</v>
      </c>
      <c r="D6" s="28"/>
      <c r="E6" s="764" t="str">
        <f>+'PPTO HOJA'!B28</f>
        <v>S/I Tubería Presión PVC-P Ø 3/4" RDE 21</v>
      </c>
      <c r="F6" s="764"/>
      <c r="G6" s="764"/>
      <c r="H6" s="764"/>
      <c r="I6" s="30" t="s">
        <v>23</v>
      </c>
      <c r="J6" s="31" t="str">
        <f>'PPTO HOJA'!C28</f>
        <v>m</v>
      </c>
      <c r="L6" s="30" t="str">
        <f>A6</f>
        <v>III</v>
      </c>
      <c r="M6" s="29" t="s">
        <v>22</v>
      </c>
      <c r="N6" s="238">
        <f>C6</f>
        <v>3.0299999999999994</v>
      </c>
      <c r="O6" s="28"/>
      <c r="P6" s="764" t="str">
        <f>E6</f>
        <v>S/I Tubería Presión PVC-P Ø 3/4" RDE 21</v>
      </c>
      <c r="Q6" s="764"/>
      <c r="R6" s="764"/>
      <c r="S6" s="764"/>
      <c r="T6" s="30" t="s">
        <v>23</v>
      </c>
      <c r="U6" s="31" t="str">
        <f>J6</f>
        <v>m</v>
      </c>
    </row>
    <row r="7" spans="1:21" ht="15" customHeight="1" x14ac:dyDescent="0.25">
      <c r="A7" s="22"/>
      <c r="B7" s="761" t="s">
        <v>199</v>
      </c>
      <c r="C7" s="761"/>
      <c r="D7" s="761"/>
      <c r="E7" s="761"/>
      <c r="F7" s="761"/>
      <c r="G7" s="761"/>
      <c r="H7" s="761"/>
      <c r="I7" s="761"/>
      <c r="J7" s="761"/>
      <c r="L7" s="22"/>
      <c r="M7" s="772" t="s">
        <v>199</v>
      </c>
      <c r="N7" s="772"/>
      <c r="O7" s="772"/>
      <c r="P7" s="772"/>
      <c r="Q7" s="772"/>
      <c r="R7" s="772"/>
      <c r="S7" s="772"/>
      <c r="T7" s="772"/>
      <c r="U7" s="772"/>
    </row>
    <row r="8" spans="1:21" ht="26.4"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116</v>
      </c>
      <c r="L9" s="22"/>
      <c r="M9" s="771" t="s">
        <v>30</v>
      </c>
      <c r="N9" s="771"/>
      <c r="O9" s="771"/>
      <c r="P9" s="771"/>
      <c r="Q9" s="771"/>
      <c r="R9" s="206"/>
      <c r="S9" s="181"/>
      <c r="T9" s="208">
        <v>0.05</v>
      </c>
      <c r="U9" s="181">
        <f>ROUND(T9*U41,0)</f>
        <v>116</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116</v>
      </c>
      <c r="L15" s="22"/>
      <c r="M15" s="772" t="s">
        <v>31</v>
      </c>
      <c r="N15" s="772"/>
      <c r="O15" s="772"/>
      <c r="P15" s="772"/>
      <c r="Q15" s="772"/>
      <c r="R15" s="772"/>
      <c r="S15" s="772"/>
      <c r="T15" s="772"/>
      <c r="U15" s="181">
        <f>SUM(U9:U14)</f>
        <v>116</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3"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3"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3" ht="14.25" customHeight="1" x14ac:dyDescent="0.25">
      <c r="A19" s="22"/>
      <c r="B19" s="764" t="s">
        <v>205</v>
      </c>
      <c r="C19" s="764"/>
      <c r="D19" s="764"/>
      <c r="E19" s="764"/>
      <c r="F19" s="34">
        <v>1</v>
      </c>
      <c r="G19" s="31" t="str">
        <f>IF(F19=0,"",VLOOKUP(B19,'LISTADO DE MATERIALES'!$B$6:$D$311,2,FALSE))</f>
        <v>m</v>
      </c>
      <c r="H19" s="107">
        <v>0.05</v>
      </c>
      <c r="I19" s="24">
        <f>IF(F19=0,"",VLOOKUP(B19,'LISTADO DE MATERIALES'!$B$6:$D$311,3,FALSE))</f>
        <v>5377</v>
      </c>
      <c r="J19" s="24">
        <f>IF(I19="",0,ROUND((+F19*I19*(1+H19)),0))</f>
        <v>5646</v>
      </c>
      <c r="L19" s="22"/>
      <c r="M19" s="777" t="s">
        <v>205</v>
      </c>
      <c r="N19" s="777"/>
      <c r="O19" s="777"/>
      <c r="P19" s="777"/>
      <c r="Q19" s="180">
        <v>1</v>
      </c>
      <c r="R19" s="206" t="s">
        <v>190</v>
      </c>
      <c r="S19" s="209">
        <v>0.05</v>
      </c>
      <c r="T19" s="212">
        <v>5377</v>
      </c>
      <c r="U19" s="181">
        <f>IF(T19="",0,ROUND((+Q19*T19*(1+S19)),0))</f>
        <v>5646</v>
      </c>
      <c r="W19" s="273">
        <f>41579/6</f>
        <v>6929.833333333333</v>
      </c>
    </row>
    <row r="20" spans="1:23" ht="15" customHeight="1" x14ac:dyDescent="0.25">
      <c r="A20" s="22"/>
      <c r="B20" s="760" t="s">
        <v>192</v>
      </c>
      <c r="C20" s="760"/>
      <c r="D20" s="760"/>
      <c r="E20" s="760"/>
      <c r="F20" s="34">
        <v>5.0000000000000001E-3</v>
      </c>
      <c r="G20" s="31" t="str">
        <f>IF(F20=0,"",VLOOKUP(B20,'LISTADO DE MATERIALES'!$B$6:$D$311,2,FALSE))</f>
        <v>und</v>
      </c>
      <c r="H20" s="107">
        <v>0.05</v>
      </c>
      <c r="I20" s="24">
        <f>IF(F20=0,"",VLOOKUP(B20,'LISTADO DE MATERIALES'!$B$6:$D$311,3,FALSE))</f>
        <v>147850</v>
      </c>
      <c r="J20" s="24">
        <f t="shared" ref="J20:J24" si="2">IF(I20="",0,ROUND((+F20*I20*(1+H20)),0))</f>
        <v>776</v>
      </c>
      <c r="L20" s="22"/>
      <c r="M20" s="771" t="s">
        <v>192</v>
      </c>
      <c r="N20" s="771"/>
      <c r="O20" s="771"/>
      <c r="P20" s="771"/>
      <c r="Q20" s="180">
        <v>5.0000000000000001E-3</v>
      </c>
      <c r="R20" s="206" t="s">
        <v>9</v>
      </c>
      <c r="S20" s="209"/>
      <c r="T20" s="212">
        <v>147850</v>
      </c>
      <c r="U20" s="181">
        <f t="shared" ref="U20:U24" si="3">IF(T20="",0,ROUND((+Q20*T20*(1+S20)),0))</f>
        <v>739</v>
      </c>
    </row>
    <row r="21" spans="1:23" ht="15" customHeight="1" x14ac:dyDescent="0.25">
      <c r="A21" s="22"/>
      <c r="B21" s="760" t="s">
        <v>193</v>
      </c>
      <c r="C21" s="760"/>
      <c r="D21" s="760"/>
      <c r="E21" s="760"/>
      <c r="F21" s="34">
        <f>+F20</f>
        <v>5.0000000000000001E-3</v>
      </c>
      <c r="G21" s="31" t="str">
        <f>IF(F21=0,"",VLOOKUP(B21,'LISTADO DE MATERIALES'!$B$6:$D$311,2,FALSE))</f>
        <v>und</v>
      </c>
      <c r="H21" s="107">
        <v>0.05</v>
      </c>
      <c r="I21" s="24">
        <f>IF(F21=0,"",VLOOKUP(B21,'LISTADO DE MATERIALES'!$B$6:$D$311,3,FALSE))</f>
        <v>71305</v>
      </c>
      <c r="J21" s="24">
        <f t="shared" si="2"/>
        <v>374</v>
      </c>
      <c r="L21" s="22"/>
      <c r="M21" s="771" t="s">
        <v>193</v>
      </c>
      <c r="N21" s="771"/>
      <c r="O21" s="771"/>
      <c r="P21" s="771"/>
      <c r="Q21" s="180">
        <f>+Q20</f>
        <v>5.0000000000000001E-3</v>
      </c>
      <c r="R21" s="206" t="s">
        <v>9</v>
      </c>
      <c r="S21" s="209"/>
      <c r="T21" s="212">
        <v>71305</v>
      </c>
      <c r="U21" s="181">
        <f t="shared" si="3"/>
        <v>357</v>
      </c>
    </row>
    <row r="22" spans="1:23"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3"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3"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3" ht="15" customHeight="1" x14ac:dyDescent="0.25">
      <c r="A25" s="22"/>
      <c r="B25" s="761" t="s">
        <v>37</v>
      </c>
      <c r="C25" s="761"/>
      <c r="D25" s="761"/>
      <c r="E25" s="761"/>
      <c r="F25" s="761"/>
      <c r="G25" s="761"/>
      <c r="H25" s="761"/>
      <c r="I25" s="761"/>
      <c r="J25" s="24">
        <f>SUM(J19:J24)</f>
        <v>6796</v>
      </c>
      <c r="L25" s="22"/>
      <c r="M25" s="772" t="s">
        <v>37</v>
      </c>
      <c r="N25" s="772"/>
      <c r="O25" s="772"/>
      <c r="P25" s="772"/>
      <c r="Q25" s="772"/>
      <c r="R25" s="772"/>
      <c r="S25" s="772"/>
      <c r="T25" s="772"/>
      <c r="U25" s="181">
        <f>SUM(U19:U24)</f>
        <v>6742</v>
      </c>
    </row>
    <row r="26" spans="1:23" ht="7.5" customHeight="1" x14ac:dyDescent="0.25">
      <c r="A26" s="22"/>
      <c r="B26" s="25"/>
      <c r="C26" s="25"/>
      <c r="D26" s="25"/>
      <c r="E26" s="25"/>
      <c r="F26" s="25"/>
      <c r="G26" s="25"/>
      <c r="H26" s="25"/>
      <c r="I26" s="25"/>
      <c r="J26" s="26"/>
      <c r="L26" s="22"/>
      <c r="M26" s="25"/>
      <c r="N26" s="25"/>
      <c r="O26" s="25"/>
      <c r="P26" s="25"/>
      <c r="Q26" s="25"/>
      <c r="R26" s="25"/>
      <c r="S26" s="25"/>
      <c r="T26" s="25"/>
      <c r="U26" s="26"/>
    </row>
    <row r="27" spans="1:23"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3" ht="26.4"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3" ht="15" customHeight="1" x14ac:dyDescent="0.25">
      <c r="A29" s="22"/>
      <c r="B29" s="760"/>
      <c r="C29" s="760"/>
      <c r="D29" s="760"/>
      <c r="E29" s="760"/>
      <c r="F29" s="760"/>
      <c r="G29" s="31"/>
      <c r="H29" s="34"/>
      <c r="I29" s="24"/>
      <c r="J29" s="24">
        <f>ROUND((I29*H29*G29),0)</f>
        <v>0</v>
      </c>
      <c r="L29" s="22"/>
      <c r="M29" s="771"/>
      <c r="N29" s="771"/>
      <c r="O29" s="771"/>
      <c r="P29" s="771"/>
      <c r="Q29" s="771"/>
      <c r="R29" s="206"/>
      <c r="S29" s="180"/>
      <c r="T29" s="181"/>
      <c r="U29" s="181">
        <f>ROUND((T29*S29*R29),0)</f>
        <v>0</v>
      </c>
    </row>
    <row r="30" spans="1:23"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3"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3"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73</v>
      </c>
      <c r="C37" s="760"/>
      <c r="D37" s="760"/>
      <c r="E37" s="760"/>
      <c r="F37" s="760"/>
      <c r="G37" s="24">
        <f>IF(B37="","",VLOOKUP(B37,CUADRILLAS!$B$87:$C$101,2,FALSE))</f>
        <v>628854.93333333335</v>
      </c>
      <c r="H37" s="31">
        <v>1</v>
      </c>
      <c r="I37" s="34">
        <v>272</v>
      </c>
      <c r="J37" s="24">
        <f>ROUND(+IF(I37=0,0,G37*H37/I37),0)</f>
        <v>2312</v>
      </c>
      <c r="L37" s="22"/>
      <c r="M37" s="771" t="s">
        <v>73</v>
      </c>
      <c r="N37" s="771"/>
      <c r="O37" s="771"/>
      <c r="P37" s="771"/>
      <c r="Q37" s="771"/>
      <c r="R37" s="181">
        <v>628854.93333333335</v>
      </c>
      <c r="S37" s="206">
        <v>1</v>
      </c>
      <c r="T37" s="180">
        <v>272</v>
      </c>
      <c r="U37" s="181">
        <f>ROUND(+IF(T37=0,0,R37*S37/T37),0)</f>
        <v>2312</v>
      </c>
    </row>
    <row r="38" spans="1:21" ht="15" customHeight="1" x14ac:dyDescent="0.25">
      <c r="A38" s="22"/>
      <c r="B38" s="760"/>
      <c r="C38" s="760"/>
      <c r="D38" s="760"/>
      <c r="E38" s="760"/>
      <c r="F38" s="760"/>
      <c r="G38" s="24" t="str">
        <f>IF(B38="","",VLOOKUP(B38,CUADRILLAS!$B$87:$C$101,2,FALSE))</f>
        <v/>
      </c>
      <c r="H38" s="31"/>
      <c r="I38" s="34"/>
      <c r="J38" s="24">
        <f>ROUND(+IF(I38=0,0,G38*H38/I38),0)</f>
        <v>0</v>
      </c>
      <c r="L38" s="22"/>
      <c r="M38" s="771"/>
      <c r="N38" s="771"/>
      <c r="O38" s="771"/>
      <c r="P38" s="771"/>
      <c r="Q38" s="771"/>
      <c r="R38" s="181" t="s">
        <v>501</v>
      </c>
      <c r="S38" s="206"/>
      <c r="T38" s="180"/>
      <c r="U38" s="181">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2312</v>
      </c>
      <c r="L41" s="22"/>
      <c r="M41" s="772" t="s">
        <v>42</v>
      </c>
      <c r="N41" s="772"/>
      <c r="O41" s="772"/>
      <c r="P41" s="772"/>
      <c r="Q41" s="772"/>
      <c r="R41" s="772"/>
      <c r="S41" s="772"/>
      <c r="T41" s="772"/>
      <c r="U41" s="181">
        <f>SUM(U37:U40)</f>
        <v>2312</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9224</v>
      </c>
      <c r="L43" s="27"/>
      <c r="M43" s="773" t="s">
        <v>43</v>
      </c>
      <c r="N43" s="773"/>
      <c r="O43" s="773"/>
      <c r="P43" s="773"/>
      <c r="Q43" s="773"/>
      <c r="R43" s="773"/>
      <c r="S43" s="773"/>
      <c r="T43" s="773"/>
      <c r="U43" s="210">
        <f>+U41+U33+U15+U25</f>
        <v>9170</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E6:H6"/>
    <mergeCell ref="A1:C4"/>
    <mergeCell ref="D1:J1"/>
    <mergeCell ref="D2:J2"/>
    <mergeCell ref="D3:J3"/>
    <mergeCell ref="D4:J4"/>
    <mergeCell ref="B19:E19"/>
    <mergeCell ref="B7:J7"/>
    <mergeCell ref="B8:F8"/>
    <mergeCell ref="B9:F9"/>
    <mergeCell ref="B10:F10"/>
    <mergeCell ref="B11:F11"/>
    <mergeCell ref="B12:F12"/>
    <mergeCell ref="B13:F13"/>
    <mergeCell ref="B14:F14"/>
    <mergeCell ref="B15:I15"/>
    <mergeCell ref="B17:J17"/>
    <mergeCell ref="B18:E18"/>
    <mergeCell ref="B32:F32"/>
    <mergeCell ref="B20:E20"/>
    <mergeCell ref="B21:E21"/>
    <mergeCell ref="B22:E22"/>
    <mergeCell ref="B23:E23"/>
    <mergeCell ref="B24:E24"/>
    <mergeCell ref="B25:I25"/>
    <mergeCell ref="B27:J27"/>
    <mergeCell ref="B28:F28"/>
    <mergeCell ref="B29:F29"/>
    <mergeCell ref="B30:F30"/>
    <mergeCell ref="B31:F31"/>
    <mergeCell ref="B40:F40"/>
    <mergeCell ref="B41:I41"/>
    <mergeCell ref="B43:I43"/>
    <mergeCell ref="B33:I33"/>
    <mergeCell ref="B35:J35"/>
    <mergeCell ref="B36:F36"/>
    <mergeCell ref="B37:F37"/>
    <mergeCell ref="B38:F38"/>
    <mergeCell ref="B39:F39"/>
  </mergeCells>
  <hyperlinks>
    <hyperlink ref="C6" location="'PPTO HOJA'!A37" display="'PPTO HOJA'!A37" xr:uid="{00000000-0004-0000-1000-000000000000}"/>
    <hyperlink ref="N6" location="'PPTO HOJA'!A15" display="'PPTO HOJA'!A15" xr:uid="{00000000-0004-0000-10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1000-000000000000}">
          <x14:formula1>
            <xm:f>CUADRILLAS!$B$86:$B$101</xm:f>
          </x14:formula1>
          <xm:sqref>B37:F40</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26">
    <tabColor theme="9" tint="0.59999389629810485"/>
  </sheetPr>
  <dimension ref="A1:W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5.88671875" style="20" bestFit="1" customWidth="1"/>
    <col min="11" max="11" width="7.33203125" style="20" customWidth="1"/>
    <col min="12" max="17" width="11.44140625" style="20"/>
    <col min="18" max="18" width="13.44140625" style="20" bestFit="1" customWidth="1"/>
    <col min="19" max="19" width="11.44140625" style="20"/>
    <col min="20" max="20" width="13.5546875" style="20" bestFit="1" customWidth="1"/>
    <col min="21" max="21" width="17.5546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337</v>
      </c>
      <c r="B6" s="29" t="s">
        <v>22</v>
      </c>
      <c r="C6" s="116">
        <f>+'PPTO HOJA'!A29</f>
        <v>3.0399999999999991</v>
      </c>
      <c r="D6" s="28"/>
      <c r="E6" s="764" t="str">
        <f>+'PPTO HOJA'!B29</f>
        <v>S/I Codo 90° PVC-P Ø 1 1/2"</v>
      </c>
      <c r="F6" s="764"/>
      <c r="G6" s="764"/>
      <c r="H6" s="764"/>
      <c r="I6" s="30" t="s">
        <v>23</v>
      </c>
      <c r="J6" s="31" t="str">
        <f>'PPTO HOJA'!C29</f>
        <v>und</v>
      </c>
      <c r="L6" s="30" t="str">
        <f>A6</f>
        <v>III</v>
      </c>
      <c r="M6" s="29" t="s">
        <v>22</v>
      </c>
      <c r="N6" s="238">
        <f>C6</f>
        <v>3.0399999999999991</v>
      </c>
      <c r="O6" s="28"/>
      <c r="P6" s="764" t="str">
        <f>E6</f>
        <v>S/I Codo 90° PVC-P Ø 1 1/2"</v>
      </c>
      <c r="Q6" s="764"/>
      <c r="R6" s="764"/>
      <c r="S6" s="764"/>
      <c r="T6" s="30" t="s">
        <v>23</v>
      </c>
      <c r="U6" s="31" t="str">
        <f>J6</f>
        <v>und</v>
      </c>
    </row>
    <row r="7" spans="1:21" ht="15" customHeight="1" x14ac:dyDescent="0.25">
      <c r="A7" s="22"/>
      <c r="B7" s="761" t="s">
        <v>199</v>
      </c>
      <c r="C7" s="761"/>
      <c r="D7" s="761"/>
      <c r="E7" s="761"/>
      <c r="F7" s="761"/>
      <c r="G7" s="761"/>
      <c r="H7" s="761"/>
      <c r="I7" s="761"/>
      <c r="J7" s="761"/>
      <c r="L7" s="22"/>
      <c r="M7" s="772" t="s">
        <v>199</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63</v>
      </c>
      <c r="L9" s="22"/>
      <c r="M9" s="771" t="s">
        <v>30</v>
      </c>
      <c r="N9" s="771"/>
      <c r="O9" s="771"/>
      <c r="P9" s="771"/>
      <c r="Q9" s="771"/>
      <c r="R9" s="206"/>
      <c r="S9" s="181"/>
      <c r="T9" s="208">
        <v>0.05</v>
      </c>
      <c r="U9" s="181">
        <f>ROUND(T9*U41,0)</f>
        <v>52</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63</v>
      </c>
      <c r="L15" s="22"/>
      <c r="M15" s="772" t="s">
        <v>31</v>
      </c>
      <c r="N15" s="772"/>
      <c r="O15" s="772"/>
      <c r="P15" s="772"/>
      <c r="Q15" s="772"/>
      <c r="R15" s="772"/>
      <c r="S15" s="772"/>
      <c r="T15" s="772"/>
      <c r="U15" s="181">
        <f>SUM(U9:U14)</f>
        <v>52</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3"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3"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3" ht="14.25" customHeight="1" x14ac:dyDescent="0.25">
      <c r="A19" s="22"/>
      <c r="B19" s="764" t="s">
        <v>208</v>
      </c>
      <c r="C19" s="764"/>
      <c r="D19" s="764"/>
      <c r="E19" s="764"/>
      <c r="F19" s="34">
        <v>1</v>
      </c>
      <c r="G19" s="31" t="str">
        <f>IF(F19=0,"",VLOOKUP(B19,'LISTADO DE MATERIALES'!$B$6:$D$311,2,FALSE))</f>
        <v>und</v>
      </c>
      <c r="H19" s="107"/>
      <c r="I19" s="24">
        <f>IF(F19=0,"",VLOOKUP(B19,'LISTADO DE MATERIALES'!$B$6:$D$311,3,FALSE))</f>
        <v>10471.82</v>
      </c>
      <c r="J19" s="24">
        <f>IF(I19="",0,ROUND((+F19*I19*(1+H19)),0))</f>
        <v>10472</v>
      </c>
      <c r="L19" s="22"/>
      <c r="M19" s="777" t="s">
        <v>208</v>
      </c>
      <c r="N19" s="777"/>
      <c r="O19" s="777"/>
      <c r="P19" s="777"/>
      <c r="Q19" s="180">
        <v>1</v>
      </c>
      <c r="R19" s="206" t="s">
        <v>9</v>
      </c>
      <c r="S19" s="209"/>
      <c r="T19" s="181">
        <v>10471.82</v>
      </c>
      <c r="U19" s="181">
        <f>IF(T19="",0,ROUND((+Q19*T19*(1+S19)),0))</f>
        <v>10472</v>
      </c>
      <c r="W19" s="274">
        <v>9679</v>
      </c>
    </row>
    <row r="20" spans="1:23" ht="15" customHeight="1" x14ac:dyDescent="0.25">
      <c r="A20" s="22"/>
      <c r="B20" s="760" t="s">
        <v>192</v>
      </c>
      <c r="C20" s="760"/>
      <c r="D20" s="760"/>
      <c r="E20" s="760"/>
      <c r="F20" s="34">
        <v>4.4999999999999997E-3</v>
      </c>
      <c r="G20" s="31" t="str">
        <f>IF(F20=0,"",VLOOKUP(B20,'LISTADO DE MATERIALES'!$B$6:$D$311,2,FALSE))</f>
        <v>und</v>
      </c>
      <c r="H20" s="107">
        <v>0.05</v>
      </c>
      <c r="I20" s="24">
        <f>IF(F20=0,"",VLOOKUP(B20,'LISTADO DE MATERIALES'!$B$6:$D$311,3,FALSE))</f>
        <v>147850</v>
      </c>
      <c r="J20" s="24">
        <f t="shared" ref="J20:J24" si="2">IF(I20="",0,ROUND((+F20*I20*(1+H20)),0))</f>
        <v>699</v>
      </c>
      <c r="L20" s="22"/>
      <c r="M20" s="771" t="s">
        <v>192</v>
      </c>
      <c r="N20" s="771"/>
      <c r="O20" s="771"/>
      <c r="P20" s="771"/>
      <c r="Q20" s="180">
        <v>4.4999999999999997E-3</v>
      </c>
      <c r="R20" s="206" t="s">
        <v>9</v>
      </c>
      <c r="S20" s="209"/>
      <c r="T20" s="212">
        <v>147850</v>
      </c>
      <c r="U20" s="181">
        <f t="shared" ref="U20:U24" si="3">IF(T20="",0,ROUND((+Q20*T20*(1+S20)),0))</f>
        <v>665</v>
      </c>
    </row>
    <row r="21" spans="1:23" ht="15" customHeight="1" x14ac:dyDescent="0.25">
      <c r="A21" s="22"/>
      <c r="B21" s="760" t="s">
        <v>193</v>
      </c>
      <c r="C21" s="760"/>
      <c r="D21" s="760"/>
      <c r="E21" s="760"/>
      <c r="F21" s="34">
        <v>4.4999999999999997E-3</v>
      </c>
      <c r="G21" s="31" t="str">
        <f>IF(F21=0,"",VLOOKUP(B21,'LISTADO DE MATERIALES'!$B$6:$D$311,2,FALSE))</f>
        <v>und</v>
      </c>
      <c r="H21" s="107">
        <v>0.05</v>
      </c>
      <c r="I21" s="24">
        <f>IF(F21=0,"",VLOOKUP(B21,'LISTADO DE MATERIALES'!$B$6:$D$311,3,FALSE))</f>
        <v>71305</v>
      </c>
      <c r="J21" s="24">
        <f t="shared" si="2"/>
        <v>337</v>
      </c>
      <c r="L21" s="22"/>
      <c r="M21" s="771" t="s">
        <v>193</v>
      </c>
      <c r="N21" s="771"/>
      <c r="O21" s="771"/>
      <c r="P21" s="771"/>
      <c r="Q21" s="180">
        <v>4.4999999999999997E-3</v>
      </c>
      <c r="R21" s="206" t="s">
        <v>9</v>
      </c>
      <c r="S21" s="209"/>
      <c r="T21" s="212">
        <v>71305</v>
      </c>
      <c r="U21" s="181">
        <f t="shared" si="3"/>
        <v>321</v>
      </c>
    </row>
    <row r="22" spans="1:23"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3"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3"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3" ht="15" customHeight="1" x14ac:dyDescent="0.25">
      <c r="A25" s="22"/>
      <c r="B25" s="761" t="s">
        <v>37</v>
      </c>
      <c r="C25" s="761"/>
      <c r="D25" s="761"/>
      <c r="E25" s="761"/>
      <c r="F25" s="761"/>
      <c r="G25" s="761"/>
      <c r="H25" s="761"/>
      <c r="I25" s="761"/>
      <c r="J25" s="24">
        <f>SUM(J19:J24)</f>
        <v>11508</v>
      </c>
      <c r="L25" s="22"/>
      <c r="M25" s="772" t="s">
        <v>37</v>
      </c>
      <c r="N25" s="772"/>
      <c r="O25" s="772"/>
      <c r="P25" s="772"/>
      <c r="Q25" s="772"/>
      <c r="R25" s="772"/>
      <c r="S25" s="772"/>
      <c r="T25" s="772"/>
      <c r="U25" s="181">
        <f>SUM(U19:U24)</f>
        <v>11458</v>
      </c>
    </row>
    <row r="26" spans="1:23" ht="7.5" customHeight="1" x14ac:dyDescent="0.25">
      <c r="A26" s="22"/>
      <c r="B26" s="25"/>
      <c r="C26" s="25"/>
      <c r="D26" s="25"/>
      <c r="E26" s="25"/>
      <c r="F26" s="25"/>
      <c r="G26" s="25"/>
      <c r="H26" s="25"/>
      <c r="I26" s="25"/>
      <c r="J26" s="26"/>
      <c r="L26" s="22"/>
      <c r="M26" s="25"/>
      <c r="N26" s="25"/>
      <c r="O26" s="25"/>
      <c r="P26" s="25"/>
      <c r="Q26" s="25"/>
      <c r="R26" s="25"/>
      <c r="S26" s="25"/>
      <c r="T26" s="25"/>
      <c r="U26" s="26"/>
    </row>
    <row r="27" spans="1:23"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3"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3" ht="15" customHeight="1" x14ac:dyDescent="0.25">
      <c r="A29" s="22"/>
      <c r="B29" s="760"/>
      <c r="C29" s="760"/>
      <c r="D29" s="760"/>
      <c r="E29" s="760"/>
      <c r="F29" s="760"/>
      <c r="G29" s="31"/>
      <c r="H29" s="34"/>
      <c r="I29" s="24"/>
      <c r="J29" s="24">
        <f>ROUND((I29*H29*G29),0)</f>
        <v>0</v>
      </c>
      <c r="L29" s="22"/>
      <c r="M29" s="771"/>
      <c r="N29" s="771"/>
      <c r="O29" s="771"/>
      <c r="P29" s="771"/>
      <c r="Q29" s="771"/>
      <c r="R29" s="206"/>
      <c r="S29" s="180"/>
      <c r="T29" s="181"/>
      <c r="U29" s="181">
        <f>ROUND((T29*S29*R29),0)</f>
        <v>0</v>
      </c>
    </row>
    <row r="30" spans="1:23"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3"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3"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73</v>
      </c>
      <c r="C37" s="760"/>
      <c r="D37" s="760"/>
      <c r="E37" s="760"/>
      <c r="F37" s="760"/>
      <c r="G37" s="24">
        <f>IF(B37="","",VLOOKUP(B37,CUADRILLAS!$B$87:$C$101,2,FALSE))</f>
        <v>628854.93333333335</v>
      </c>
      <c r="H37" s="31">
        <v>1</v>
      </c>
      <c r="I37" s="34">
        <v>500</v>
      </c>
      <c r="J37" s="24">
        <f>ROUND(+IF(I37=0,0,G37*H37/I37),0)</f>
        <v>1258</v>
      </c>
      <c r="L37" s="22"/>
      <c r="M37" s="771" t="s">
        <v>73</v>
      </c>
      <c r="N37" s="771"/>
      <c r="O37" s="771"/>
      <c r="P37" s="771"/>
      <c r="Q37" s="771"/>
      <c r="R37" s="181">
        <v>628854.93333333335</v>
      </c>
      <c r="S37" s="206">
        <v>1</v>
      </c>
      <c r="T37" s="180">
        <v>600</v>
      </c>
      <c r="U37" s="181">
        <f>ROUND(+IF(T37=0,0,R37*S37/T37),0)</f>
        <v>1048</v>
      </c>
    </row>
    <row r="38" spans="1:21" ht="15" customHeight="1" x14ac:dyDescent="0.25">
      <c r="A38" s="22"/>
      <c r="B38" s="760"/>
      <c r="C38" s="760"/>
      <c r="D38" s="760"/>
      <c r="E38" s="760"/>
      <c r="F38" s="760"/>
      <c r="G38" s="24" t="str">
        <f>IF(B38="","",VLOOKUP(B38,CUADRILLAS!$B$87:$C$101,2,FALSE))</f>
        <v/>
      </c>
      <c r="H38" s="31"/>
      <c r="I38" s="34"/>
      <c r="J38" s="24">
        <f>ROUND(+IF(I38=0,0,G38*H38/I38),0)</f>
        <v>0</v>
      </c>
      <c r="L38" s="22"/>
      <c r="M38" s="771"/>
      <c r="N38" s="771"/>
      <c r="O38" s="771"/>
      <c r="P38" s="771"/>
      <c r="Q38" s="771"/>
      <c r="R38" s="181" t="s">
        <v>501</v>
      </c>
      <c r="S38" s="206"/>
      <c r="T38" s="180"/>
      <c r="U38" s="181">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1258</v>
      </c>
      <c r="L41" s="22"/>
      <c r="M41" s="772" t="s">
        <v>42</v>
      </c>
      <c r="N41" s="772"/>
      <c r="O41" s="772"/>
      <c r="P41" s="772"/>
      <c r="Q41" s="772"/>
      <c r="R41" s="772"/>
      <c r="S41" s="772"/>
      <c r="T41" s="772"/>
      <c r="U41" s="181">
        <f>SUM(U37:U40)</f>
        <v>1048</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12829</v>
      </c>
      <c r="L43" s="27"/>
      <c r="M43" s="773" t="s">
        <v>43</v>
      </c>
      <c r="N43" s="773"/>
      <c r="O43" s="773"/>
      <c r="P43" s="773"/>
      <c r="Q43" s="773"/>
      <c r="R43" s="773"/>
      <c r="S43" s="773"/>
      <c r="T43" s="773"/>
      <c r="U43" s="210">
        <f>+U41+U33+U15+U25</f>
        <v>12558</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41" display="'PPTO HOJA'!A41" xr:uid="{00000000-0004-0000-1100-000000000000}"/>
    <hyperlink ref="N6" location="'PPTO HOJA'!A15" display="'PPTO HOJA'!A15" xr:uid="{00000000-0004-0000-11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1100-000000000000}">
          <x14:formula1>
            <xm:f>CUADRILLAS!$B$86:$B$101</xm:f>
          </x14:formula1>
          <xm:sqref>B37:F40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7">
    <tabColor theme="9" tint="0.59999389629810485"/>
  </sheetPr>
  <dimension ref="A1:W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5.88671875" style="20" bestFit="1" customWidth="1"/>
    <col min="11" max="11" width="5.33203125" style="20" customWidth="1"/>
    <col min="12" max="17" width="11.44140625" style="20"/>
    <col min="18" max="18" width="13.44140625" style="20" bestFit="1" customWidth="1"/>
    <col min="19" max="19" width="11.44140625" style="20"/>
    <col min="20" max="20" width="13.5546875" style="20" bestFit="1" customWidth="1"/>
    <col min="21" max="21" width="15.88671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199"/>
      <c r="M1" s="199"/>
      <c r="N1" s="199"/>
      <c r="O1" s="200" t="s">
        <v>1</v>
      </c>
      <c r="P1" s="200"/>
      <c r="Q1" s="200"/>
      <c r="R1" s="200"/>
      <c r="S1" s="200"/>
      <c r="T1" s="200"/>
      <c r="U1" s="200"/>
    </row>
    <row r="2" spans="1:21" x14ac:dyDescent="0.25">
      <c r="A2" s="765"/>
      <c r="B2" s="765"/>
      <c r="C2" s="765"/>
      <c r="D2" s="766" t="str">
        <f>'PPTO HOJA'!A5</f>
        <v>MUNICIPIO DE ARBOLETES</v>
      </c>
      <c r="E2" s="766"/>
      <c r="F2" s="766"/>
      <c r="G2" s="766"/>
      <c r="H2" s="766"/>
      <c r="I2" s="766"/>
      <c r="J2" s="766"/>
      <c r="L2" s="199"/>
      <c r="M2" s="199"/>
      <c r="N2" s="199"/>
      <c r="O2" s="200" t="s">
        <v>2</v>
      </c>
      <c r="P2" s="200"/>
      <c r="Q2" s="200"/>
      <c r="R2" s="200"/>
      <c r="S2" s="200"/>
      <c r="T2" s="200"/>
      <c r="U2" s="200"/>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199"/>
      <c r="M3" s="199"/>
      <c r="N3" s="199"/>
      <c r="O3" s="201" t="s">
        <v>328</v>
      </c>
      <c r="P3" s="201"/>
      <c r="Q3" s="201"/>
      <c r="R3" s="201"/>
      <c r="S3" s="201"/>
      <c r="T3" s="201"/>
      <c r="U3" s="201"/>
    </row>
    <row r="4" spans="1:21" x14ac:dyDescent="0.25">
      <c r="A4" s="765"/>
      <c r="B4" s="765"/>
      <c r="C4" s="765"/>
      <c r="D4" s="766" t="s">
        <v>20</v>
      </c>
      <c r="E4" s="766"/>
      <c r="F4" s="766"/>
      <c r="G4" s="766"/>
      <c r="H4" s="766"/>
      <c r="I4" s="766"/>
      <c r="J4" s="766"/>
      <c r="L4" s="199"/>
      <c r="M4" s="199"/>
      <c r="N4" s="199"/>
      <c r="O4" s="200" t="s">
        <v>20</v>
      </c>
      <c r="P4" s="200"/>
      <c r="Q4" s="200"/>
      <c r="R4" s="200"/>
      <c r="S4" s="200"/>
      <c r="T4" s="200"/>
      <c r="U4" s="200"/>
    </row>
    <row r="5" spans="1:21" ht="9.75" customHeight="1" x14ac:dyDescent="0.25">
      <c r="A5" s="22"/>
      <c r="J5" s="23"/>
      <c r="L5" s="22"/>
      <c r="U5" s="23"/>
    </row>
    <row r="6" spans="1:21" s="21" customFormat="1" ht="33" customHeight="1" x14ac:dyDescent="0.3">
      <c r="A6" s="30" t="s">
        <v>337</v>
      </c>
      <c r="B6" s="29" t="s">
        <v>22</v>
      </c>
      <c r="C6" s="116">
        <f>+'PPTO HOJA'!A30</f>
        <v>3.0499999999999989</v>
      </c>
      <c r="D6" s="28"/>
      <c r="E6" s="764" t="str">
        <f>+'PPTO HOJA'!B30</f>
        <v>S/I Codo 90° PVC-P Ø 1 1/4"</v>
      </c>
      <c r="F6" s="764"/>
      <c r="G6" s="764"/>
      <c r="H6" s="764"/>
      <c r="I6" s="30" t="s">
        <v>23</v>
      </c>
      <c r="J6" s="31" t="str">
        <f>'PPTO HOJA'!C30</f>
        <v>und</v>
      </c>
      <c r="L6" s="30" t="str">
        <f>A6</f>
        <v>III</v>
      </c>
      <c r="M6" s="29" t="s">
        <v>22</v>
      </c>
      <c r="N6" s="238">
        <f>C6</f>
        <v>3.0499999999999989</v>
      </c>
      <c r="O6" s="28"/>
      <c r="P6" s="764" t="str">
        <f>E6</f>
        <v>S/I Codo 90° PVC-P Ø 1 1/4"</v>
      </c>
      <c r="Q6" s="764"/>
      <c r="R6" s="764"/>
      <c r="S6" s="764"/>
      <c r="T6" s="30" t="s">
        <v>23</v>
      </c>
      <c r="U6" s="31" t="str">
        <f>J6</f>
        <v>und</v>
      </c>
    </row>
    <row r="7" spans="1:21" ht="15" customHeight="1" x14ac:dyDescent="0.25">
      <c r="A7" s="22"/>
      <c r="B7" s="761" t="s">
        <v>199</v>
      </c>
      <c r="C7" s="761"/>
      <c r="D7" s="761"/>
      <c r="E7" s="761"/>
      <c r="F7" s="761"/>
      <c r="G7" s="761"/>
      <c r="H7" s="761"/>
      <c r="I7" s="761"/>
      <c r="J7" s="761"/>
      <c r="L7" s="22"/>
      <c r="M7" s="772" t="s">
        <v>199</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63</v>
      </c>
      <c r="L9" s="22"/>
      <c r="M9" s="771" t="s">
        <v>30</v>
      </c>
      <c r="N9" s="771"/>
      <c r="O9" s="771"/>
      <c r="P9" s="771"/>
      <c r="Q9" s="771"/>
      <c r="R9" s="206"/>
      <c r="S9" s="181"/>
      <c r="T9" s="208">
        <v>0.05</v>
      </c>
      <c r="U9" s="181">
        <f>ROUND(T9*U41,0)</f>
        <v>48</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63</v>
      </c>
      <c r="L15" s="22"/>
      <c r="M15" s="772" t="s">
        <v>31</v>
      </c>
      <c r="N15" s="772"/>
      <c r="O15" s="772"/>
      <c r="P15" s="772"/>
      <c r="Q15" s="772"/>
      <c r="R15" s="772"/>
      <c r="S15" s="772"/>
      <c r="T15" s="772"/>
      <c r="U15" s="181">
        <f>SUM(U9:U14)</f>
        <v>48</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3"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3"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3" ht="14.25" customHeight="1" x14ac:dyDescent="0.25">
      <c r="A19" s="22"/>
      <c r="B19" s="764" t="s">
        <v>210</v>
      </c>
      <c r="C19" s="764"/>
      <c r="D19" s="764"/>
      <c r="E19" s="764"/>
      <c r="F19" s="34">
        <v>1</v>
      </c>
      <c r="G19" s="31" t="str">
        <f>IF(F19=0,"",VLOOKUP(B19,'LISTADO DE MATERIALES'!$B$6:$D$311,2,FALSE))</f>
        <v>und</v>
      </c>
      <c r="H19" s="107"/>
      <c r="I19" s="24">
        <f>IF(F19=0,"",VLOOKUP(B19,'LISTADO DE MATERIALES'!$B$6:$D$311,3,FALSE))</f>
        <v>5609.28</v>
      </c>
      <c r="J19" s="24">
        <f>IF(I19="",0,ROUND((+F19*I19*(1+H19)),0))</f>
        <v>5609</v>
      </c>
      <c r="L19" s="22"/>
      <c r="M19" s="777" t="s">
        <v>210</v>
      </c>
      <c r="N19" s="777"/>
      <c r="O19" s="777"/>
      <c r="P19" s="777"/>
      <c r="Q19" s="180">
        <v>1</v>
      </c>
      <c r="R19" s="206" t="s">
        <v>9</v>
      </c>
      <c r="S19" s="209"/>
      <c r="T19" s="181">
        <v>5609.28</v>
      </c>
      <c r="U19" s="181">
        <f>IF(T19="",0,ROUND((+Q19*T19*(1+S19)),0))</f>
        <v>5609</v>
      </c>
      <c r="W19" s="274">
        <v>5184</v>
      </c>
    </row>
    <row r="20" spans="1:23" ht="15" customHeight="1" x14ac:dyDescent="0.25">
      <c r="A20" s="22"/>
      <c r="B20" s="760" t="s">
        <v>192</v>
      </c>
      <c r="C20" s="760"/>
      <c r="D20" s="760"/>
      <c r="E20" s="760"/>
      <c r="F20" s="34">
        <v>4.4999999999999997E-3</v>
      </c>
      <c r="G20" s="31" t="str">
        <f>IF(F20=0,"",VLOOKUP(B20,'LISTADO DE MATERIALES'!$B$6:$D$311,2,FALSE))</f>
        <v>und</v>
      </c>
      <c r="H20" s="107">
        <v>0.05</v>
      </c>
      <c r="I20" s="24">
        <f>IF(F20=0,"",VLOOKUP(B20,'LISTADO DE MATERIALES'!$B$6:$D$311,3,FALSE))</f>
        <v>147850</v>
      </c>
      <c r="J20" s="24">
        <f t="shared" ref="J20:J24" si="2">IF(I20="",0,ROUND((+F20*I20*(1+H20)),0))</f>
        <v>699</v>
      </c>
      <c r="L20" s="22"/>
      <c r="M20" s="771" t="s">
        <v>192</v>
      </c>
      <c r="N20" s="771"/>
      <c r="O20" s="771"/>
      <c r="P20" s="771"/>
      <c r="Q20" s="180">
        <v>4.4999999999999997E-3</v>
      </c>
      <c r="R20" s="206" t="s">
        <v>9</v>
      </c>
      <c r="S20" s="209"/>
      <c r="T20" s="212">
        <v>147850</v>
      </c>
      <c r="U20" s="181">
        <f t="shared" ref="U20:U24" si="3">IF(T20="",0,ROUND((+Q20*T20*(1+S20)),0))</f>
        <v>665</v>
      </c>
    </row>
    <row r="21" spans="1:23" ht="15" customHeight="1" x14ac:dyDescent="0.25">
      <c r="A21" s="22"/>
      <c r="B21" s="760" t="s">
        <v>193</v>
      </c>
      <c r="C21" s="760"/>
      <c r="D21" s="760"/>
      <c r="E21" s="760"/>
      <c r="F21" s="34">
        <v>4.4999999999999997E-3</v>
      </c>
      <c r="G21" s="31" t="str">
        <f>IF(F21=0,"",VLOOKUP(B21,'LISTADO DE MATERIALES'!$B$6:$D$311,2,FALSE))</f>
        <v>und</v>
      </c>
      <c r="H21" s="107">
        <v>0.05</v>
      </c>
      <c r="I21" s="24">
        <f>IF(F21=0,"",VLOOKUP(B21,'LISTADO DE MATERIALES'!$B$6:$D$311,3,FALSE))</f>
        <v>71305</v>
      </c>
      <c r="J21" s="24">
        <f t="shared" si="2"/>
        <v>337</v>
      </c>
      <c r="L21" s="22"/>
      <c r="M21" s="771" t="s">
        <v>193</v>
      </c>
      <c r="N21" s="771"/>
      <c r="O21" s="771"/>
      <c r="P21" s="771"/>
      <c r="Q21" s="180">
        <v>4.4999999999999997E-3</v>
      </c>
      <c r="R21" s="206" t="s">
        <v>9</v>
      </c>
      <c r="S21" s="209"/>
      <c r="T21" s="212">
        <v>71305</v>
      </c>
      <c r="U21" s="181">
        <f t="shared" si="3"/>
        <v>321</v>
      </c>
    </row>
    <row r="22" spans="1:23"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3"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3"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3" ht="15" customHeight="1" x14ac:dyDescent="0.25">
      <c r="A25" s="22"/>
      <c r="B25" s="761" t="s">
        <v>37</v>
      </c>
      <c r="C25" s="761"/>
      <c r="D25" s="761"/>
      <c r="E25" s="761"/>
      <c r="F25" s="761"/>
      <c r="G25" s="761"/>
      <c r="H25" s="761"/>
      <c r="I25" s="761"/>
      <c r="J25" s="24">
        <f>SUM(J19:J24)</f>
        <v>6645</v>
      </c>
      <c r="L25" s="22"/>
      <c r="M25" s="772" t="s">
        <v>37</v>
      </c>
      <c r="N25" s="772"/>
      <c r="O25" s="772"/>
      <c r="P25" s="772"/>
      <c r="Q25" s="772"/>
      <c r="R25" s="772"/>
      <c r="S25" s="772"/>
      <c r="T25" s="772"/>
      <c r="U25" s="181">
        <f>SUM(U19:U24)</f>
        <v>6595</v>
      </c>
    </row>
    <row r="26" spans="1:23" ht="7.5" customHeight="1" x14ac:dyDescent="0.25">
      <c r="A26" s="22"/>
      <c r="B26" s="25"/>
      <c r="C26" s="25"/>
      <c r="D26" s="25"/>
      <c r="E26" s="25"/>
      <c r="F26" s="25"/>
      <c r="G26" s="25"/>
      <c r="H26" s="25"/>
      <c r="I26" s="25"/>
      <c r="J26" s="26"/>
      <c r="L26" s="22"/>
      <c r="M26" s="25"/>
      <c r="N26" s="25"/>
      <c r="O26" s="25"/>
      <c r="P26" s="25"/>
      <c r="Q26" s="25"/>
      <c r="R26" s="25"/>
      <c r="S26" s="25"/>
      <c r="T26" s="25"/>
      <c r="U26" s="26"/>
    </row>
    <row r="27" spans="1:23"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3"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3" ht="15" customHeight="1" x14ac:dyDescent="0.25">
      <c r="A29" s="22"/>
      <c r="B29" s="760"/>
      <c r="C29" s="760"/>
      <c r="D29" s="760"/>
      <c r="E29" s="760"/>
      <c r="F29" s="760"/>
      <c r="G29" s="31"/>
      <c r="H29" s="34"/>
      <c r="I29" s="24"/>
      <c r="J29" s="24">
        <f>ROUND((I29*H29*G29),0)</f>
        <v>0</v>
      </c>
      <c r="L29" s="22"/>
      <c r="M29" s="771"/>
      <c r="N29" s="771"/>
      <c r="O29" s="771"/>
      <c r="P29" s="771"/>
      <c r="Q29" s="771"/>
      <c r="R29" s="206"/>
      <c r="S29" s="180"/>
      <c r="T29" s="181"/>
      <c r="U29" s="181">
        <f>ROUND((T29*S29*R29),0)</f>
        <v>0</v>
      </c>
    </row>
    <row r="30" spans="1:23"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3"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3"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73</v>
      </c>
      <c r="C37" s="760"/>
      <c r="D37" s="760"/>
      <c r="E37" s="760"/>
      <c r="F37" s="760"/>
      <c r="G37" s="24">
        <f>IF(B37="","",VLOOKUP(B37,CUADRILLAS!$B$87:$C$101,2,FALSE))</f>
        <v>628854.93333333335</v>
      </c>
      <c r="H37" s="31">
        <v>1</v>
      </c>
      <c r="I37" s="34">
        <v>500</v>
      </c>
      <c r="J37" s="24">
        <f>ROUND(+IF(I37=0,0,G37*H37/I37),0)</f>
        <v>1258</v>
      </c>
      <c r="L37" s="22"/>
      <c r="M37" s="771" t="s">
        <v>73</v>
      </c>
      <c r="N37" s="771"/>
      <c r="O37" s="771"/>
      <c r="P37" s="771"/>
      <c r="Q37" s="771"/>
      <c r="R37" s="181">
        <v>628854.93333333335</v>
      </c>
      <c r="S37" s="206">
        <v>1</v>
      </c>
      <c r="T37" s="180">
        <v>650</v>
      </c>
      <c r="U37" s="181">
        <f>ROUND(+IF(T37=0,0,R37*S37/T37),0)</f>
        <v>967</v>
      </c>
    </row>
    <row r="38" spans="1:21" ht="15" customHeight="1" x14ac:dyDescent="0.25">
      <c r="A38" s="22"/>
      <c r="B38" s="760"/>
      <c r="C38" s="760"/>
      <c r="D38" s="760"/>
      <c r="E38" s="760"/>
      <c r="F38" s="760"/>
      <c r="G38" s="24" t="str">
        <f>IF(B38="","",VLOOKUP(B38,CUADRILLAS!$B$87:$C$101,2,FALSE))</f>
        <v/>
      </c>
      <c r="H38" s="31"/>
      <c r="I38" s="34"/>
      <c r="J38" s="24">
        <f>ROUND(+IF(I38=0,0,G38*H38/I38),0)</f>
        <v>0</v>
      </c>
      <c r="L38" s="22"/>
      <c r="M38" s="771"/>
      <c r="N38" s="771"/>
      <c r="O38" s="771"/>
      <c r="P38" s="771"/>
      <c r="Q38" s="771"/>
      <c r="R38" s="181" t="s">
        <v>501</v>
      </c>
      <c r="S38" s="206"/>
      <c r="T38" s="180"/>
      <c r="U38" s="181">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1258</v>
      </c>
      <c r="L41" s="22"/>
      <c r="M41" s="772" t="s">
        <v>42</v>
      </c>
      <c r="N41" s="772"/>
      <c r="O41" s="772"/>
      <c r="P41" s="772"/>
      <c r="Q41" s="772"/>
      <c r="R41" s="772"/>
      <c r="S41" s="772"/>
      <c r="T41" s="772"/>
      <c r="U41" s="181">
        <f>SUM(U37:U40)</f>
        <v>967</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7966</v>
      </c>
      <c r="L43" s="27"/>
      <c r="M43" s="773" t="s">
        <v>43</v>
      </c>
      <c r="N43" s="773"/>
      <c r="O43" s="773"/>
      <c r="P43" s="773"/>
      <c r="Q43" s="773"/>
      <c r="R43" s="773"/>
      <c r="S43" s="773"/>
      <c r="T43" s="773"/>
      <c r="U43" s="210">
        <f>+U41+U33+U15+U25</f>
        <v>7610</v>
      </c>
    </row>
    <row r="44" spans="1:21" x14ac:dyDescent="0.25">
      <c r="B44" s="21"/>
      <c r="C44" s="21"/>
      <c r="D44" s="21"/>
      <c r="E44" s="21"/>
      <c r="F44" s="21"/>
      <c r="G44" s="21"/>
      <c r="H44" s="21"/>
      <c r="I44" s="21"/>
      <c r="J44" s="21"/>
    </row>
  </sheetData>
  <mergeCells count="73">
    <mergeCell ref="M41:T41"/>
    <mergeCell ref="M43:T43"/>
    <mergeCell ref="P6:S6"/>
    <mergeCell ref="M7:U7"/>
    <mergeCell ref="M8:Q8"/>
    <mergeCell ref="M9:Q9"/>
    <mergeCell ref="M10:Q10"/>
    <mergeCell ref="M11:Q11"/>
    <mergeCell ref="M12:Q12"/>
    <mergeCell ref="M13:Q13"/>
    <mergeCell ref="M14:Q14"/>
    <mergeCell ref="M15:T15"/>
    <mergeCell ref="M18:P18"/>
    <mergeCell ref="M19:P19"/>
    <mergeCell ref="M38:Q38"/>
    <mergeCell ref="M32:Q32"/>
    <mergeCell ref="M33:T33"/>
    <mergeCell ref="M39:Q39"/>
    <mergeCell ref="M40:Q40"/>
    <mergeCell ref="M30:Q30"/>
    <mergeCell ref="M31:Q31"/>
    <mergeCell ref="M35:U35"/>
    <mergeCell ref="M36:Q36"/>
    <mergeCell ref="M37:Q37"/>
    <mergeCell ref="B32:F32"/>
    <mergeCell ref="B20:E20"/>
    <mergeCell ref="B21:E21"/>
    <mergeCell ref="B22:E22"/>
    <mergeCell ref="B23:E23"/>
    <mergeCell ref="B27:J27"/>
    <mergeCell ref="B28:F28"/>
    <mergeCell ref="B29:F29"/>
    <mergeCell ref="B24:E24"/>
    <mergeCell ref="B25:I25"/>
    <mergeCell ref="B40:F40"/>
    <mergeCell ref="B41:I41"/>
    <mergeCell ref="B43:I43"/>
    <mergeCell ref="B33:I33"/>
    <mergeCell ref="B35:J35"/>
    <mergeCell ref="B36:F36"/>
    <mergeCell ref="B37:F37"/>
    <mergeCell ref="B38:F38"/>
    <mergeCell ref="B39:F39"/>
    <mergeCell ref="M17:U17"/>
    <mergeCell ref="M20:P20"/>
    <mergeCell ref="M25:T25"/>
    <mergeCell ref="M21:P21"/>
    <mergeCell ref="M22:P22"/>
    <mergeCell ref="M23:P23"/>
    <mergeCell ref="M24:P24"/>
    <mergeCell ref="M27:U27"/>
    <mergeCell ref="M28:Q28"/>
    <mergeCell ref="M29:Q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42" display="'PPTO HOJA'!A42" xr:uid="{00000000-0004-0000-1200-000000000000}"/>
    <hyperlink ref="N6" location="'PPTO HOJA'!A15" display="'PPTO HOJA'!A15" xr:uid="{00000000-0004-0000-12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1200-000000000000}">
          <x14:formula1>
            <xm:f>CUADRILLAS!$B$86:$B$101</xm:f>
          </x14:formula1>
          <xm:sqref>B37:F40</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9">
    <tabColor theme="9" tint="0.59999389629810485"/>
  </sheetPr>
  <dimension ref="A1:W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4.88671875" style="20" bestFit="1" customWidth="1"/>
    <col min="11" max="11" width="5.6640625" style="20" customWidth="1"/>
    <col min="12" max="17" width="11.44140625" style="20"/>
    <col min="18" max="18" width="13.44140625" style="20" bestFit="1" customWidth="1"/>
    <col min="19" max="19" width="11.44140625" style="20"/>
    <col min="20" max="20" width="13.5546875" style="20" bestFit="1" customWidth="1"/>
    <col min="21" max="21" width="14.88671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199"/>
      <c r="M1" s="199"/>
      <c r="N1" s="199"/>
      <c r="O1" s="200" t="s">
        <v>1</v>
      </c>
      <c r="P1" s="200"/>
      <c r="Q1" s="200"/>
      <c r="R1" s="200"/>
      <c r="S1" s="200"/>
      <c r="T1" s="200"/>
      <c r="U1" s="200"/>
    </row>
    <row r="2" spans="1:21" x14ac:dyDescent="0.25">
      <c r="A2" s="765"/>
      <c r="B2" s="765"/>
      <c r="C2" s="765"/>
      <c r="D2" s="766" t="str">
        <f>'PPTO HOJA'!A5</f>
        <v>MUNICIPIO DE ARBOLETES</v>
      </c>
      <c r="E2" s="766"/>
      <c r="F2" s="766"/>
      <c r="G2" s="766"/>
      <c r="H2" s="766"/>
      <c r="I2" s="766"/>
      <c r="J2" s="766"/>
      <c r="L2" s="199"/>
      <c r="M2" s="199"/>
      <c r="N2" s="199"/>
      <c r="O2" s="200" t="s">
        <v>2</v>
      </c>
      <c r="P2" s="200"/>
      <c r="Q2" s="200"/>
      <c r="R2" s="200"/>
      <c r="S2" s="200"/>
      <c r="T2" s="200"/>
      <c r="U2" s="200"/>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199"/>
      <c r="M3" s="199"/>
      <c r="N3" s="199"/>
      <c r="O3" s="201" t="s">
        <v>328</v>
      </c>
      <c r="P3" s="201"/>
      <c r="Q3" s="201"/>
      <c r="R3" s="201"/>
      <c r="S3" s="201"/>
      <c r="T3" s="201"/>
      <c r="U3" s="201"/>
    </row>
    <row r="4" spans="1:21" x14ac:dyDescent="0.25">
      <c r="A4" s="765"/>
      <c r="B4" s="765"/>
      <c r="C4" s="765"/>
      <c r="D4" s="766" t="s">
        <v>20</v>
      </c>
      <c r="E4" s="766"/>
      <c r="F4" s="766"/>
      <c r="G4" s="766"/>
      <c r="H4" s="766"/>
      <c r="I4" s="766"/>
      <c r="J4" s="766"/>
      <c r="L4" s="199"/>
      <c r="M4" s="199"/>
      <c r="N4" s="199"/>
      <c r="O4" s="200" t="s">
        <v>20</v>
      </c>
      <c r="P4" s="200"/>
      <c r="Q4" s="200"/>
      <c r="R4" s="200"/>
      <c r="S4" s="200"/>
      <c r="T4" s="200"/>
      <c r="U4" s="200"/>
    </row>
    <row r="5" spans="1:21" ht="9.75" customHeight="1" x14ac:dyDescent="0.25">
      <c r="A5" s="22"/>
      <c r="J5" s="23"/>
      <c r="L5" s="22"/>
      <c r="U5" s="23"/>
    </row>
    <row r="6" spans="1:21" s="21" customFormat="1" ht="33" customHeight="1" x14ac:dyDescent="0.3">
      <c r="A6" s="30" t="s">
        <v>337</v>
      </c>
      <c r="B6" s="29" t="s">
        <v>22</v>
      </c>
      <c r="C6" s="116">
        <f>+'PPTO HOJA'!A31</f>
        <v>3.0599999999999987</v>
      </c>
      <c r="D6" s="28"/>
      <c r="E6" s="764" t="str">
        <f>+'PPTO HOJA'!B31</f>
        <v>S/I Codo 90° PVC-P Ø 3/4"</v>
      </c>
      <c r="F6" s="764"/>
      <c r="G6" s="764"/>
      <c r="H6" s="764"/>
      <c r="I6" s="30" t="s">
        <v>23</v>
      </c>
      <c r="J6" s="31" t="str">
        <f>'PPTO HOJA'!C31</f>
        <v>und</v>
      </c>
      <c r="L6" s="30" t="str">
        <f>A6</f>
        <v>III</v>
      </c>
      <c r="M6" s="29" t="s">
        <v>22</v>
      </c>
      <c r="N6" s="238">
        <f>C6</f>
        <v>3.0599999999999987</v>
      </c>
      <c r="O6" s="28"/>
      <c r="P6" s="764" t="str">
        <f>E6</f>
        <v>S/I Codo 90° PVC-P Ø 3/4"</v>
      </c>
      <c r="Q6" s="764"/>
      <c r="R6" s="764"/>
      <c r="S6" s="764"/>
      <c r="T6" s="30" t="s">
        <v>23</v>
      </c>
      <c r="U6" s="31" t="str">
        <f>J6</f>
        <v>und</v>
      </c>
    </row>
    <row r="7" spans="1:21" ht="15" customHeight="1" x14ac:dyDescent="0.25">
      <c r="A7" s="22"/>
      <c r="B7" s="761" t="s">
        <v>199</v>
      </c>
      <c r="C7" s="761"/>
      <c r="D7" s="761"/>
      <c r="E7" s="761"/>
      <c r="F7" s="761"/>
      <c r="G7" s="761"/>
      <c r="H7" s="761"/>
      <c r="I7" s="761"/>
      <c r="J7" s="761"/>
      <c r="L7" s="22"/>
      <c r="M7" s="772" t="s">
        <v>199</v>
      </c>
      <c r="N7" s="772"/>
      <c r="O7" s="772"/>
      <c r="P7" s="772"/>
      <c r="Q7" s="772"/>
      <c r="R7" s="772"/>
      <c r="S7" s="772"/>
      <c r="T7" s="772"/>
      <c r="U7" s="772"/>
    </row>
    <row r="8" spans="1:21" ht="26.4"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63</v>
      </c>
      <c r="L9" s="22"/>
      <c r="M9" s="771" t="s">
        <v>30</v>
      </c>
      <c r="N9" s="771"/>
      <c r="O9" s="771"/>
      <c r="P9" s="771"/>
      <c r="Q9" s="771"/>
      <c r="R9" s="206"/>
      <c r="S9" s="181"/>
      <c r="T9" s="208">
        <v>0.05</v>
      </c>
      <c r="U9" s="181">
        <f>ROUND(T9*U41,0)</f>
        <v>45</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63</v>
      </c>
      <c r="L15" s="22"/>
      <c r="M15" s="772" t="s">
        <v>31</v>
      </c>
      <c r="N15" s="772"/>
      <c r="O15" s="772"/>
      <c r="P15" s="772"/>
      <c r="Q15" s="772"/>
      <c r="R15" s="772"/>
      <c r="S15" s="772"/>
      <c r="T15" s="772"/>
      <c r="U15" s="181">
        <f>SUM(U9:U14)</f>
        <v>45</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3"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3"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3" ht="14.25" customHeight="1" x14ac:dyDescent="0.25">
      <c r="A19" s="22"/>
      <c r="B19" s="764" t="s">
        <v>211</v>
      </c>
      <c r="C19" s="764"/>
      <c r="D19" s="764"/>
      <c r="E19" s="764"/>
      <c r="F19" s="34">
        <v>1</v>
      </c>
      <c r="G19" s="31" t="str">
        <f>IF(F19=0,"",VLOOKUP(B19,'LISTADO DE MATERIALES'!$B$6:$D$311,2,FALSE))</f>
        <v>und</v>
      </c>
      <c r="H19" s="107"/>
      <c r="I19" s="24">
        <f>IF(F19=0,"",VLOOKUP(B19,'LISTADO DE MATERIALES'!$B$6:$D$311,3,FALSE))</f>
        <v>1593.46</v>
      </c>
      <c r="J19" s="24">
        <f>IF(I19="",0,ROUND((+F19*I19*(1+H19)),0))</f>
        <v>1593</v>
      </c>
      <c r="L19" s="22"/>
      <c r="M19" s="777" t="s">
        <v>211</v>
      </c>
      <c r="N19" s="777"/>
      <c r="O19" s="777"/>
      <c r="P19" s="777"/>
      <c r="Q19" s="180">
        <v>1</v>
      </c>
      <c r="R19" s="206" t="s">
        <v>9</v>
      </c>
      <c r="S19" s="209"/>
      <c r="T19" s="181">
        <v>1593.46</v>
      </c>
      <c r="U19" s="181">
        <f>IF(T19="",0,ROUND((+Q19*T19*(1+S19)),0))</f>
        <v>1593</v>
      </c>
      <c r="W19" s="274">
        <v>1138</v>
      </c>
    </row>
    <row r="20" spans="1:23" ht="15" customHeight="1" x14ac:dyDescent="0.25">
      <c r="A20" s="22"/>
      <c r="B20" s="760" t="s">
        <v>192</v>
      </c>
      <c r="C20" s="760"/>
      <c r="D20" s="760"/>
      <c r="E20" s="760"/>
      <c r="F20" s="34">
        <v>4.1999999999999997E-3</v>
      </c>
      <c r="G20" s="31" t="str">
        <f>IF(F20=0,"",VLOOKUP(B20,'LISTADO DE MATERIALES'!$B$6:$D$311,2,FALSE))</f>
        <v>und</v>
      </c>
      <c r="H20" s="107">
        <v>0.05</v>
      </c>
      <c r="I20" s="24">
        <f>IF(F20=0,"",VLOOKUP(B20,'LISTADO DE MATERIALES'!$B$6:$D$311,3,FALSE))</f>
        <v>147850</v>
      </c>
      <c r="J20" s="24">
        <f t="shared" ref="J20:J24" si="2">IF(I20="",0,ROUND((+F20*I20*(1+H20)),0))</f>
        <v>652</v>
      </c>
      <c r="L20" s="22"/>
      <c r="M20" s="771" t="s">
        <v>192</v>
      </c>
      <c r="N20" s="771"/>
      <c r="O20" s="771"/>
      <c r="P20" s="771"/>
      <c r="Q20" s="180">
        <v>4.1999999999999997E-3</v>
      </c>
      <c r="R20" s="206" t="s">
        <v>9</v>
      </c>
      <c r="S20" s="209"/>
      <c r="T20" s="212">
        <v>147850</v>
      </c>
      <c r="U20" s="181">
        <f t="shared" ref="U20:U24" si="3">IF(T20="",0,ROUND((+Q20*T20*(1+S20)),0))</f>
        <v>621</v>
      </c>
    </row>
    <row r="21" spans="1:23" ht="15" customHeight="1" x14ac:dyDescent="0.25">
      <c r="A21" s="22"/>
      <c r="B21" s="760" t="s">
        <v>193</v>
      </c>
      <c r="C21" s="760"/>
      <c r="D21" s="760"/>
      <c r="E21" s="760"/>
      <c r="F21" s="34">
        <v>4.1999999999999997E-3</v>
      </c>
      <c r="G21" s="31" t="str">
        <f>IF(F21=0,"",VLOOKUP(B21,'LISTADO DE MATERIALES'!$B$6:$D$311,2,FALSE))</f>
        <v>und</v>
      </c>
      <c r="H21" s="107">
        <v>0.05</v>
      </c>
      <c r="I21" s="24">
        <f>IF(F21=0,"",VLOOKUP(B21,'LISTADO DE MATERIALES'!$B$6:$D$311,3,FALSE))</f>
        <v>71305</v>
      </c>
      <c r="J21" s="24">
        <f t="shared" si="2"/>
        <v>314</v>
      </c>
      <c r="L21" s="22"/>
      <c r="M21" s="771" t="s">
        <v>193</v>
      </c>
      <c r="N21" s="771"/>
      <c r="O21" s="771"/>
      <c r="P21" s="771"/>
      <c r="Q21" s="180">
        <v>4.1999999999999997E-3</v>
      </c>
      <c r="R21" s="206" t="s">
        <v>9</v>
      </c>
      <c r="S21" s="209"/>
      <c r="T21" s="212">
        <v>71305</v>
      </c>
      <c r="U21" s="181">
        <f t="shared" si="3"/>
        <v>299</v>
      </c>
    </row>
    <row r="22" spans="1:23"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3"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3"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3" ht="15" customHeight="1" x14ac:dyDescent="0.25">
      <c r="A25" s="22"/>
      <c r="B25" s="761" t="s">
        <v>37</v>
      </c>
      <c r="C25" s="761"/>
      <c r="D25" s="761"/>
      <c r="E25" s="761"/>
      <c r="F25" s="761"/>
      <c r="G25" s="761"/>
      <c r="H25" s="761"/>
      <c r="I25" s="761"/>
      <c r="J25" s="24">
        <f>SUM(J19:J24)</f>
        <v>2559</v>
      </c>
      <c r="L25" s="22"/>
      <c r="M25" s="772" t="s">
        <v>37</v>
      </c>
      <c r="N25" s="772"/>
      <c r="O25" s="772"/>
      <c r="P25" s="772"/>
      <c r="Q25" s="772"/>
      <c r="R25" s="772"/>
      <c r="S25" s="772"/>
      <c r="T25" s="772"/>
      <c r="U25" s="181">
        <f>SUM(U19:U24)</f>
        <v>2513</v>
      </c>
    </row>
    <row r="26" spans="1:23" ht="7.5" customHeight="1" x14ac:dyDescent="0.25">
      <c r="A26" s="22"/>
      <c r="B26" s="25"/>
      <c r="C26" s="25"/>
      <c r="D26" s="25"/>
      <c r="E26" s="25"/>
      <c r="F26" s="25"/>
      <c r="G26" s="25"/>
      <c r="H26" s="25"/>
      <c r="I26" s="25"/>
      <c r="J26" s="26"/>
      <c r="L26" s="22"/>
      <c r="M26" s="25"/>
      <c r="N26" s="25"/>
      <c r="O26" s="25"/>
      <c r="P26" s="25"/>
      <c r="Q26" s="25"/>
      <c r="R26" s="25"/>
      <c r="S26" s="25"/>
      <c r="T26" s="25"/>
      <c r="U26" s="26"/>
    </row>
    <row r="27" spans="1:23"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3" ht="26.4"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3" ht="15" customHeight="1" x14ac:dyDescent="0.25">
      <c r="A29" s="22"/>
      <c r="B29" s="760"/>
      <c r="C29" s="760"/>
      <c r="D29" s="760"/>
      <c r="E29" s="760"/>
      <c r="F29" s="760"/>
      <c r="G29" s="31"/>
      <c r="H29" s="34"/>
      <c r="I29" s="24"/>
      <c r="J29" s="24">
        <f>ROUND((I29*H29*G29),0)</f>
        <v>0</v>
      </c>
      <c r="L29" s="22"/>
      <c r="M29" s="771"/>
      <c r="N29" s="771"/>
      <c r="O29" s="771"/>
      <c r="P29" s="771"/>
      <c r="Q29" s="771"/>
      <c r="R29" s="206"/>
      <c r="S29" s="180"/>
      <c r="T29" s="181"/>
      <c r="U29" s="181">
        <f>ROUND((T29*S29*R29),0)</f>
        <v>0</v>
      </c>
    </row>
    <row r="30" spans="1:23"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3"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3"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73</v>
      </c>
      <c r="C37" s="760"/>
      <c r="D37" s="760"/>
      <c r="E37" s="760"/>
      <c r="F37" s="760"/>
      <c r="G37" s="24">
        <f>IF(B37="","",VLOOKUP(B37,CUADRILLAS!$B$87:$C$101,2,FALSE))</f>
        <v>628854.93333333335</v>
      </c>
      <c r="H37" s="31">
        <v>1</v>
      </c>
      <c r="I37" s="34">
        <v>500</v>
      </c>
      <c r="J37" s="24">
        <f>ROUND(+IF(I37=0,0,G37*H37/I37),0)</f>
        <v>1258</v>
      </c>
      <c r="L37" s="22"/>
      <c r="M37" s="771" t="s">
        <v>73</v>
      </c>
      <c r="N37" s="771"/>
      <c r="O37" s="771"/>
      <c r="P37" s="771"/>
      <c r="Q37" s="771"/>
      <c r="R37" s="181">
        <v>628854.93333333335</v>
      </c>
      <c r="S37" s="206">
        <v>1</v>
      </c>
      <c r="T37" s="180">
        <v>700</v>
      </c>
      <c r="U37" s="181">
        <f>ROUND(+IF(T37=0,0,R37*S37/T37),0)</f>
        <v>898</v>
      </c>
    </row>
    <row r="38" spans="1:21" ht="15" customHeight="1" x14ac:dyDescent="0.25">
      <c r="A38" s="22"/>
      <c r="B38" s="760"/>
      <c r="C38" s="760"/>
      <c r="D38" s="760"/>
      <c r="E38" s="760"/>
      <c r="F38" s="760"/>
      <c r="G38" s="24" t="str">
        <f>IF(B38="","",VLOOKUP(B38,CUADRILLAS!$B$87:$C$101,2,FALSE))</f>
        <v/>
      </c>
      <c r="H38" s="31"/>
      <c r="I38" s="34"/>
      <c r="J38" s="24">
        <f>ROUND(+IF(I38=0,0,G38*H38/I38),0)</f>
        <v>0</v>
      </c>
      <c r="L38" s="22"/>
      <c r="M38" s="771"/>
      <c r="N38" s="771"/>
      <c r="O38" s="771"/>
      <c r="P38" s="771"/>
      <c r="Q38" s="771"/>
      <c r="R38" s="181" t="s">
        <v>501</v>
      </c>
      <c r="S38" s="206"/>
      <c r="T38" s="180"/>
      <c r="U38" s="181">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1258</v>
      </c>
      <c r="L41" s="22"/>
      <c r="M41" s="772" t="s">
        <v>42</v>
      </c>
      <c r="N41" s="772"/>
      <c r="O41" s="772"/>
      <c r="P41" s="772"/>
      <c r="Q41" s="772"/>
      <c r="R41" s="772"/>
      <c r="S41" s="772"/>
      <c r="T41" s="772"/>
      <c r="U41" s="181">
        <f>SUM(U37:U40)</f>
        <v>898</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3880</v>
      </c>
      <c r="L43" s="27"/>
      <c r="M43" s="773" t="s">
        <v>43</v>
      </c>
      <c r="N43" s="773"/>
      <c r="O43" s="773"/>
      <c r="P43" s="773"/>
      <c r="Q43" s="773"/>
      <c r="R43" s="773"/>
      <c r="S43" s="773"/>
      <c r="T43" s="773"/>
      <c r="U43" s="210">
        <f>+U41+U33+U15+U25</f>
        <v>3456</v>
      </c>
    </row>
    <row r="44" spans="1:21" x14ac:dyDescent="0.25">
      <c r="B44" s="21"/>
      <c r="C44" s="21"/>
      <c r="D44" s="21"/>
      <c r="E44" s="21"/>
      <c r="F44" s="21"/>
      <c r="G44" s="21"/>
      <c r="H44" s="21"/>
      <c r="I44" s="21"/>
      <c r="J44" s="21"/>
    </row>
  </sheetData>
  <mergeCells count="73">
    <mergeCell ref="M22:P22"/>
    <mergeCell ref="M23:P23"/>
    <mergeCell ref="M25:T25"/>
    <mergeCell ref="M27:U27"/>
    <mergeCell ref="M28:Q28"/>
    <mergeCell ref="M24:P24"/>
    <mergeCell ref="M39:Q39"/>
    <mergeCell ref="M40:Q40"/>
    <mergeCell ref="M41:T41"/>
    <mergeCell ref="M43:T43"/>
    <mergeCell ref="P6:S6"/>
    <mergeCell ref="M7:U7"/>
    <mergeCell ref="M8:Q8"/>
    <mergeCell ref="M9:Q9"/>
    <mergeCell ref="M10:Q10"/>
    <mergeCell ref="M11:Q11"/>
    <mergeCell ref="M12:Q12"/>
    <mergeCell ref="M13:Q13"/>
    <mergeCell ref="M15:T15"/>
    <mergeCell ref="M17:U17"/>
    <mergeCell ref="M18:P18"/>
    <mergeCell ref="M19:P19"/>
    <mergeCell ref="M38:Q38"/>
    <mergeCell ref="M36:Q36"/>
    <mergeCell ref="M37:Q37"/>
    <mergeCell ref="M35:U35"/>
    <mergeCell ref="M29:Q29"/>
    <mergeCell ref="M30:Q30"/>
    <mergeCell ref="M31:Q31"/>
    <mergeCell ref="M32:Q32"/>
    <mergeCell ref="M33:T33"/>
    <mergeCell ref="M20:P20"/>
    <mergeCell ref="M21:P21"/>
    <mergeCell ref="M14:Q14"/>
    <mergeCell ref="B40:F40"/>
    <mergeCell ref="B41:I41"/>
    <mergeCell ref="B32:F32"/>
    <mergeCell ref="B20:E20"/>
    <mergeCell ref="B21:E21"/>
    <mergeCell ref="B22:E22"/>
    <mergeCell ref="B23:E23"/>
    <mergeCell ref="B24:E24"/>
    <mergeCell ref="B25:I25"/>
    <mergeCell ref="B27:J27"/>
    <mergeCell ref="B28:F28"/>
    <mergeCell ref="B29:F29"/>
    <mergeCell ref="B30:F30"/>
    <mergeCell ref="B43:I43"/>
    <mergeCell ref="B33:I33"/>
    <mergeCell ref="B35:J35"/>
    <mergeCell ref="B36:F36"/>
    <mergeCell ref="B37:F37"/>
    <mergeCell ref="B38:F38"/>
    <mergeCell ref="B39:F39"/>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44" display="'PPTO HOJA'!A44" xr:uid="{00000000-0004-0000-1300-000000000000}"/>
    <hyperlink ref="N6" location="'PPTO HOJA'!A15" display="'PPTO HOJA'!A15" xr:uid="{00000000-0004-0000-13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1300-000000000000}">
          <x14:formula1>
            <xm:f>CUADRILLAS!$B$86:$B$101</xm:f>
          </x14:formula1>
          <xm:sqref>B37:F40</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69">
    <tabColor theme="9" tint="0.59999389629810485"/>
  </sheetPr>
  <dimension ref="A1:W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6.33203125" style="20" bestFit="1" customWidth="1"/>
    <col min="11" max="11" width="4.6640625" style="20" customWidth="1"/>
    <col min="12" max="17" width="11.44140625" style="20"/>
    <col min="18" max="18" width="13.44140625" style="20" bestFit="1" customWidth="1"/>
    <col min="19" max="19" width="11.44140625" style="20"/>
    <col min="20" max="20" width="13.5546875" style="20" bestFit="1" customWidth="1"/>
    <col min="21" max="21" width="16.3320312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339</v>
      </c>
      <c r="B6" s="29" t="s">
        <v>22</v>
      </c>
      <c r="C6" s="116">
        <f>+'PPTO HOJA'!A33</f>
        <v>4.01</v>
      </c>
      <c r="D6" s="28"/>
      <c r="E6" s="764" t="str">
        <f>'PPTO HOJA'!B33</f>
        <v>S/I Tubería Sanitaria Ø 4" PVC-S</v>
      </c>
      <c r="F6" s="764"/>
      <c r="G6" s="764"/>
      <c r="H6" s="764"/>
      <c r="I6" s="30" t="s">
        <v>23</v>
      </c>
      <c r="J6" s="31" t="str">
        <f>'PPTO HOJA'!C33</f>
        <v>m</v>
      </c>
      <c r="L6" s="30" t="str">
        <f>A6</f>
        <v>IV</v>
      </c>
      <c r="M6" s="29" t="s">
        <v>22</v>
      </c>
      <c r="N6" s="238">
        <f>C6</f>
        <v>4.01</v>
      </c>
      <c r="O6" s="28"/>
      <c r="P6" s="764" t="str">
        <f>E6</f>
        <v>S/I Tubería Sanitaria Ø 4" PVC-S</v>
      </c>
      <c r="Q6" s="764"/>
      <c r="R6" s="764"/>
      <c r="S6" s="764"/>
      <c r="T6" s="30" t="s">
        <v>23</v>
      </c>
      <c r="U6" s="31" t="str">
        <f>J6</f>
        <v>m</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349</v>
      </c>
      <c r="L9" s="22"/>
      <c r="M9" s="771" t="s">
        <v>30</v>
      </c>
      <c r="N9" s="771"/>
      <c r="O9" s="771"/>
      <c r="P9" s="771"/>
      <c r="Q9" s="771"/>
      <c r="R9" s="206"/>
      <c r="S9" s="181"/>
      <c r="T9" s="208">
        <v>0.05</v>
      </c>
      <c r="U9" s="181">
        <f>ROUND(T9*U41,0)</f>
        <v>314</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349</v>
      </c>
      <c r="L15" s="22"/>
      <c r="M15" s="772" t="s">
        <v>31</v>
      </c>
      <c r="N15" s="772"/>
      <c r="O15" s="772"/>
      <c r="P15" s="772"/>
      <c r="Q15" s="772"/>
      <c r="R15" s="772"/>
      <c r="S15" s="772"/>
      <c r="T15" s="772"/>
      <c r="U15" s="181">
        <f>SUM(U9:U14)</f>
        <v>314</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3"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3"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3" ht="14.25" customHeight="1" x14ac:dyDescent="0.25">
      <c r="A19" s="22"/>
      <c r="B19" s="764" t="s">
        <v>191</v>
      </c>
      <c r="C19" s="764"/>
      <c r="D19" s="764"/>
      <c r="E19" s="764"/>
      <c r="F19" s="34">
        <v>1</v>
      </c>
      <c r="G19" s="31" t="str">
        <f>IF(F19=0,"",VLOOKUP(B19,'LISTADO DE MATERIALES'!$B$6:$D$311,2,FALSE))</f>
        <v>m</v>
      </c>
      <c r="H19" s="107">
        <v>0.05</v>
      </c>
      <c r="I19" s="24">
        <f>IF(F19=0,"",VLOOKUP(B19,'LISTADO DE MATERIALES'!$B$6:$D$311,3,FALSE))</f>
        <v>37800.15</v>
      </c>
      <c r="J19" s="24">
        <f>IF(I19="",0,ROUND((+F19*I19*(1+H19)),0))</f>
        <v>39690</v>
      </c>
      <c r="L19" s="22"/>
      <c r="M19" s="777" t="s">
        <v>191</v>
      </c>
      <c r="N19" s="777"/>
      <c r="O19" s="777"/>
      <c r="P19" s="777"/>
      <c r="Q19" s="180">
        <v>1</v>
      </c>
      <c r="R19" s="206" t="s">
        <v>190</v>
      </c>
      <c r="S19" s="209">
        <v>0.05</v>
      </c>
      <c r="T19" s="181">
        <v>37800.15</v>
      </c>
      <c r="U19" s="181">
        <f>IF(T19="",0,ROUND((+Q19*T19*(1+S19)),0))</f>
        <v>39690</v>
      </c>
      <c r="W19" s="274">
        <f>209648/6</f>
        <v>34941.333333333336</v>
      </c>
    </row>
    <row r="20" spans="1:23" ht="15" customHeight="1" x14ac:dyDescent="0.25">
      <c r="A20" s="22"/>
      <c r="B20" s="760" t="s">
        <v>192</v>
      </c>
      <c r="C20" s="760"/>
      <c r="D20" s="760"/>
      <c r="E20" s="760"/>
      <c r="F20" s="34">
        <v>1.4999999999999999E-2</v>
      </c>
      <c r="G20" s="31" t="str">
        <f>IF(F20=0,"",VLOOKUP(B20,'LISTADO DE MATERIALES'!$B$6:$D$311,2,FALSE))</f>
        <v>und</v>
      </c>
      <c r="H20" s="107">
        <v>0.05</v>
      </c>
      <c r="I20" s="24">
        <f>IF(F20=0,"",VLOOKUP(B20,'LISTADO DE MATERIALES'!$B$6:$D$311,3,FALSE))</f>
        <v>147850</v>
      </c>
      <c r="J20" s="24">
        <f t="shared" ref="J20:J24" si="2">IF(I20="",0,ROUND((+F20*I20*(1+H20)),0))</f>
        <v>2329</v>
      </c>
      <c r="L20" s="22"/>
      <c r="M20" s="771" t="s">
        <v>192</v>
      </c>
      <c r="N20" s="771"/>
      <c r="O20" s="771"/>
      <c r="P20" s="771"/>
      <c r="Q20" s="180">
        <v>1.4999999999999999E-2</v>
      </c>
      <c r="R20" s="206" t="s">
        <v>9</v>
      </c>
      <c r="S20" s="209"/>
      <c r="T20" s="212">
        <v>147850</v>
      </c>
      <c r="U20" s="181">
        <f t="shared" ref="U20:U24" si="3">IF(T20="",0,ROUND((+Q20*T20*(1+S20)),0))</f>
        <v>2218</v>
      </c>
    </row>
    <row r="21" spans="1:23" ht="15" customHeight="1" x14ac:dyDescent="0.25">
      <c r="A21" s="22"/>
      <c r="B21" s="760" t="s">
        <v>193</v>
      </c>
      <c r="C21" s="760"/>
      <c r="D21" s="760"/>
      <c r="E21" s="760"/>
      <c r="F21" s="34">
        <f>F20</f>
        <v>1.4999999999999999E-2</v>
      </c>
      <c r="G21" s="31" t="str">
        <f>IF(F21=0,"",VLOOKUP(B21,'LISTADO DE MATERIALES'!$B$6:$D$311,2,FALSE))</f>
        <v>und</v>
      </c>
      <c r="H21" s="107">
        <v>0.05</v>
      </c>
      <c r="I21" s="24">
        <f>IF(F21=0,"",VLOOKUP(B21,'LISTADO DE MATERIALES'!$B$6:$D$311,3,FALSE))</f>
        <v>71305</v>
      </c>
      <c r="J21" s="24">
        <f t="shared" si="2"/>
        <v>1123</v>
      </c>
      <c r="L21" s="22"/>
      <c r="M21" s="771" t="s">
        <v>193</v>
      </c>
      <c r="N21" s="771"/>
      <c r="O21" s="771"/>
      <c r="P21" s="771"/>
      <c r="Q21" s="180">
        <f>Q20</f>
        <v>1.4999999999999999E-2</v>
      </c>
      <c r="R21" s="206" t="s">
        <v>9</v>
      </c>
      <c r="S21" s="209"/>
      <c r="T21" s="212">
        <v>71305</v>
      </c>
      <c r="U21" s="181">
        <f t="shared" si="3"/>
        <v>1070</v>
      </c>
    </row>
    <row r="22" spans="1:23"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3"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3"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3" ht="15" customHeight="1" x14ac:dyDescent="0.25">
      <c r="A25" s="22"/>
      <c r="B25" s="761" t="s">
        <v>37</v>
      </c>
      <c r="C25" s="761"/>
      <c r="D25" s="761"/>
      <c r="E25" s="761"/>
      <c r="F25" s="761"/>
      <c r="G25" s="761"/>
      <c r="H25" s="761"/>
      <c r="I25" s="761"/>
      <c r="J25" s="24">
        <f>SUM(J19:J24)</f>
        <v>43142</v>
      </c>
      <c r="L25" s="22"/>
      <c r="M25" s="772" t="s">
        <v>37</v>
      </c>
      <c r="N25" s="772"/>
      <c r="O25" s="772"/>
      <c r="P25" s="772"/>
      <c r="Q25" s="772"/>
      <c r="R25" s="772"/>
      <c r="S25" s="772"/>
      <c r="T25" s="772"/>
      <c r="U25" s="181">
        <f>SUM(U19:U24)</f>
        <v>42978</v>
      </c>
    </row>
    <row r="26" spans="1:23" ht="7.5" customHeight="1" x14ac:dyDescent="0.25">
      <c r="A26" s="22"/>
      <c r="B26" s="25"/>
      <c r="C26" s="25"/>
      <c r="D26" s="25"/>
      <c r="E26" s="25"/>
      <c r="F26" s="25"/>
      <c r="G26" s="25"/>
      <c r="H26" s="25"/>
      <c r="I26" s="25"/>
      <c r="J26" s="26"/>
      <c r="L26" s="22"/>
      <c r="M26" s="25"/>
      <c r="N26" s="25"/>
      <c r="O26" s="25"/>
      <c r="P26" s="25"/>
      <c r="Q26" s="25"/>
      <c r="R26" s="25"/>
      <c r="S26" s="25"/>
      <c r="T26" s="25"/>
      <c r="U26" s="26"/>
    </row>
    <row r="27" spans="1:23"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3"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3" ht="15" customHeight="1" x14ac:dyDescent="0.25">
      <c r="A29" s="22"/>
      <c r="B29" s="760"/>
      <c r="C29" s="760"/>
      <c r="D29" s="760"/>
      <c r="E29" s="760"/>
      <c r="F29" s="760"/>
      <c r="G29" s="31"/>
      <c r="H29" s="34"/>
      <c r="I29" s="24"/>
      <c r="J29" s="24">
        <f>ROUND((I29*H29*G29),0)</f>
        <v>0</v>
      </c>
      <c r="L29" s="22"/>
      <c r="M29" s="771"/>
      <c r="N29" s="771"/>
      <c r="O29" s="771"/>
      <c r="P29" s="771"/>
      <c r="Q29" s="771"/>
      <c r="R29" s="206"/>
      <c r="S29" s="180"/>
      <c r="T29" s="181"/>
      <c r="U29" s="181">
        <f>ROUND((T29*S29*R29),0)</f>
        <v>0</v>
      </c>
    </row>
    <row r="30" spans="1:23"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3"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3"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73</v>
      </c>
      <c r="C37" s="760"/>
      <c r="D37" s="760"/>
      <c r="E37" s="760"/>
      <c r="F37" s="760"/>
      <c r="G37" s="24">
        <f>IF(B37="","",VLOOKUP(B37,CUADRILLAS!$B$87:$C$101,2,FALSE))</f>
        <v>628854.93333333335</v>
      </c>
      <c r="H37" s="31">
        <v>1</v>
      </c>
      <c r="I37" s="34">
        <v>90</v>
      </c>
      <c r="J37" s="24">
        <f>ROUND(+IF(I37=0,0,G37*H37/I37),0)</f>
        <v>6987</v>
      </c>
      <c r="L37" s="22"/>
      <c r="M37" s="771" t="s">
        <v>73</v>
      </c>
      <c r="N37" s="771"/>
      <c r="O37" s="771"/>
      <c r="P37" s="771"/>
      <c r="Q37" s="771"/>
      <c r="R37" s="181">
        <v>628854.93333333335</v>
      </c>
      <c r="S37" s="206">
        <v>1</v>
      </c>
      <c r="T37" s="211">
        <v>100</v>
      </c>
      <c r="U37" s="181">
        <f>ROUND(+IF(T37=0,0,R37*S37/T37),0)</f>
        <v>6289</v>
      </c>
    </row>
    <row r="38" spans="1:21" ht="15" customHeight="1" x14ac:dyDescent="0.25">
      <c r="A38" s="22"/>
      <c r="B38" s="760"/>
      <c r="C38" s="760"/>
      <c r="D38" s="760"/>
      <c r="E38" s="760"/>
      <c r="F38" s="760"/>
      <c r="G38" s="24" t="str">
        <f>IF(B38="","",VLOOKUP(B38,CUADRILLAS!$B$87:$C$101,2,FALSE))</f>
        <v/>
      </c>
      <c r="H38" s="31"/>
      <c r="I38" s="34"/>
      <c r="J38" s="24">
        <f>ROUND(+IF(I38=0,0,G38*H38/I38),0)</f>
        <v>0</v>
      </c>
      <c r="L38" s="22"/>
      <c r="M38" s="771"/>
      <c r="N38" s="771"/>
      <c r="O38" s="771"/>
      <c r="P38" s="771"/>
      <c r="Q38" s="771"/>
      <c r="R38" s="181" t="s">
        <v>501</v>
      </c>
      <c r="S38" s="206"/>
      <c r="T38" s="180"/>
      <c r="U38" s="181">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6987</v>
      </c>
      <c r="L41" s="22"/>
      <c r="M41" s="772" t="s">
        <v>42</v>
      </c>
      <c r="N41" s="772"/>
      <c r="O41" s="772"/>
      <c r="P41" s="772"/>
      <c r="Q41" s="772"/>
      <c r="R41" s="772"/>
      <c r="S41" s="772"/>
      <c r="T41" s="772"/>
      <c r="U41" s="181">
        <f>SUM(U37:U40)</f>
        <v>6289</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50478</v>
      </c>
      <c r="L43" s="27"/>
      <c r="M43" s="773" t="s">
        <v>43</v>
      </c>
      <c r="N43" s="773"/>
      <c r="O43" s="773"/>
      <c r="P43" s="773"/>
      <c r="Q43" s="773"/>
      <c r="R43" s="773"/>
      <c r="S43" s="773"/>
      <c r="T43" s="773"/>
      <c r="U43" s="210">
        <f>+U41+U33+U15+U25</f>
        <v>49581</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E6:H6"/>
    <mergeCell ref="A1:C4"/>
    <mergeCell ref="D1:J1"/>
    <mergeCell ref="D2:J2"/>
    <mergeCell ref="D3:J3"/>
    <mergeCell ref="D4:J4"/>
    <mergeCell ref="B19:E19"/>
    <mergeCell ref="B7:J7"/>
    <mergeCell ref="B8:F8"/>
    <mergeCell ref="B9:F9"/>
    <mergeCell ref="B10:F10"/>
    <mergeCell ref="B11:F11"/>
    <mergeCell ref="B12:F12"/>
    <mergeCell ref="B13:F13"/>
    <mergeCell ref="B14:F14"/>
    <mergeCell ref="B15:I15"/>
    <mergeCell ref="B17:J17"/>
    <mergeCell ref="B18:E18"/>
    <mergeCell ref="B32:F32"/>
    <mergeCell ref="B20:E20"/>
    <mergeCell ref="B21:E21"/>
    <mergeCell ref="B22:E22"/>
    <mergeCell ref="B23:E23"/>
    <mergeCell ref="B24:E24"/>
    <mergeCell ref="B25:I25"/>
    <mergeCell ref="B27:J27"/>
    <mergeCell ref="B28:F28"/>
    <mergeCell ref="B29:F29"/>
    <mergeCell ref="B30:F30"/>
    <mergeCell ref="B31:F31"/>
    <mergeCell ref="B40:F40"/>
    <mergeCell ref="B41:I41"/>
    <mergeCell ref="B43:I43"/>
    <mergeCell ref="B33:I33"/>
    <mergeCell ref="B35:J35"/>
    <mergeCell ref="B36:F36"/>
    <mergeCell ref="B37:F37"/>
    <mergeCell ref="B38:F38"/>
    <mergeCell ref="B39:F39"/>
  </mergeCells>
  <hyperlinks>
    <hyperlink ref="C6" location="'PPTO HOJA'!A82" display="'PPTO HOJA'!A82" xr:uid="{00000000-0004-0000-1400-000000000000}"/>
    <hyperlink ref="N6" location="'PPTO HOJA'!A15" display="'PPTO HOJA'!A15" xr:uid="{00000000-0004-0000-14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1400-000000000000}">
          <x14:formula1>
            <xm:f>CUADRILLAS!$B$86:$B$101</xm:f>
          </x14:formula1>
          <xm:sqref>B37:F40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72">
    <tabColor theme="9" tint="0.59999389629810485"/>
  </sheetPr>
  <dimension ref="A1:W44"/>
  <sheetViews>
    <sheetView zoomScale="85" zoomScaleNormal="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6.33203125" style="20" bestFit="1" customWidth="1"/>
    <col min="11" max="17" width="11.44140625" style="20"/>
    <col min="18" max="18" width="13.44140625" style="20" customWidth="1"/>
    <col min="19" max="19" width="11.44140625" style="20"/>
    <col min="20" max="20" width="13.5546875" style="20" bestFit="1" customWidth="1"/>
    <col min="21" max="21" width="16.3320312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339</v>
      </c>
      <c r="B6" s="29" t="s">
        <v>22</v>
      </c>
      <c r="C6" s="116">
        <f>+'PPTO HOJA'!A34</f>
        <v>4.0199999999999996</v>
      </c>
      <c r="D6" s="28"/>
      <c r="E6" s="764" t="str">
        <f>'PPTO HOJA'!B34</f>
        <v>S/I Tubería Sanitaria Corrugada Ø 160mm PVC-S8</v>
      </c>
      <c r="F6" s="764"/>
      <c r="G6" s="764"/>
      <c r="H6" s="764"/>
      <c r="I6" s="30" t="s">
        <v>23</v>
      </c>
      <c r="J6" s="31" t="str">
        <f>'PPTO HOJA'!C34</f>
        <v>m</v>
      </c>
      <c r="L6" s="30" t="str">
        <f>A6</f>
        <v>IV</v>
      </c>
      <c r="M6" s="29" t="s">
        <v>22</v>
      </c>
      <c r="N6" s="238">
        <f>C6</f>
        <v>4.0199999999999996</v>
      </c>
      <c r="O6" s="28"/>
      <c r="P6" s="764" t="str">
        <f>E6</f>
        <v>S/I Tubería Sanitaria Corrugada Ø 160mm PVC-S8</v>
      </c>
      <c r="Q6" s="764"/>
      <c r="R6" s="764"/>
      <c r="S6" s="764"/>
      <c r="T6" s="30" t="s">
        <v>23</v>
      </c>
      <c r="U6" s="31" t="str">
        <f>J6</f>
        <v>m</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629</v>
      </c>
      <c r="L9" s="22"/>
      <c r="M9" s="771" t="s">
        <v>30</v>
      </c>
      <c r="N9" s="771"/>
      <c r="O9" s="771"/>
      <c r="P9" s="771"/>
      <c r="Q9" s="771"/>
      <c r="R9" s="206"/>
      <c r="S9" s="181"/>
      <c r="T9" s="208">
        <v>0.05</v>
      </c>
      <c r="U9" s="181">
        <f>ROUND(T9*U41,0)</f>
        <v>524</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629</v>
      </c>
      <c r="L15" s="22"/>
      <c r="M15" s="772" t="s">
        <v>31</v>
      </c>
      <c r="N15" s="772"/>
      <c r="O15" s="772"/>
      <c r="P15" s="772"/>
      <c r="Q15" s="772"/>
      <c r="R15" s="772"/>
      <c r="S15" s="772"/>
      <c r="T15" s="772"/>
      <c r="U15" s="181">
        <f>SUM(U9:U14)</f>
        <v>524</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3"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3"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3" ht="14.25" customHeight="1" x14ac:dyDescent="0.25">
      <c r="A19" s="22"/>
      <c r="B19" s="764" t="s">
        <v>197</v>
      </c>
      <c r="C19" s="764"/>
      <c r="D19" s="764"/>
      <c r="E19" s="764"/>
      <c r="F19" s="34">
        <v>1</v>
      </c>
      <c r="G19" s="31" t="str">
        <f>IF(F19=0,"",VLOOKUP(B19,'LISTADO DE MATERIALES'!$B$6:$D$311,2,FALSE))</f>
        <v>m</v>
      </c>
      <c r="H19" s="107">
        <v>0.05</v>
      </c>
      <c r="I19" s="24">
        <f>IF(F19=0,"",VLOOKUP(B19,'LISTADO DE MATERIALES'!$B$6:$D$311,3,FALSE))</f>
        <v>50773</v>
      </c>
      <c r="J19" s="24">
        <f>IF(I19="",0,ROUND((+F19*I19*(1+H19)),0))</f>
        <v>53312</v>
      </c>
      <c r="L19" s="22"/>
      <c r="M19" s="777" t="s">
        <v>197</v>
      </c>
      <c r="N19" s="777"/>
      <c r="O19" s="777"/>
      <c r="P19" s="777"/>
      <c r="Q19" s="180">
        <v>1</v>
      </c>
      <c r="R19" s="206" t="s">
        <v>190</v>
      </c>
      <c r="S19" s="209">
        <v>0.05</v>
      </c>
      <c r="T19" s="212">
        <v>50773</v>
      </c>
      <c r="U19" s="181">
        <f>IF(T19="",0,ROUND((+Q19*T19*(1+S19)),0))</f>
        <v>53312</v>
      </c>
      <c r="W19" s="274">
        <f>281608/6</f>
        <v>46934.666666666664</v>
      </c>
    </row>
    <row r="20" spans="1:23" ht="15" customHeight="1" x14ac:dyDescent="0.25">
      <c r="A20" s="22"/>
      <c r="B20" s="760" t="s">
        <v>196</v>
      </c>
      <c r="C20" s="760"/>
      <c r="D20" s="760"/>
      <c r="E20" s="760"/>
      <c r="F20" s="34">
        <v>0.1</v>
      </c>
      <c r="G20" s="31" t="str">
        <f>IF(F20=0,"",VLOOKUP(B20,'LISTADO DE MATERIALES'!$B$6:$D$311,2,FALSE))</f>
        <v>und</v>
      </c>
      <c r="H20" s="107">
        <v>0.05</v>
      </c>
      <c r="I20" s="24">
        <f>IF(F20=0,"",VLOOKUP(B20,'LISTADO DE MATERIALES'!$B$6:$D$311,3,FALSE))</f>
        <v>33517</v>
      </c>
      <c r="J20" s="24">
        <f t="shared" ref="J20:J24" si="2">IF(I20="",0,ROUND((+F20*I20*(1+H20)),0))</f>
        <v>3519</v>
      </c>
      <c r="L20" s="22"/>
      <c r="M20" s="771" t="s">
        <v>196</v>
      </c>
      <c r="N20" s="771"/>
      <c r="O20" s="771"/>
      <c r="P20" s="771"/>
      <c r="Q20" s="180">
        <v>0.1</v>
      </c>
      <c r="R20" s="206" t="s">
        <v>9</v>
      </c>
      <c r="S20" s="209"/>
      <c r="T20" s="212">
        <v>33517</v>
      </c>
      <c r="U20" s="181">
        <f t="shared" ref="U20:U24" si="3">IF(T20="",0,ROUND((+Q20*T20*(1+S20)),0))</f>
        <v>3352</v>
      </c>
      <c r="W20" s="274">
        <v>30983</v>
      </c>
    </row>
    <row r="21" spans="1:23" ht="15" customHeight="1" x14ac:dyDescent="0.25">
      <c r="A21" s="22"/>
      <c r="B21" s="760"/>
      <c r="C21" s="760"/>
      <c r="D21" s="760"/>
      <c r="E21" s="760"/>
      <c r="F21" s="34"/>
      <c r="G21" s="31" t="str">
        <f>IF(F21=0,"",VLOOKUP(B21,'LISTADO DE MATERIALES'!$B$6:$D$311,2,FALSE))</f>
        <v/>
      </c>
      <c r="H21" s="107"/>
      <c r="I21" s="24" t="str">
        <f>IF(F21=0,"",VLOOKUP(B21,'LISTADO DE MATERIALES'!$B$6:$D$311,3,FALSE))</f>
        <v/>
      </c>
      <c r="J21" s="24">
        <f t="shared" si="2"/>
        <v>0</v>
      </c>
      <c r="L21" s="22"/>
      <c r="M21" s="771"/>
      <c r="N21" s="771"/>
      <c r="O21" s="771"/>
      <c r="P21" s="771"/>
      <c r="Q21" s="180"/>
      <c r="R21" s="206" t="s">
        <v>501</v>
      </c>
      <c r="S21" s="209"/>
      <c r="T21" s="181" t="s">
        <v>501</v>
      </c>
      <c r="U21" s="181">
        <f t="shared" si="3"/>
        <v>0</v>
      </c>
    </row>
    <row r="22" spans="1:23"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3"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3"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3" ht="15" customHeight="1" x14ac:dyDescent="0.25">
      <c r="A25" s="22"/>
      <c r="B25" s="761" t="s">
        <v>37</v>
      </c>
      <c r="C25" s="761"/>
      <c r="D25" s="761"/>
      <c r="E25" s="761"/>
      <c r="F25" s="761"/>
      <c r="G25" s="761"/>
      <c r="H25" s="761"/>
      <c r="I25" s="761"/>
      <c r="J25" s="24">
        <f>SUM(J19:J24)</f>
        <v>56831</v>
      </c>
      <c r="L25" s="22"/>
      <c r="M25" s="772" t="s">
        <v>37</v>
      </c>
      <c r="N25" s="772"/>
      <c r="O25" s="772"/>
      <c r="P25" s="772"/>
      <c r="Q25" s="772"/>
      <c r="R25" s="772"/>
      <c r="S25" s="772"/>
      <c r="T25" s="772"/>
      <c r="U25" s="181">
        <f>SUM(U19:U24)</f>
        <v>56664</v>
      </c>
    </row>
    <row r="26" spans="1:23" ht="7.5" customHeight="1" x14ac:dyDescent="0.25">
      <c r="A26" s="22"/>
      <c r="B26" s="25"/>
      <c r="C26" s="25"/>
      <c r="D26" s="25"/>
      <c r="E26" s="25"/>
      <c r="F26" s="25"/>
      <c r="G26" s="25"/>
      <c r="H26" s="25"/>
      <c r="I26" s="25"/>
      <c r="J26" s="26"/>
      <c r="L26" s="22"/>
      <c r="M26" s="25"/>
      <c r="N26" s="25"/>
      <c r="O26" s="25"/>
      <c r="P26" s="25"/>
      <c r="Q26" s="25"/>
      <c r="R26" s="25"/>
      <c r="S26" s="25"/>
      <c r="T26" s="25"/>
      <c r="U26" s="26"/>
    </row>
    <row r="27" spans="1:23"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3"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3" ht="15" customHeight="1" x14ac:dyDescent="0.25">
      <c r="A29" s="22"/>
      <c r="B29" s="760"/>
      <c r="C29" s="760"/>
      <c r="D29" s="760"/>
      <c r="E29" s="760"/>
      <c r="F29" s="760"/>
      <c r="G29" s="31"/>
      <c r="H29" s="34"/>
      <c r="I29" s="24"/>
      <c r="J29" s="24">
        <f>ROUND((I29*H29*G29),0)</f>
        <v>0</v>
      </c>
      <c r="L29" s="22"/>
      <c r="M29" s="771"/>
      <c r="N29" s="771"/>
      <c r="O29" s="771"/>
      <c r="P29" s="771"/>
      <c r="Q29" s="771"/>
      <c r="R29" s="206"/>
      <c r="S29" s="180"/>
      <c r="T29" s="181"/>
      <c r="U29" s="181">
        <f>ROUND((T29*S29*R29),0)</f>
        <v>0</v>
      </c>
    </row>
    <row r="30" spans="1:23"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3"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3"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73</v>
      </c>
      <c r="C37" s="760"/>
      <c r="D37" s="760"/>
      <c r="E37" s="760"/>
      <c r="F37" s="760"/>
      <c r="G37" s="24">
        <f>IF(B37="","",VLOOKUP(B37,CUADRILLAS!$B$87:$C$101,2,FALSE))</f>
        <v>628854.93333333335</v>
      </c>
      <c r="H37" s="31">
        <v>1</v>
      </c>
      <c r="I37" s="34">
        <v>50</v>
      </c>
      <c r="J37" s="24">
        <f>ROUND(+IF(I37=0,0,G37*H37/I37),0)</f>
        <v>12577</v>
      </c>
      <c r="L37" s="22"/>
      <c r="M37" s="771" t="s">
        <v>73</v>
      </c>
      <c r="N37" s="771"/>
      <c r="O37" s="771"/>
      <c r="P37" s="771"/>
      <c r="Q37" s="771"/>
      <c r="R37" s="181">
        <v>628854.93333333335</v>
      </c>
      <c r="S37" s="206">
        <v>1</v>
      </c>
      <c r="T37" s="211">
        <v>60</v>
      </c>
      <c r="U37" s="181">
        <f>ROUND(+IF(T37=0,0,R37*S37/T37),0)</f>
        <v>10481</v>
      </c>
    </row>
    <row r="38" spans="1:21" ht="15" customHeight="1" x14ac:dyDescent="0.25">
      <c r="A38" s="22"/>
      <c r="B38" s="760"/>
      <c r="C38" s="760"/>
      <c r="D38" s="760"/>
      <c r="E38" s="760"/>
      <c r="F38" s="760"/>
      <c r="G38" s="24" t="str">
        <f>IF(B38="","",VLOOKUP(B38,CUADRILLAS!$B$87:$C$101,2,FALSE))</f>
        <v/>
      </c>
      <c r="H38" s="31"/>
      <c r="I38" s="34"/>
      <c r="J38" s="24">
        <f>ROUND(+IF(I38=0,0,G38*H38/I38),0)</f>
        <v>0</v>
      </c>
      <c r="L38" s="22"/>
      <c r="M38" s="771"/>
      <c r="N38" s="771"/>
      <c r="O38" s="771"/>
      <c r="P38" s="771"/>
      <c r="Q38" s="771"/>
      <c r="R38" s="181" t="s">
        <v>501</v>
      </c>
      <c r="S38" s="206"/>
      <c r="T38" s="180"/>
      <c r="U38" s="181">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12577</v>
      </c>
      <c r="L41" s="22"/>
      <c r="M41" s="772" t="s">
        <v>42</v>
      </c>
      <c r="N41" s="772"/>
      <c r="O41" s="772"/>
      <c r="P41" s="772"/>
      <c r="Q41" s="772"/>
      <c r="R41" s="772"/>
      <c r="S41" s="772"/>
      <c r="T41" s="772"/>
      <c r="U41" s="181">
        <f>SUM(U37:U40)</f>
        <v>10481</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70037</v>
      </c>
      <c r="L43" s="27"/>
      <c r="M43" s="773" t="s">
        <v>43</v>
      </c>
      <c r="N43" s="773"/>
      <c r="O43" s="773"/>
      <c r="P43" s="773"/>
      <c r="Q43" s="773"/>
      <c r="R43" s="773"/>
      <c r="S43" s="773"/>
      <c r="T43" s="773"/>
      <c r="U43" s="210">
        <f>+U41+U33+U15+U25</f>
        <v>67669</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E6:H6"/>
    <mergeCell ref="A1:C4"/>
    <mergeCell ref="D1:J1"/>
    <mergeCell ref="D2:J2"/>
    <mergeCell ref="D3:J3"/>
    <mergeCell ref="D4:J4"/>
    <mergeCell ref="B19:E19"/>
    <mergeCell ref="B7:J7"/>
    <mergeCell ref="B8:F8"/>
    <mergeCell ref="B9:F9"/>
    <mergeCell ref="B10:F10"/>
    <mergeCell ref="B11:F11"/>
    <mergeCell ref="B12:F12"/>
    <mergeCell ref="B13:F13"/>
    <mergeCell ref="B14:F14"/>
    <mergeCell ref="B15:I15"/>
    <mergeCell ref="B17:J17"/>
    <mergeCell ref="B18:E18"/>
    <mergeCell ref="B32:F32"/>
    <mergeCell ref="B20:E20"/>
    <mergeCell ref="B21:E21"/>
    <mergeCell ref="B22:E22"/>
    <mergeCell ref="B23:E23"/>
    <mergeCell ref="B24:E24"/>
    <mergeCell ref="B25:I25"/>
    <mergeCell ref="B27:J27"/>
    <mergeCell ref="B28:F28"/>
    <mergeCell ref="B29:F29"/>
    <mergeCell ref="B30:F30"/>
    <mergeCell ref="B31:F31"/>
    <mergeCell ref="B40:F40"/>
    <mergeCell ref="B41:I41"/>
    <mergeCell ref="B43:I43"/>
    <mergeCell ref="B33:I33"/>
    <mergeCell ref="B35:J35"/>
    <mergeCell ref="B36:F36"/>
    <mergeCell ref="B37:F37"/>
    <mergeCell ref="B38:F38"/>
    <mergeCell ref="B39:F39"/>
  </mergeCells>
  <hyperlinks>
    <hyperlink ref="C6" location="'PPTO HOJA'!A91" display="'PPTO HOJA'!A91" xr:uid="{00000000-0004-0000-1500-000000000000}"/>
    <hyperlink ref="N6" location="'PPTO HOJA'!A15" display="'PPTO HOJA'!A15" xr:uid="{00000000-0004-0000-15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1500-000000000000}">
          <x14:formula1>
            <xm:f>CUADRILLAS!$B$86:$B$101</xm:f>
          </x14:formula1>
          <xm:sqref>B37:F40</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76">
    <tabColor theme="9" tint="0.59999389629810485"/>
  </sheetPr>
  <dimension ref="A1:W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6.33203125" style="20" bestFit="1" customWidth="1"/>
    <col min="11" max="11" width="7.6640625" style="20" customWidth="1"/>
    <col min="12" max="13" width="11.44140625" style="20"/>
    <col min="14" max="14" width="11.5546875" style="20" bestFit="1" customWidth="1"/>
    <col min="15" max="16" width="11.44140625" style="20"/>
    <col min="17" max="17" width="11.5546875" style="20" bestFit="1" customWidth="1"/>
    <col min="18" max="18" width="13.44140625" style="20" bestFit="1" customWidth="1"/>
    <col min="19" max="19" width="11.5546875" style="20" bestFit="1" customWidth="1"/>
    <col min="20" max="20" width="13.109375" style="20" bestFit="1" customWidth="1"/>
    <col min="21" max="21" width="16.3320312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339</v>
      </c>
      <c r="B6" s="29" t="s">
        <v>22</v>
      </c>
      <c r="C6" s="116">
        <f>+'PPTO HOJA'!A35</f>
        <v>4.0299999999999994</v>
      </c>
      <c r="D6" s="28"/>
      <c r="E6" s="764" t="str">
        <f>'PPTO HOJA'!B35</f>
        <v>S/I Yee Sanitaria CC 4" x 4" PVC - S</v>
      </c>
      <c r="F6" s="764"/>
      <c r="G6" s="764"/>
      <c r="H6" s="764"/>
      <c r="I6" s="30" t="s">
        <v>23</v>
      </c>
      <c r="J6" s="31" t="str">
        <f>'PPTO HOJA'!C35</f>
        <v>und</v>
      </c>
      <c r="L6" s="30" t="str">
        <f>A6</f>
        <v>IV</v>
      </c>
      <c r="M6" s="29" t="s">
        <v>22</v>
      </c>
      <c r="N6" s="238">
        <f>C6</f>
        <v>4.0299999999999994</v>
      </c>
      <c r="O6" s="28"/>
      <c r="P6" s="764" t="str">
        <f>E6</f>
        <v>S/I Yee Sanitaria CC 4" x 4" PVC - S</v>
      </c>
      <c r="Q6" s="764"/>
      <c r="R6" s="764"/>
      <c r="S6" s="764"/>
      <c r="T6" s="30" t="s">
        <v>23</v>
      </c>
      <c r="U6" s="31" t="str">
        <f>J6</f>
        <v>und</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63</v>
      </c>
      <c r="L9" s="22"/>
      <c r="M9" s="760" t="s">
        <v>30</v>
      </c>
      <c r="N9" s="760"/>
      <c r="O9" s="760"/>
      <c r="P9" s="760"/>
      <c r="Q9" s="760"/>
      <c r="R9" s="31"/>
      <c r="S9" s="24"/>
      <c r="T9" s="33">
        <v>0.05</v>
      </c>
      <c r="U9" s="24">
        <f>ROUND(T9*U41,0)</f>
        <v>52</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64"/>
      <c r="N10" s="764"/>
      <c r="O10" s="764"/>
      <c r="P10" s="764"/>
      <c r="Q10" s="764"/>
      <c r="R10" s="31" t="str">
        <f>IF(M10="","",VLOOKUP(M10,EQUIPOS!$B$7:$F$46,3,FALSE))</f>
        <v/>
      </c>
      <c r="S10" s="24" t="str">
        <f>IF(M10="","",VLOOKUP(M10,EQUIPOS!$B$7:$F$46,5,FALSE))</f>
        <v/>
      </c>
      <c r="T10" s="34"/>
      <c r="U10" s="24">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60"/>
      <c r="N11" s="760"/>
      <c r="O11" s="760"/>
      <c r="P11" s="760"/>
      <c r="Q11" s="760"/>
      <c r="R11" s="31" t="str">
        <f>IF(M11="","",VLOOKUP(M11,EQUIPOS!$B$7:$F$46,3,FALSE))</f>
        <v/>
      </c>
      <c r="S11" s="24" t="str">
        <f>IF(M11="","",VLOOKUP(M11,EQUIPOS!$B$7:$F$46,5,FALSE))</f>
        <v/>
      </c>
      <c r="T11" s="34"/>
      <c r="U11" s="24">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60"/>
      <c r="N12" s="760"/>
      <c r="O12" s="760"/>
      <c r="P12" s="760"/>
      <c r="Q12" s="760"/>
      <c r="R12" s="31" t="str">
        <f>IF(M12="","",VLOOKUP(M12,EQUIPOS!$B$7:$F$46,3,FALSE))</f>
        <v/>
      </c>
      <c r="S12" s="24" t="str">
        <f>IF(M12="","",VLOOKUP(M12,EQUIPOS!$B$7:$F$46,5,FALSE))</f>
        <v/>
      </c>
      <c r="T12" s="34"/>
      <c r="U12" s="24">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60"/>
      <c r="N13" s="760"/>
      <c r="O13" s="760"/>
      <c r="P13" s="760"/>
      <c r="Q13" s="760"/>
      <c r="R13" s="31" t="str">
        <f>IF(M13="","",VLOOKUP(M13,EQUIPOS!$B$7:$F$46,3,FALSE))</f>
        <v/>
      </c>
      <c r="S13" s="24" t="str">
        <f>IF(M13="","",VLOOKUP(M13,EQUIPOS!$B$7:$F$46,5,FALSE))</f>
        <v/>
      </c>
      <c r="T13" s="34"/>
      <c r="U13" s="24">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60"/>
      <c r="N14" s="760"/>
      <c r="O14" s="760"/>
      <c r="P14" s="760"/>
      <c r="Q14" s="760"/>
      <c r="R14" s="31" t="str">
        <f>IF(M14="","",VLOOKUP(M14,EQUIPOS!$B$7:$F$46,3,FALSE))</f>
        <v/>
      </c>
      <c r="S14" s="24" t="str">
        <f>IF(M14="","",VLOOKUP(M14,EQUIPOS!$B$7:$F$46,5,FALSE))</f>
        <v/>
      </c>
      <c r="T14" s="34"/>
      <c r="U14" s="24"/>
    </row>
    <row r="15" spans="1:21" ht="15" customHeight="1" x14ac:dyDescent="0.25">
      <c r="A15" s="22"/>
      <c r="B15" s="761" t="s">
        <v>31</v>
      </c>
      <c r="C15" s="761"/>
      <c r="D15" s="761"/>
      <c r="E15" s="761"/>
      <c r="F15" s="761"/>
      <c r="G15" s="761"/>
      <c r="H15" s="761"/>
      <c r="I15" s="761"/>
      <c r="J15" s="24">
        <f>SUM(J9:J14)</f>
        <v>63</v>
      </c>
      <c r="L15" s="22"/>
      <c r="M15" s="761" t="s">
        <v>31</v>
      </c>
      <c r="N15" s="761"/>
      <c r="O15" s="761"/>
      <c r="P15" s="761"/>
      <c r="Q15" s="761"/>
      <c r="R15" s="761"/>
      <c r="S15" s="761"/>
      <c r="T15" s="761"/>
      <c r="U15" s="24">
        <f>SUM(U9:U14)</f>
        <v>52</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3" ht="15" customHeight="1" x14ac:dyDescent="0.25">
      <c r="A17" s="22"/>
      <c r="B17" s="761" t="s">
        <v>32</v>
      </c>
      <c r="C17" s="761"/>
      <c r="D17" s="761"/>
      <c r="E17" s="761"/>
      <c r="F17" s="761"/>
      <c r="G17" s="761"/>
      <c r="H17" s="761"/>
      <c r="I17" s="761"/>
      <c r="J17" s="761"/>
      <c r="L17" s="22"/>
      <c r="M17" s="761" t="s">
        <v>32</v>
      </c>
      <c r="N17" s="761"/>
      <c r="O17" s="761"/>
      <c r="P17" s="761"/>
      <c r="Q17" s="761"/>
      <c r="R17" s="761"/>
      <c r="S17" s="761"/>
      <c r="T17" s="761"/>
      <c r="U17" s="761"/>
    </row>
    <row r="18" spans="1:23" ht="26.4" x14ac:dyDescent="0.25">
      <c r="A18" s="22"/>
      <c r="B18" s="763" t="s">
        <v>33</v>
      </c>
      <c r="C18" s="763"/>
      <c r="D18" s="763"/>
      <c r="E18" s="763"/>
      <c r="F18" s="28" t="s">
        <v>19</v>
      </c>
      <c r="G18" s="31" t="s">
        <v>34</v>
      </c>
      <c r="H18" s="32" t="s">
        <v>35</v>
      </c>
      <c r="I18" s="32" t="s">
        <v>36</v>
      </c>
      <c r="J18" s="32" t="s">
        <v>29</v>
      </c>
      <c r="L18" s="22"/>
      <c r="M18" s="763" t="s">
        <v>33</v>
      </c>
      <c r="N18" s="763"/>
      <c r="O18" s="763"/>
      <c r="P18" s="763"/>
      <c r="Q18" s="28" t="s">
        <v>19</v>
      </c>
      <c r="R18" s="31" t="s">
        <v>34</v>
      </c>
      <c r="S18" s="32" t="s">
        <v>35</v>
      </c>
      <c r="T18" s="32" t="s">
        <v>36</v>
      </c>
      <c r="U18" s="32" t="s">
        <v>29</v>
      </c>
    </row>
    <row r="19" spans="1:23" ht="14.25" customHeight="1" x14ac:dyDescent="0.25">
      <c r="A19" s="22"/>
      <c r="B19" s="764" t="s">
        <v>247</v>
      </c>
      <c r="C19" s="764"/>
      <c r="D19" s="764"/>
      <c r="E19" s="764"/>
      <c r="F19" s="34">
        <v>1</v>
      </c>
      <c r="G19" s="31" t="str">
        <f>IF(F19=0,"",VLOOKUP(B19,'LISTADO DE MATERIALES'!$B$6:$D$311,2,FALSE))</f>
        <v>und</v>
      </c>
      <c r="H19" s="107"/>
      <c r="I19" s="24">
        <f>IF(F19=0,"",VLOOKUP(B19,'LISTADO DE MATERIALES'!$B$6:$D$311,3,FALSE))</f>
        <v>39331.919999999998</v>
      </c>
      <c r="J19" s="24">
        <f>IF(I19="",0,ROUND((+F19*I19*(1+H19)),0))</f>
        <v>39332</v>
      </c>
      <c r="L19" s="22"/>
      <c r="M19" s="764" t="s">
        <v>247</v>
      </c>
      <c r="N19" s="764"/>
      <c r="O19" s="764"/>
      <c r="P19" s="764"/>
      <c r="Q19" s="34">
        <v>1</v>
      </c>
      <c r="R19" s="31" t="str">
        <f>IF(Q19=0,"",VLOOKUP(M19,'LISTADO DE MATERIALES'!$B$6:$D$311,2,FALSE))</f>
        <v>und</v>
      </c>
      <c r="S19" s="107"/>
      <c r="T19" s="24">
        <f>IF(Q19=0,"",VLOOKUP(M19,'LISTADO DE MATERIALES'!$B$6:$D$311,3,FALSE))</f>
        <v>39331.919999999998</v>
      </c>
      <c r="U19" s="24">
        <f>IF(T19="",0,ROUND((+Q19*T19*(1+S19)),0))</f>
        <v>39332</v>
      </c>
      <c r="W19" s="274">
        <v>36357</v>
      </c>
    </row>
    <row r="20" spans="1:23" ht="15" customHeight="1" x14ac:dyDescent="0.25">
      <c r="A20" s="22"/>
      <c r="B20" s="760" t="s">
        <v>192</v>
      </c>
      <c r="C20" s="760"/>
      <c r="D20" s="760"/>
      <c r="E20" s="760"/>
      <c r="F20" s="34">
        <v>7.0000000000000001E-3</v>
      </c>
      <c r="G20" s="31" t="str">
        <f>IF(F20=0,"",VLOOKUP(B20,'LISTADO DE MATERIALES'!$B$6:$D$311,2,FALSE))</f>
        <v>und</v>
      </c>
      <c r="H20" s="107">
        <v>0.05</v>
      </c>
      <c r="I20" s="24">
        <f>IF(F20=0,"",VLOOKUP(B20,'LISTADO DE MATERIALES'!$B$6:$D$311,3,FALSE))</f>
        <v>147850</v>
      </c>
      <c r="J20" s="24">
        <f t="shared" ref="J20:J24" si="2">IF(I20="",0,ROUND((+F20*I20*(1+H20)),0))</f>
        <v>1087</v>
      </c>
      <c r="L20" s="22"/>
      <c r="M20" s="760" t="s">
        <v>192</v>
      </c>
      <c r="N20" s="760"/>
      <c r="O20" s="760"/>
      <c r="P20" s="760"/>
      <c r="Q20" s="34">
        <v>7.0000000000000001E-3</v>
      </c>
      <c r="R20" s="31" t="str">
        <f>IF(Q20=0,"",VLOOKUP(M20,'LISTADO DE MATERIALES'!$B$6:$D$311,2,FALSE))</f>
        <v>und</v>
      </c>
      <c r="S20" s="107"/>
      <c r="T20" s="271">
        <f>IF(Q20=0,"",VLOOKUP(M20,'LISTADO DE MATERIALES'!$B$6:$D$311,3,FALSE))</f>
        <v>147850</v>
      </c>
      <c r="U20" s="24">
        <f t="shared" ref="U20:U24" si="3">IF(T20="",0,ROUND((+Q20*T20*(1+S20)),0))</f>
        <v>1035</v>
      </c>
    </row>
    <row r="21" spans="1:23" ht="15" customHeight="1" x14ac:dyDescent="0.25">
      <c r="A21" s="22"/>
      <c r="B21" s="760" t="s">
        <v>193</v>
      </c>
      <c r="C21" s="760"/>
      <c r="D21" s="760"/>
      <c r="E21" s="760"/>
      <c r="F21" s="34">
        <v>7.0000000000000001E-3</v>
      </c>
      <c r="G21" s="31" t="str">
        <f>IF(F21=0,"",VLOOKUP(B21,'LISTADO DE MATERIALES'!$B$6:$D$311,2,FALSE))</f>
        <v>und</v>
      </c>
      <c r="H21" s="107">
        <v>0.05</v>
      </c>
      <c r="I21" s="24">
        <f>IF(F21=0,"",VLOOKUP(B21,'LISTADO DE MATERIALES'!$B$6:$D$311,3,FALSE))</f>
        <v>71305</v>
      </c>
      <c r="J21" s="24">
        <f t="shared" si="2"/>
        <v>524</v>
      </c>
      <c r="L21" s="22"/>
      <c r="M21" s="760" t="s">
        <v>193</v>
      </c>
      <c r="N21" s="760"/>
      <c r="O21" s="760"/>
      <c r="P21" s="760"/>
      <c r="Q21" s="34">
        <v>7.0000000000000001E-3</v>
      </c>
      <c r="R21" s="31" t="str">
        <f>IF(Q21=0,"",VLOOKUP(M21,'LISTADO DE MATERIALES'!$B$6:$D$311,2,FALSE))</f>
        <v>und</v>
      </c>
      <c r="S21" s="107"/>
      <c r="T21" s="271">
        <f>IF(Q21=0,"",VLOOKUP(M21,'LISTADO DE MATERIALES'!$B$6:$D$311,3,FALSE))</f>
        <v>71305</v>
      </c>
      <c r="U21" s="24">
        <f t="shared" si="3"/>
        <v>499</v>
      </c>
    </row>
    <row r="22" spans="1:23"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60"/>
      <c r="N22" s="760"/>
      <c r="O22" s="760"/>
      <c r="P22" s="760"/>
      <c r="Q22" s="34"/>
      <c r="R22" s="31" t="str">
        <f>IF(Q22=0,"",VLOOKUP(M22,'LISTADO DE MATERIALES'!$B$6:$D$311,2,FALSE))</f>
        <v/>
      </c>
      <c r="S22" s="107"/>
      <c r="T22" s="24" t="str">
        <f>IF(Q22=0,"",VLOOKUP(M22,'LISTADO DE MATERIALES'!$B$6:$D$311,3,FALSE))</f>
        <v/>
      </c>
      <c r="U22" s="24">
        <f t="shared" si="3"/>
        <v>0</v>
      </c>
    </row>
    <row r="23" spans="1:23"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60"/>
      <c r="N23" s="760"/>
      <c r="O23" s="760"/>
      <c r="P23" s="760"/>
      <c r="Q23" s="34"/>
      <c r="R23" s="31" t="str">
        <f>IF(Q23=0,"",VLOOKUP(M23,'LISTADO DE MATERIALES'!$B$6:$D$311,2,FALSE))</f>
        <v/>
      </c>
      <c r="S23" s="107"/>
      <c r="T23" s="24" t="str">
        <f>IF(Q23=0,"",VLOOKUP(M23,'LISTADO DE MATERIALES'!$B$6:$D$311,3,FALSE))</f>
        <v/>
      </c>
      <c r="U23" s="24">
        <f t="shared" si="3"/>
        <v>0</v>
      </c>
    </row>
    <row r="24" spans="1:23"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60"/>
      <c r="N24" s="760"/>
      <c r="O24" s="760"/>
      <c r="P24" s="760"/>
      <c r="Q24" s="34"/>
      <c r="R24" s="31" t="str">
        <f>IF(Q24=0,"",VLOOKUP(M24,'LISTADO DE MATERIALES'!$B$6:$D$311,2,FALSE))</f>
        <v/>
      </c>
      <c r="S24" s="107"/>
      <c r="T24" s="24" t="str">
        <f>IF(Q24=0,"",VLOOKUP(M24,'LISTADO DE MATERIALES'!$B$6:$D$311,3,FALSE))</f>
        <v/>
      </c>
      <c r="U24" s="24">
        <f t="shared" si="3"/>
        <v>0</v>
      </c>
    </row>
    <row r="25" spans="1:23" ht="15" customHeight="1" x14ac:dyDescent="0.25">
      <c r="A25" s="22"/>
      <c r="B25" s="761" t="s">
        <v>37</v>
      </c>
      <c r="C25" s="761"/>
      <c r="D25" s="761"/>
      <c r="E25" s="761"/>
      <c r="F25" s="761"/>
      <c r="G25" s="761"/>
      <c r="H25" s="761"/>
      <c r="I25" s="761"/>
      <c r="J25" s="24">
        <f>SUM(J19:J24)</f>
        <v>40943</v>
      </c>
      <c r="L25" s="22"/>
      <c r="M25" s="761" t="s">
        <v>37</v>
      </c>
      <c r="N25" s="761"/>
      <c r="O25" s="761"/>
      <c r="P25" s="761"/>
      <c r="Q25" s="761"/>
      <c r="R25" s="761"/>
      <c r="S25" s="761"/>
      <c r="T25" s="761"/>
      <c r="U25" s="24">
        <f>SUM(U19:U24)</f>
        <v>40866</v>
      </c>
    </row>
    <row r="26" spans="1:23" ht="7.5" customHeight="1" x14ac:dyDescent="0.25">
      <c r="A26" s="22"/>
      <c r="B26" s="25"/>
      <c r="C26" s="25"/>
      <c r="D26" s="25"/>
      <c r="E26" s="25"/>
      <c r="F26" s="25"/>
      <c r="G26" s="25"/>
      <c r="H26" s="25"/>
      <c r="I26" s="25"/>
      <c r="J26" s="26"/>
      <c r="L26" s="22"/>
      <c r="M26" s="25"/>
      <c r="N26" s="25"/>
      <c r="O26" s="25"/>
      <c r="P26" s="25"/>
      <c r="Q26" s="25"/>
      <c r="R26" s="25"/>
      <c r="S26" s="25"/>
      <c r="T26" s="25"/>
      <c r="U26" s="26"/>
    </row>
    <row r="27" spans="1:23" ht="15" customHeight="1" x14ac:dyDescent="0.25">
      <c r="A27" s="22"/>
      <c r="B27" s="761" t="s">
        <v>38</v>
      </c>
      <c r="C27" s="761"/>
      <c r="D27" s="761"/>
      <c r="E27" s="761"/>
      <c r="F27" s="761"/>
      <c r="G27" s="761"/>
      <c r="H27" s="761"/>
      <c r="I27" s="761"/>
      <c r="J27" s="761"/>
      <c r="L27" s="22"/>
      <c r="M27" s="761" t="s">
        <v>38</v>
      </c>
      <c r="N27" s="761"/>
      <c r="O27" s="761"/>
      <c r="P27" s="761"/>
      <c r="Q27" s="761"/>
      <c r="R27" s="761"/>
      <c r="S27" s="761"/>
      <c r="T27" s="761"/>
      <c r="U27" s="761"/>
    </row>
    <row r="28" spans="1:23" ht="26.4" customHeight="1" x14ac:dyDescent="0.25">
      <c r="A28" s="22"/>
      <c r="B28" s="763" t="s">
        <v>33</v>
      </c>
      <c r="C28" s="763"/>
      <c r="D28" s="763"/>
      <c r="E28" s="763"/>
      <c r="F28" s="763"/>
      <c r="G28" s="31" t="s">
        <v>133</v>
      </c>
      <c r="H28" s="31" t="s">
        <v>132</v>
      </c>
      <c r="I28" s="31" t="s">
        <v>39</v>
      </c>
      <c r="J28" s="32" t="s">
        <v>29</v>
      </c>
      <c r="L28" s="22"/>
      <c r="M28" s="763" t="s">
        <v>33</v>
      </c>
      <c r="N28" s="763"/>
      <c r="O28" s="763"/>
      <c r="P28" s="763"/>
      <c r="Q28" s="763"/>
      <c r="R28" s="31" t="s">
        <v>133</v>
      </c>
      <c r="S28" s="31" t="s">
        <v>132</v>
      </c>
      <c r="T28" s="31" t="s">
        <v>39</v>
      </c>
      <c r="U28" s="32" t="s">
        <v>29</v>
      </c>
    </row>
    <row r="29" spans="1:23" ht="15" customHeight="1" x14ac:dyDescent="0.25">
      <c r="A29" s="22"/>
      <c r="B29" s="760"/>
      <c r="C29" s="760"/>
      <c r="D29" s="760"/>
      <c r="E29" s="760"/>
      <c r="F29" s="760"/>
      <c r="G29" s="31"/>
      <c r="H29" s="34"/>
      <c r="I29" s="24"/>
      <c r="J29" s="24">
        <f>ROUND((I29*H29*G29),0)</f>
        <v>0</v>
      </c>
      <c r="L29" s="22"/>
      <c r="M29" s="760"/>
      <c r="N29" s="760"/>
      <c r="O29" s="760"/>
      <c r="P29" s="760"/>
      <c r="Q29" s="760"/>
      <c r="R29" s="31"/>
      <c r="S29" s="34"/>
      <c r="T29" s="24"/>
      <c r="U29" s="24">
        <f>ROUND((T29*S29*R29),0)</f>
        <v>0</v>
      </c>
    </row>
    <row r="30" spans="1:23" ht="15" customHeight="1" x14ac:dyDescent="0.25">
      <c r="A30" s="22"/>
      <c r="B30" s="760"/>
      <c r="C30" s="760"/>
      <c r="D30" s="760"/>
      <c r="E30" s="760"/>
      <c r="F30" s="760"/>
      <c r="G30" s="31"/>
      <c r="H30" s="34"/>
      <c r="I30" s="24"/>
      <c r="J30" s="24">
        <v>0</v>
      </c>
      <c r="L30" s="22"/>
      <c r="M30" s="760"/>
      <c r="N30" s="760"/>
      <c r="O30" s="760"/>
      <c r="P30" s="760"/>
      <c r="Q30" s="760"/>
      <c r="R30" s="31"/>
      <c r="S30" s="34"/>
      <c r="T30" s="24"/>
      <c r="U30" s="24">
        <v>0</v>
      </c>
    </row>
    <row r="31" spans="1:23" ht="15" customHeight="1" x14ac:dyDescent="0.25">
      <c r="A31" s="22"/>
      <c r="B31" s="760"/>
      <c r="C31" s="760"/>
      <c r="D31" s="760"/>
      <c r="E31" s="760"/>
      <c r="F31" s="760"/>
      <c r="G31" s="31"/>
      <c r="H31" s="34"/>
      <c r="I31" s="24"/>
      <c r="J31" s="24">
        <v>0</v>
      </c>
      <c r="L31" s="22"/>
      <c r="M31" s="760"/>
      <c r="N31" s="760"/>
      <c r="O31" s="760"/>
      <c r="P31" s="760"/>
      <c r="Q31" s="760"/>
      <c r="R31" s="31"/>
      <c r="S31" s="34"/>
      <c r="T31" s="24"/>
      <c r="U31" s="24">
        <v>0</v>
      </c>
    </row>
    <row r="32" spans="1:23" ht="15" customHeight="1" x14ac:dyDescent="0.25">
      <c r="A32" s="22"/>
      <c r="B32" s="760"/>
      <c r="C32" s="760"/>
      <c r="D32" s="760"/>
      <c r="E32" s="760"/>
      <c r="F32" s="760"/>
      <c r="G32" s="31"/>
      <c r="H32" s="31"/>
      <c r="I32" s="24"/>
      <c r="J32" s="24">
        <v>0</v>
      </c>
      <c r="L32" s="22"/>
      <c r="M32" s="760"/>
      <c r="N32" s="760"/>
      <c r="O32" s="760"/>
      <c r="P32" s="760"/>
      <c r="Q32" s="760"/>
      <c r="R32" s="31"/>
      <c r="S32" s="31"/>
      <c r="T32" s="24"/>
      <c r="U32" s="24">
        <v>0</v>
      </c>
    </row>
    <row r="33" spans="1:21" ht="15" customHeight="1" x14ac:dyDescent="0.25">
      <c r="A33" s="22"/>
      <c r="B33" s="761" t="s">
        <v>40</v>
      </c>
      <c r="C33" s="761"/>
      <c r="D33" s="761"/>
      <c r="E33" s="761"/>
      <c r="F33" s="761"/>
      <c r="G33" s="761"/>
      <c r="H33" s="761"/>
      <c r="I33" s="761"/>
      <c r="J33" s="24">
        <f>SUM(J29:J32)</f>
        <v>0</v>
      </c>
      <c r="L33" s="22"/>
      <c r="M33" s="761" t="s">
        <v>40</v>
      </c>
      <c r="N33" s="761"/>
      <c r="O33" s="761"/>
      <c r="P33" s="761"/>
      <c r="Q33" s="761"/>
      <c r="R33" s="761"/>
      <c r="S33" s="761"/>
      <c r="T33" s="761"/>
      <c r="U33" s="24">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61" t="s">
        <v>41</v>
      </c>
      <c r="N35" s="761"/>
      <c r="O35" s="761"/>
      <c r="P35" s="761"/>
      <c r="Q35" s="761"/>
      <c r="R35" s="761"/>
      <c r="S35" s="761"/>
      <c r="T35" s="761"/>
      <c r="U35" s="761"/>
    </row>
    <row r="36" spans="1:21" ht="39.6" x14ac:dyDescent="0.25">
      <c r="A36" s="22"/>
      <c r="B36" s="763" t="s">
        <v>4</v>
      </c>
      <c r="C36" s="763"/>
      <c r="D36" s="763"/>
      <c r="E36" s="763"/>
      <c r="F36" s="763"/>
      <c r="G36" s="32" t="s">
        <v>51</v>
      </c>
      <c r="H36" s="32" t="s">
        <v>19</v>
      </c>
      <c r="I36" s="32" t="s">
        <v>28</v>
      </c>
      <c r="J36" s="32" t="s">
        <v>29</v>
      </c>
      <c r="L36" s="22"/>
      <c r="M36" s="763" t="s">
        <v>4</v>
      </c>
      <c r="N36" s="763"/>
      <c r="O36" s="763"/>
      <c r="P36" s="763"/>
      <c r="Q36" s="763"/>
      <c r="R36" s="32" t="s">
        <v>51</v>
      </c>
      <c r="S36" s="32" t="s">
        <v>19</v>
      </c>
      <c r="T36" s="32" t="s">
        <v>28</v>
      </c>
      <c r="U36" s="32" t="s">
        <v>29</v>
      </c>
    </row>
    <row r="37" spans="1:21" ht="15" customHeight="1" x14ac:dyDescent="0.25">
      <c r="A37" s="22"/>
      <c r="B37" s="760" t="s">
        <v>73</v>
      </c>
      <c r="C37" s="760"/>
      <c r="D37" s="760"/>
      <c r="E37" s="760"/>
      <c r="F37" s="760"/>
      <c r="G37" s="24">
        <f>IF(B37="","",VLOOKUP(B37,CUADRILLAS!$B$87:$C$101,2,FALSE))</f>
        <v>628854.93333333335</v>
      </c>
      <c r="H37" s="31">
        <v>1</v>
      </c>
      <c r="I37" s="34">
        <v>500</v>
      </c>
      <c r="J37" s="24">
        <f>ROUND(+IF(I37=0,0,G37*H37/I37),0)</f>
        <v>1258</v>
      </c>
      <c r="L37" s="22"/>
      <c r="M37" s="760" t="s">
        <v>73</v>
      </c>
      <c r="N37" s="760"/>
      <c r="O37" s="760"/>
      <c r="P37" s="760"/>
      <c r="Q37" s="760"/>
      <c r="R37" s="24">
        <f>IF(M37="","",VLOOKUP(M37,CUADRILLAS!$B$87:$C$101,2,FALSE))</f>
        <v>628854.93333333335</v>
      </c>
      <c r="S37" s="31">
        <v>1</v>
      </c>
      <c r="T37" s="34">
        <v>600</v>
      </c>
      <c r="U37" s="24">
        <f>ROUND(+IF(T37=0,0,R37*S37/T37),0)</f>
        <v>1048</v>
      </c>
    </row>
    <row r="38" spans="1:21" ht="15" customHeight="1" x14ac:dyDescent="0.25">
      <c r="A38" s="22"/>
      <c r="B38" s="760"/>
      <c r="C38" s="760"/>
      <c r="D38" s="760"/>
      <c r="E38" s="760"/>
      <c r="F38" s="760"/>
      <c r="G38" s="24" t="str">
        <f>IF(B38="","",VLOOKUP(B38,CUADRILLAS!$B$87:$C$101,2,FALSE))</f>
        <v/>
      </c>
      <c r="H38" s="31"/>
      <c r="I38" s="34"/>
      <c r="J38" s="24">
        <f>ROUND(+IF(I38=0,0,G38*H38/I38),0)</f>
        <v>0</v>
      </c>
      <c r="L38" s="22"/>
      <c r="M38" s="760"/>
      <c r="N38" s="760"/>
      <c r="O38" s="760"/>
      <c r="P38" s="760"/>
      <c r="Q38" s="760"/>
      <c r="R38" s="24" t="str">
        <f>IF(M38="","",VLOOKUP(M38,CUADRILLAS!$B$87:$C$101,2,FALSE))</f>
        <v/>
      </c>
      <c r="S38" s="31"/>
      <c r="T38" s="34"/>
      <c r="U38" s="24">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60"/>
      <c r="N39" s="760"/>
      <c r="O39" s="760"/>
      <c r="P39" s="760"/>
      <c r="Q39" s="760"/>
      <c r="R39" s="24" t="str">
        <f>IF(M39="","",VLOOKUP(M39,CUADRILLAS!$B$87:$C$101,2,FALSE))</f>
        <v/>
      </c>
      <c r="S39" s="31"/>
      <c r="T39" s="34"/>
      <c r="U39" s="24">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60"/>
      <c r="N40" s="760"/>
      <c r="O40" s="760"/>
      <c r="P40" s="760"/>
      <c r="Q40" s="760"/>
      <c r="R40" s="24" t="str">
        <f>IF(M40="","",VLOOKUP(M40,CUADRILLAS!$B$87:$C$101,2,FALSE))</f>
        <v/>
      </c>
      <c r="S40" s="31"/>
      <c r="T40" s="34"/>
      <c r="U40" s="24">
        <f t="shared" si="5"/>
        <v>0</v>
      </c>
    </row>
    <row r="41" spans="1:21" ht="15" customHeight="1" x14ac:dyDescent="0.25">
      <c r="A41" s="22"/>
      <c r="B41" s="761" t="s">
        <v>42</v>
      </c>
      <c r="C41" s="761"/>
      <c r="D41" s="761"/>
      <c r="E41" s="761"/>
      <c r="F41" s="761"/>
      <c r="G41" s="761"/>
      <c r="H41" s="761"/>
      <c r="I41" s="761"/>
      <c r="J41" s="24">
        <f>SUM(J37:J40)</f>
        <v>1258</v>
      </c>
      <c r="L41" s="22"/>
      <c r="M41" s="761" t="s">
        <v>42</v>
      </c>
      <c r="N41" s="761"/>
      <c r="O41" s="761"/>
      <c r="P41" s="761"/>
      <c r="Q41" s="761"/>
      <c r="R41" s="761"/>
      <c r="S41" s="761"/>
      <c r="T41" s="761"/>
      <c r="U41" s="24">
        <f>SUM(U37:U40)</f>
        <v>1048</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42264</v>
      </c>
      <c r="L43" s="27"/>
      <c r="M43" s="762" t="s">
        <v>43</v>
      </c>
      <c r="N43" s="762"/>
      <c r="O43" s="762"/>
      <c r="P43" s="762"/>
      <c r="Q43" s="762"/>
      <c r="R43" s="762"/>
      <c r="S43" s="762"/>
      <c r="T43" s="762"/>
      <c r="U43" s="106">
        <f>+U41+U33+U15+U25</f>
        <v>41966</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E6:H6"/>
    <mergeCell ref="A1:C4"/>
    <mergeCell ref="D1:J1"/>
    <mergeCell ref="D2:J2"/>
    <mergeCell ref="D3:J3"/>
    <mergeCell ref="D4:J4"/>
    <mergeCell ref="B19:E19"/>
    <mergeCell ref="B7:J7"/>
    <mergeCell ref="B8:F8"/>
    <mergeCell ref="B9:F9"/>
    <mergeCell ref="B10:F10"/>
    <mergeCell ref="B11:F11"/>
    <mergeCell ref="B12:F12"/>
    <mergeCell ref="B13:F13"/>
    <mergeCell ref="B14:F14"/>
    <mergeCell ref="B15:I15"/>
    <mergeCell ref="B17:J17"/>
    <mergeCell ref="B18:E18"/>
    <mergeCell ref="B32:F32"/>
    <mergeCell ref="B20:E20"/>
    <mergeCell ref="B21:E21"/>
    <mergeCell ref="B22:E22"/>
    <mergeCell ref="B23:E23"/>
    <mergeCell ref="B24:E24"/>
    <mergeCell ref="B25:I25"/>
    <mergeCell ref="B27:J27"/>
    <mergeCell ref="B28:F28"/>
    <mergeCell ref="B29:F29"/>
    <mergeCell ref="B30:F30"/>
    <mergeCell ref="B31:F31"/>
    <mergeCell ref="B40:F40"/>
    <mergeCell ref="B41:I41"/>
    <mergeCell ref="B43:I43"/>
    <mergeCell ref="B33:I33"/>
    <mergeCell ref="B35:J35"/>
    <mergeCell ref="B36:F36"/>
    <mergeCell ref="B37:F37"/>
    <mergeCell ref="B38:F38"/>
    <mergeCell ref="B39:F39"/>
  </mergeCells>
  <hyperlinks>
    <hyperlink ref="C6" location="'PPTO HOJA'!A95" display="'PPTO HOJA'!A95" xr:uid="{00000000-0004-0000-1600-000000000000}"/>
    <hyperlink ref="N6" location="'PPTO HOJA'!A15" display="'PPTO HOJA'!A15" xr:uid="{00000000-0004-0000-16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1600-000000000000}">
          <x14:formula1>
            <xm:f>CUADRILLAS!$B$86:$B$101</xm:f>
          </x14:formula1>
          <xm:sqref>B37:F40 M37:Q40</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78">
    <tabColor theme="9" tint="0.59999389629810485"/>
  </sheetPr>
  <dimension ref="A1:W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6.33203125" style="20" bestFit="1" customWidth="1"/>
    <col min="11" max="11" width="6.6640625" style="20" customWidth="1"/>
    <col min="12" max="13" width="11.44140625" style="20"/>
    <col min="14" max="14" width="11.5546875" style="20" bestFit="1" customWidth="1"/>
    <col min="15" max="16" width="11.44140625" style="20"/>
    <col min="17" max="17" width="11.5546875" style="20" bestFit="1" customWidth="1"/>
    <col min="18" max="18" width="13.44140625" style="20" bestFit="1" customWidth="1"/>
    <col min="19" max="19" width="11.5546875" style="20" bestFit="1" customWidth="1"/>
    <col min="20" max="20" width="13.109375" style="20" bestFit="1" customWidth="1"/>
    <col min="21" max="21" width="15.88671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61.2"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339</v>
      </c>
      <c r="B6" s="29" t="s">
        <v>22</v>
      </c>
      <c r="C6" s="116">
        <f>+'PPTO HOJA'!A36</f>
        <v>4.0399999999999991</v>
      </c>
      <c r="D6" s="28"/>
      <c r="E6" s="764" t="str">
        <f>'PPTO HOJA'!B36</f>
        <v>S/I Codo 45° Ø 6" PVC - S</v>
      </c>
      <c r="F6" s="764"/>
      <c r="G6" s="764"/>
      <c r="H6" s="764"/>
      <c r="I6" s="30" t="s">
        <v>23</v>
      </c>
      <c r="J6" s="31" t="str">
        <f>'PPTO HOJA'!C36</f>
        <v>und</v>
      </c>
      <c r="L6" s="30" t="str">
        <f>A6</f>
        <v>IV</v>
      </c>
      <c r="M6" s="29" t="s">
        <v>22</v>
      </c>
      <c r="N6" s="238">
        <f>C6</f>
        <v>4.0399999999999991</v>
      </c>
      <c r="O6" s="28"/>
      <c r="P6" s="764" t="str">
        <f>E6</f>
        <v>S/I Codo 45° Ø 6" PVC - S</v>
      </c>
      <c r="Q6" s="764"/>
      <c r="R6" s="764"/>
      <c r="S6" s="764"/>
      <c r="T6" s="30" t="s">
        <v>23</v>
      </c>
      <c r="U6" s="31" t="str">
        <f>J6</f>
        <v>und</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70</v>
      </c>
      <c r="L9" s="22"/>
      <c r="M9" s="760" t="s">
        <v>30</v>
      </c>
      <c r="N9" s="760"/>
      <c r="O9" s="760"/>
      <c r="P9" s="760"/>
      <c r="Q9" s="760"/>
      <c r="R9" s="31"/>
      <c r="S9" s="24"/>
      <c r="T9" s="33">
        <v>0.05</v>
      </c>
      <c r="U9" s="24">
        <f>ROUND(T9*U41,0)</f>
        <v>57</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64"/>
      <c r="N10" s="764"/>
      <c r="O10" s="764"/>
      <c r="P10" s="764"/>
      <c r="Q10" s="764"/>
      <c r="R10" s="31" t="str">
        <f>IF(M10="","",VLOOKUP(M10,EQUIPOS!$B$7:$F$46,3,FALSE))</f>
        <v/>
      </c>
      <c r="S10" s="24" t="str">
        <f>IF(M10="","",VLOOKUP(M10,EQUIPOS!$B$7:$F$46,5,FALSE))</f>
        <v/>
      </c>
      <c r="T10" s="34"/>
      <c r="U10" s="24">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60"/>
      <c r="N11" s="760"/>
      <c r="O11" s="760"/>
      <c r="P11" s="760"/>
      <c r="Q11" s="760"/>
      <c r="R11" s="31" t="str">
        <f>IF(M11="","",VLOOKUP(M11,EQUIPOS!$B$7:$F$46,3,FALSE))</f>
        <v/>
      </c>
      <c r="S11" s="24" t="str">
        <f>IF(M11="","",VLOOKUP(M11,EQUIPOS!$B$7:$F$46,5,FALSE))</f>
        <v/>
      </c>
      <c r="T11" s="34"/>
      <c r="U11" s="24">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60"/>
      <c r="N12" s="760"/>
      <c r="O12" s="760"/>
      <c r="P12" s="760"/>
      <c r="Q12" s="760"/>
      <c r="R12" s="31" t="str">
        <f>IF(M12="","",VLOOKUP(M12,EQUIPOS!$B$7:$F$46,3,FALSE))</f>
        <v/>
      </c>
      <c r="S12" s="24" t="str">
        <f>IF(M12="","",VLOOKUP(M12,EQUIPOS!$B$7:$F$46,5,FALSE))</f>
        <v/>
      </c>
      <c r="T12" s="34"/>
      <c r="U12" s="24">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60"/>
      <c r="N13" s="760"/>
      <c r="O13" s="760"/>
      <c r="P13" s="760"/>
      <c r="Q13" s="760"/>
      <c r="R13" s="31" t="str">
        <f>IF(M13="","",VLOOKUP(M13,EQUIPOS!$B$7:$F$46,3,FALSE))</f>
        <v/>
      </c>
      <c r="S13" s="24" t="str">
        <f>IF(M13="","",VLOOKUP(M13,EQUIPOS!$B$7:$F$46,5,FALSE))</f>
        <v/>
      </c>
      <c r="T13" s="34"/>
      <c r="U13" s="24">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60"/>
      <c r="N14" s="760"/>
      <c r="O14" s="760"/>
      <c r="P14" s="760"/>
      <c r="Q14" s="760"/>
      <c r="R14" s="31" t="str">
        <f>IF(M14="","",VLOOKUP(M14,EQUIPOS!$B$7:$F$46,3,FALSE))</f>
        <v/>
      </c>
      <c r="S14" s="24" t="str">
        <f>IF(M14="","",VLOOKUP(M14,EQUIPOS!$B$7:$F$46,5,FALSE))</f>
        <v/>
      </c>
      <c r="T14" s="34"/>
      <c r="U14" s="24"/>
    </row>
    <row r="15" spans="1:21" ht="15" customHeight="1" x14ac:dyDescent="0.25">
      <c r="A15" s="22"/>
      <c r="B15" s="761" t="s">
        <v>31</v>
      </c>
      <c r="C15" s="761"/>
      <c r="D15" s="761"/>
      <c r="E15" s="761"/>
      <c r="F15" s="761"/>
      <c r="G15" s="761"/>
      <c r="H15" s="761"/>
      <c r="I15" s="761"/>
      <c r="J15" s="24">
        <f>SUM(J9:J14)</f>
        <v>70</v>
      </c>
      <c r="L15" s="22"/>
      <c r="M15" s="761" t="s">
        <v>31</v>
      </c>
      <c r="N15" s="761"/>
      <c r="O15" s="761"/>
      <c r="P15" s="761"/>
      <c r="Q15" s="761"/>
      <c r="R15" s="761"/>
      <c r="S15" s="761"/>
      <c r="T15" s="761"/>
      <c r="U15" s="24">
        <f>SUM(U9:U14)</f>
        <v>57</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3" ht="15" customHeight="1" x14ac:dyDescent="0.25">
      <c r="A17" s="22"/>
      <c r="B17" s="761" t="s">
        <v>32</v>
      </c>
      <c r="C17" s="761"/>
      <c r="D17" s="761"/>
      <c r="E17" s="761"/>
      <c r="F17" s="761"/>
      <c r="G17" s="761"/>
      <c r="H17" s="761"/>
      <c r="I17" s="761"/>
      <c r="J17" s="761"/>
      <c r="L17" s="22"/>
      <c r="M17" s="761" t="s">
        <v>32</v>
      </c>
      <c r="N17" s="761"/>
      <c r="O17" s="761"/>
      <c r="P17" s="761"/>
      <c r="Q17" s="761"/>
      <c r="R17" s="761"/>
      <c r="S17" s="761"/>
      <c r="T17" s="761"/>
      <c r="U17" s="761"/>
    </row>
    <row r="18" spans="1:23" ht="26.4" x14ac:dyDescent="0.25">
      <c r="A18" s="22"/>
      <c r="B18" s="763" t="s">
        <v>33</v>
      </c>
      <c r="C18" s="763"/>
      <c r="D18" s="763"/>
      <c r="E18" s="763"/>
      <c r="F18" s="28" t="s">
        <v>19</v>
      </c>
      <c r="G18" s="31" t="s">
        <v>34</v>
      </c>
      <c r="H18" s="32" t="s">
        <v>35</v>
      </c>
      <c r="I18" s="32" t="s">
        <v>36</v>
      </c>
      <c r="J18" s="32" t="s">
        <v>29</v>
      </c>
      <c r="L18" s="22"/>
      <c r="M18" s="763" t="s">
        <v>33</v>
      </c>
      <c r="N18" s="763"/>
      <c r="O18" s="763"/>
      <c r="P18" s="763"/>
      <c r="Q18" s="28" t="s">
        <v>19</v>
      </c>
      <c r="R18" s="31" t="s">
        <v>34</v>
      </c>
      <c r="S18" s="32" t="s">
        <v>35</v>
      </c>
      <c r="T18" s="32" t="s">
        <v>36</v>
      </c>
      <c r="U18" s="32" t="s">
        <v>29</v>
      </c>
    </row>
    <row r="19" spans="1:23" ht="14.25" customHeight="1" x14ac:dyDescent="0.25">
      <c r="A19" s="22"/>
      <c r="B19" s="764" t="s">
        <v>256</v>
      </c>
      <c r="C19" s="764"/>
      <c r="D19" s="764"/>
      <c r="E19" s="764"/>
      <c r="F19" s="34">
        <v>1</v>
      </c>
      <c r="G19" s="31" t="str">
        <f>IF(F19=0,"",VLOOKUP(B19,'LISTADO DE MATERIALES'!$B$6:$D$311,2,FALSE))</f>
        <v>und</v>
      </c>
      <c r="H19" s="107"/>
      <c r="I19" s="24">
        <f>IF(F19=0,"",VLOOKUP(B19,'LISTADO DE MATERIALES'!$B$6:$D$311,3,FALSE))</f>
        <v>80735.55</v>
      </c>
      <c r="J19" s="24">
        <f>IF(I19="",0,ROUND((+F19*I19*(1+H19)),0))</f>
        <v>80736</v>
      </c>
      <c r="L19" s="22"/>
      <c r="M19" s="764" t="s">
        <v>256</v>
      </c>
      <c r="N19" s="764"/>
      <c r="O19" s="764"/>
      <c r="P19" s="764"/>
      <c r="Q19" s="34">
        <v>1</v>
      </c>
      <c r="R19" s="31" t="str">
        <f>IF(Q19=0,"",VLOOKUP(M19,'LISTADO DE MATERIALES'!$B$6:$D$311,2,FALSE))</f>
        <v>und</v>
      </c>
      <c r="S19" s="107"/>
      <c r="T19" s="24">
        <f>IF(Q19=0,"",VLOOKUP(M19,'LISTADO DE MATERIALES'!$B$6:$D$311,3,FALSE))</f>
        <v>80735.55</v>
      </c>
      <c r="U19" s="24">
        <f>IF(T19="",0,ROUND((+Q19*T19*(1+S19)),0))</f>
        <v>80736</v>
      </c>
      <c r="W19" s="274">
        <v>73064</v>
      </c>
    </row>
    <row r="20" spans="1:23" ht="15" customHeight="1" x14ac:dyDescent="0.25">
      <c r="A20" s="22"/>
      <c r="B20" s="760" t="s">
        <v>192</v>
      </c>
      <c r="C20" s="760"/>
      <c r="D20" s="760"/>
      <c r="E20" s="760"/>
      <c r="F20" s="34">
        <v>7.0000000000000001E-3</v>
      </c>
      <c r="G20" s="31" t="str">
        <f>IF(F20=0,"",VLOOKUP(B20,'LISTADO DE MATERIALES'!$B$6:$D$311,2,FALSE))</f>
        <v>und</v>
      </c>
      <c r="H20" s="107">
        <v>0.05</v>
      </c>
      <c r="I20" s="24">
        <f>IF(F20=0,"",VLOOKUP(B20,'LISTADO DE MATERIALES'!$B$6:$D$311,3,FALSE))</f>
        <v>147850</v>
      </c>
      <c r="J20" s="24">
        <f t="shared" ref="J20:J24" si="2">IF(I20="",0,ROUND((+F20*I20*(1+H20)),0))</f>
        <v>1087</v>
      </c>
      <c r="L20" s="22"/>
      <c r="M20" s="760" t="s">
        <v>192</v>
      </c>
      <c r="N20" s="760"/>
      <c r="O20" s="760"/>
      <c r="P20" s="760"/>
      <c r="Q20" s="34">
        <v>7.0000000000000001E-3</v>
      </c>
      <c r="R20" s="31" t="str">
        <f>IF(Q20=0,"",VLOOKUP(M20,'LISTADO DE MATERIALES'!$B$6:$D$311,2,FALSE))</f>
        <v>und</v>
      </c>
      <c r="S20" s="107"/>
      <c r="T20" s="271">
        <f>IF(Q20=0,"",VLOOKUP(M20,'LISTADO DE MATERIALES'!$B$6:$D$311,3,FALSE))</f>
        <v>147850</v>
      </c>
      <c r="U20" s="24">
        <f t="shared" ref="U20:U24" si="3">IF(T20="",0,ROUND((+Q20*T20*(1+S20)),0))</f>
        <v>1035</v>
      </c>
    </row>
    <row r="21" spans="1:23" ht="15" customHeight="1" x14ac:dyDescent="0.25">
      <c r="A21" s="22"/>
      <c r="B21" s="760" t="s">
        <v>193</v>
      </c>
      <c r="C21" s="760"/>
      <c r="D21" s="760"/>
      <c r="E21" s="760"/>
      <c r="F21" s="34">
        <v>7.0000000000000001E-3</v>
      </c>
      <c r="G21" s="31" t="str">
        <f>IF(F21=0,"",VLOOKUP(B21,'LISTADO DE MATERIALES'!$B$6:$D$311,2,FALSE))</f>
        <v>und</v>
      </c>
      <c r="H21" s="107">
        <v>0.05</v>
      </c>
      <c r="I21" s="24">
        <f>IF(F21=0,"",VLOOKUP(B21,'LISTADO DE MATERIALES'!$B$6:$D$311,3,FALSE))</f>
        <v>71305</v>
      </c>
      <c r="J21" s="24">
        <f t="shared" si="2"/>
        <v>524</v>
      </c>
      <c r="L21" s="22"/>
      <c r="M21" s="760" t="s">
        <v>193</v>
      </c>
      <c r="N21" s="760"/>
      <c r="O21" s="760"/>
      <c r="P21" s="760"/>
      <c r="Q21" s="34">
        <v>7.0000000000000001E-3</v>
      </c>
      <c r="R21" s="31" t="str">
        <f>IF(Q21=0,"",VLOOKUP(M21,'LISTADO DE MATERIALES'!$B$6:$D$311,2,FALSE))</f>
        <v>und</v>
      </c>
      <c r="S21" s="107"/>
      <c r="T21" s="271">
        <f>IF(Q21=0,"",VLOOKUP(M21,'LISTADO DE MATERIALES'!$B$6:$D$311,3,FALSE))</f>
        <v>71305</v>
      </c>
      <c r="U21" s="24">
        <f t="shared" si="3"/>
        <v>499</v>
      </c>
    </row>
    <row r="22" spans="1:23"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60"/>
      <c r="N22" s="760"/>
      <c r="O22" s="760"/>
      <c r="P22" s="760"/>
      <c r="Q22" s="34"/>
      <c r="R22" s="31" t="str">
        <f>IF(Q22=0,"",VLOOKUP(M22,'LISTADO DE MATERIALES'!$B$6:$D$311,2,FALSE))</f>
        <v/>
      </c>
      <c r="S22" s="107"/>
      <c r="T22" s="24" t="str">
        <f>IF(Q22=0,"",VLOOKUP(M22,'LISTADO DE MATERIALES'!$B$6:$D$311,3,FALSE))</f>
        <v/>
      </c>
      <c r="U22" s="24">
        <f t="shared" si="3"/>
        <v>0</v>
      </c>
    </row>
    <row r="23" spans="1:23"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60"/>
      <c r="N23" s="760"/>
      <c r="O23" s="760"/>
      <c r="P23" s="760"/>
      <c r="Q23" s="34"/>
      <c r="R23" s="31" t="str">
        <f>IF(Q23=0,"",VLOOKUP(M23,'LISTADO DE MATERIALES'!$B$6:$D$311,2,FALSE))</f>
        <v/>
      </c>
      <c r="S23" s="107"/>
      <c r="T23" s="24" t="str">
        <f>IF(Q23=0,"",VLOOKUP(M23,'LISTADO DE MATERIALES'!$B$6:$D$311,3,FALSE))</f>
        <v/>
      </c>
      <c r="U23" s="24">
        <f t="shared" si="3"/>
        <v>0</v>
      </c>
    </row>
    <row r="24" spans="1:23"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60"/>
      <c r="N24" s="760"/>
      <c r="O24" s="760"/>
      <c r="P24" s="760"/>
      <c r="Q24" s="34"/>
      <c r="R24" s="31" t="str">
        <f>IF(Q24=0,"",VLOOKUP(M24,'LISTADO DE MATERIALES'!$B$6:$D$311,2,FALSE))</f>
        <v/>
      </c>
      <c r="S24" s="107"/>
      <c r="T24" s="24" t="str">
        <f>IF(Q24=0,"",VLOOKUP(M24,'LISTADO DE MATERIALES'!$B$6:$D$311,3,FALSE))</f>
        <v/>
      </c>
      <c r="U24" s="24">
        <f t="shared" si="3"/>
        <v>0</v>
      </c>
    </row>
    <row r="25" spans="1:23" ht="15" customHeight="1" x14ac:dyDescent="0.25">
      <c r="A25" s="22"/>
      <c r="B25" s="761" t="s">
        <v>37</v>
      </c>
      <c r="C25" s="761"/>
      <c r="D25" s="761"/>
      <c r="E25" s="761"/>
      <c r="F25" s="761"/>
      <c r="G25" s="761"/>
      <c r="H25" s="761"/>
      <c r="I25" s="761"/>
      <c r="J25" s="24">
        <f>SUM(J19:J24)</f>
        <v>82347</v>
      </c>
      <c r="L25" s="22"/>
      <c r="M25" s="761" t="s">
        <v>37</v>
      </c>
      <c r="N25" s="761"/>
      <c r="O25" s="761"/>
      <c r="P25" s="761"/>
      <c r="Q25" s="761"/>
      <c r="R25" s="761"/>
      <c r="S25" s="761"/>
      <c r="T25" s="761"/>
      <c r="U25" s="24">
        <f>SUM(U19:U24)</f>
        <v>82270</v>
      </c>
    </row>
    <row r="26" spans="1:23" ht="7.5" customHeight="1" x14ac:dyDescent="0.25">
      <c r="A26" s="22"/>
      <c r="B26" s="25"/>
      <c r="C26" s="25"/>
      <c r="D26" s="25"/>
      <c r="E26" s="25"/>
      <c r="F26" s="25"/>
      <c r="G26" s="25"/>
      <c r="H26" s="25"/>
      <c r="I26" s="25"/>
      <c r="J26" s="26"/>
      <c r="L26" s="22"/>
      <c r="M26" s="25"/>
      <c r="N26" s="25"/>
      <c r="O26" s="25"/>
      <c r="P26" s="25"/>
      <c r="Q26" s="25"/>
      <c r="R26" s="25"/>
      <c r="S26" s="25"/>
      <c r="T26" s="25"/>
      <c r="U26" s="26"/>
    </row>
    <row r="27" spans="1:23" ht="15" customHeight="1" x14ac:dyDescent="0.25">
      <c r="A27" s="22"/>
      <c r="B27" s="761" t="s">
        <v>38</v>
      </c>
      <c r="C27" s="761"/>
      <c r="D27" s="761"/>
      <c r="E27" s="761"/>
      <c r="F27" s="761"/>
      <c r="G27" s="761"/>
      <c r="H27" s="761"/>
      <c r="I27" s="761"/>
      <c r="J27" s="761"/>
      <c r="L27" s="22"/>
      <c r="M27" s="761" t="s">
        <v>38</v>
      </c>
      <c r="N27" s="761"/>
      <c r="O27" s="761"/>
      <c r="P27" s="761"/>
      <c r="Q27" s="761"/>
      <c r="R27" s="761"/>
      <c r="S27" s="761"/>
      <c r="T27" s="761"/>
      <c r="U27" s="761"/>
    </row>
    <row r="28" spans="1:23" ht="26.4" customHeight="1" x14ac:dyDescent="0.25">
      <c r="A28" s="22"/>
      <c r="B28" s="763" t="s">
        <v>33</v>
      </c>
      <c r="C28" s="763"/>
      <c r="D28" s="763"/>
      <c r="E28" s="763"/>
      <c r="F28" s="763"/>
      <c r="G28" s="31" t="s">
        <v>133</v>
      </c>
      <c r="H28" s="31" t="s">
        <v>132</v>
      </c>
      <c r="I28" s="31" t="s">
        <v>39</v>
      </c>
      <c r="J28" s="32" t="s">
        <v>29</v>
      </c>
      <c r="L28" s="22"/>
      <c r="M28" s="763" t="s">
        <v>33</v>
      </c>
      <c r="N28" s="763"/>
      <c r="O28" s="763"/>
      <c r="P28" s="763"/>
      <c r="Q28" s="763"/>
      <c r="R28" s="31" t="s">
        <v>133</v>
      </c>
      <c r="S28" s="31" t="s">
        <v>132</v>
      </c>
      <c r="T28" s="31" t="s">
        <v>39</v>
      </c>
      <c r="U28" s="32" t="s">
        <v>29</v>
      </c>
    </row>
    <row r="29" spans="1:23" ht="15" customHeight="1" x14ac:dyDescent="0.25">
      <c r="A29" s="22"/>
      <c r="B29" s="760"/>
      <c r="C29" s="760"/>
      <c r="D29" s="760"/>
      <c r="E29" s="760"/>
      <c r="F29" s="760"/>
      <c r="G29" s="31"/>
      <c r="H29" s="34"/>
      <c r="I29" s="24"/>
      <c r="J29" s="24">
        <f>ROUND((I29*H29*G29),0)</f>
        <v>0</v>
      </c>
      <c r="L29" s="22"/>
      <c r="M29" s="760"/>
      <c r="N29" s="760"/>
      <c r="O29" s="760"/>
      <c r="P29" s="760"/>
      <c r="Q29" s="760"/>
      <c r="R29" s="31"/>
      <c r="S29" s="34"/>
      <c r="T29" s="24"/>
      <c r="U29" s="24">
        <f>ROUND((T29*S29*R29),0)</f>
        <v>0</v>
      </c>
    </row>
    <row r="30" spans="1:23" ht="15" customHeight="1" x14ac:dyDescent="0.25">
      <c r="A30" s="22"/>
      <c r="B30" s="760"/>
      <c r="C30" s="760"/>
      <c r="D30" s="760"/>
      <c r="E30" s="760"/>
      <c r="F30" s="760"/>
      <c r="G30" s="31"/>
      <c r="H30" s="34"/>
      <c r="I30" s="24"/>
      <c r="J30" s="24">
        <v>0</v>
      </c>
      <c r="L30" s="22"/>
      <c r="M30" s="760"/>
      <c r="N30" s="760"/>
      <c r="O30" s="760"/>
      <c r="P30" s="760"/>
      <c r="Q30" s="760"/>
      <c r="R30" s="31"/>
      <c r="S30" s="34"/>
      <c r="T30" s="24"/>
      <c r="U30" s="24">
        <v>0</v>
      </c>
    </row>
    <row r="31" spans="1:23" ht="15" customHeight="1" x14ac:dyDescent="0.25">
      <c r="A31" s="22"/>
      <c r="B31" s="760"/>
      <c r="C31" s="760"/>
      <c r="D31" s="760"/>
      <c r="E31" s="760"/>
      <c r="F31" s="760"/>
      <c r="G31" s="31"/>
      <c r="H31" s="34"/>
      <c r="I31" s="24"/>
      <c r="J31" s="24">
        <v>0</v>
      </c>
      <c r="L31" s="22"/>
      <c r="M31" s="760"/>
      <c r="N31" s="760"/>
      <c r="O31" s="760"/>
      <c r="P31" s="760"/>
      <c r="Q31" s="760"/>
      <c r="R31" s="31"/>
      <c r="S31" s="34"/>
      <c r="T31" s="24"/>
      <c r="U31" s="24">
        <v>0</v>
      </c>
    </row>
    <row r="32" spans="1:23" ht="15" customHeight="1" x14ac:dyDescent="0.25">
      <c r="A32" s="22"/>
      <c r="B32" s="760"/>
      <c r="C32" s="760"/>
      <c r="D32" s="760"/>
      <c r="E32" s="760"/>
      <c r="F32" s="760"/>
      <c r="G32" s="31"/>
      <c r="H32" s="31"/>
      <c r="I32" s="24"/>
      <c r="J32" s="24">
        <v>0</v>
      </c>
      <c r="L32" s="22"/>
      <c r="M32" s="760"/>
      <c r="N32" s="760"/>
      <c r="O32" s="760"/>
      <c r="P32" s="760"/>
      <c r="Q32" s="760"/>
      <c r="R32" s="31"/>
      <c r="S32" s="31"/>
      <c r="T32" s="24"/>
      <c r="U32" s="24">
        <v>0</v>
      </c>
    </row>
    <row r="33" spans="1:21" ht="15" customHeight="1" x14ac:dyDescent="0.25">
      <c r="A33" s="22"/>
      <c r="B33" s="761" t="s">
        <v>40</v>
      </c>
      <c r="C33" s="761"/>
      <c r="D33" s="761"/>
      <c r="E33" s="761"/>
      <c r="F33" s="761"/>
      <c r="G33" s="761"/>
      <c r="H33" s="761"/>
      <c r="I33" s="761"/>
      <c r="J33" s="24">
        <f>SUM(J29:J32)</f>
        <v>0</v>
      </c>
      <c r="L33" s="22"/>
      <c r="M33" s="761" t="s">
        <v>40</v>
      </c>
      <c r="N33" s="761"/>
      <c r="O33" s="761"/>
      <c r="P33" s="761"/>
      <c r="Q33" s="761"/>
      <c r="R33" s="761"/>
      <c r="S33" s="761"/>
      <c r="T33" s="761"/>
      <c r="U33" s="24">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61" t="s">
        <v>41</v>
      </c>
      <c r="N35" s="761"/>
      <c r="O35" s="761"/>
      <c r="P35" s="761"/>
      <c r="Q35" s="761"/>
      <c r="R35" s="761"/>
      <c r="S35" s="761"/>
      <c r="T35" s="761"/>
      <c r="U35" s="761"/>
    </row>
    <row r="36" spans="1:21" ht="39.6" x14ac:dyDescent="0.25">
      <c r="A36" s="22"/>
      <c r="B36" s="763" t="s">
        <v>4</v>
      </c>
      <c r="C36" s="763"/>
      <c r="D36" s="763"/>
      <c r="E36" s="763"/>
      <c r="F36" s="763"/>
      <c r="G36" s="32" t="s">
        <v>51</v>
      </c>
      <c r="H36" s="32" t="s">
        <v>19</v>
      </c>
      <c r="I36" s="32" t="s">
        <v>28</v>
      </c>
      <c r="J36" s="32" t="s">
        <v>29</v>
      </c>
      <c r="L36" s="22"/>
      <c r="M36" s="763" t="s">
        <v>4</v>
      </c>
      <c r="N36" s="763"/>
      <c r="O36" s="763"/>
      <c r="P36" s="763"/>
      <c r="Q36" s="763"/>
      <c r="R36" s="32" t="s">
        <v>51</v>
      </c>
      <c r="S36" s="32" t="s">
        <v>19</v>
      </c>
      <c r="T36" s="32" t="s">
        <v>28</v>
      </c>
      <c r="U36" s="32" t="s">
        <v>29</v>
      </c>
    </row>
    <row r="37" spans="1:21" ht="15" customHeight="1" x14ac:dyDescent="0.25">
      <c r="A37" s="22"/>
      <c r="B37" s="760" t="s">
        <v>73</v>
      </c>
      <c r="C37" s="760"/>
      <c r="D37" s="760"/>
      <c r="E37" s="760"/>
      <c r="F37" s="760"/>
      <c r="G37" s="24">
        <f>IF(B37="","",VLOOKUP(B37,CUADRILLAS!$B$87:$C$101,2,FALSE))</f>
        <v>628854.93333333335</v>
      </c>
      <c r="H37" s="31">
        <v>1</v>
      </c>
      <c r="I37" s="34">
        <v>450</v>
      </c>
      <c r="J37" s="24">
        <f>ROUND(+IF(I37=0,0,G37*H37/I37),0)</f>
        <v>1397</v>
      </c>
      <c r="L37" s="22"/>
      <c r="M37" s="760" t="s">
        <v>73</v>
      </c>
      <c r="N37" s="760"/>
      <c r="O37" s="760"/>
      <c r="P37" s="760"/>
      <c r="Q37" s="760"/>
      <c r="R37" s="24">
        <f>IF(M37="","",VLOOKUP(M37,CUADRILLAS!$B$87:$C$101,2,FALSE))</f>
        <v>628854.93333333335</v>
      </c>
      <c r="S37" s="31">
        <v>1</v>
      </c>
      <c r="T37" s="34">
        <v>550</v>
      </c>
      <c r="U37" s="24">
        <f>ROUND(+IF(T37=0,0,R37*S37/T37),0)</f>
        <v>1143</v>
      </c>
    </row>
    <row r="38" spans="1:21" ht="15" customHeight="1" x14ac:dyDescent="0.25">
      <c r="A38" s="22"/>
      <c r="B38" s="760"/>
      <c r="C38" s="760"/>
      <c r="D38" s="760"/>
      <c r="E38" s="760"/>
      <c r="F38" s="760"/>
      <c r="G38" s="24" t="str">
        <f>IF(B38="","",VLOOKUP(B38,CUADRILLAS!$B$87:$C$101,2,FALSE))</f>
        <v/>
      </c>
      <c r="H38" s="31"/>
      <c r="I38" s="34"/>
      <c r="J38" s="24">
        <f>ROUND(+IF(I38=0,0,G38*H38/I38),0)</f>
        <v>0</v>
      </c>
      <c r="L38" s="22"/>
      <c r="M38" s="760"/>
      <c r="N38" s="760"/>
      <c r="O38" s="760"/>
      <c r="P38" s="760"/>
      <c r="Q38" s="760"/>
      <c r="R38" s="24" t="str">
        <f>IF(M38="","",VLOOKUP(M38,CUADRILLAS!$B$87:$C$101,2,FALSE))</f>
        <v/>
      </c>
      <c r="S38" s="31"/>
      <c r="T38" s="34"/>
      <c r="U38" s="24">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60"/>
      <c r="N39" s="760"/>
      <c r="O39" s="760"/>
      <c r="P39" s="760"/>
      <c r="Q39" s="760"/>
      <c r="R39" s="24" t="str">
        <f>IF(M39="","",VLOOKUP(M39,CUADRILLAS!$B$87:$C$101,2,FALSE))</f>
        <v/>
      </c>
      <c r="S39" s="31"/>
      <c r="T39" s="34"/>
      <c r="U39" s="24">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60"/>
      <c r="N40" s="760"/>
      <c r="O40" s="760"/>
      <c r="P40" s="760"/>
      <c r="Q40" s="760"/>
      <c r="R40" s="24" t="str">
        <f>IF(M40="","",VLOOKUP(M40,CUADRILLAS!$B$87:$C$101,2,FALSE))</f>
        <v/>
      </c>
      <c r="S40" s="31"/>
      <c r="T40" s="34"/>
      <c r="U40" s="24">
        <f t="shared" si="5"/>
        <v>0</v>
      </c>
    </row>
    <row r="41" spans="1:21" ht="15" customHeight="1" x14ac:dyDescent="0.25">
      <c r="A41" s="22"/>
      <c r="B41" s="761" t="s">
        <v>42</v>
      </c>
      <c r="C41" s="761"/>
      <c r="D41" s="761"/>
      <c r="E41" s="761"/>
      <c r="F41" s="761"/>
      <c r="G41" s="761"/>
      <c r="H41" s="761"/>
      <c r="I41" s="761"/>
      <c r="J41" s="24">
        <f>SUM(J37:J40)</f>
        <v>1397</v>
      </c>
      <c r="L41" s="22"/>
      <c r="M41" s="761" t="s">
        <v>42</v>
      </c>
      <c r="N41" s="761"/>
      <c r="O41" s="761"/>
      <c r="P41" s="761"/>
      <c r="Q41" s="761"/>
      <c r="R41" s="761"/>
      <c r="S41" s="761"/>
      <c r="T41" s="761"/>
      <c r="U41" s="24">
        <f>SUM(U37:U40)</f>
        <v>1143</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83814</v>
      </c>
      <c r="L43" s="27"/>
      <c r="M43" s="762" t="s">
        <v>43</v>
      </c>
      <c r="N43" s="762"/>
      <c r="O43" s="762"/>
      <c r="P43" s="762"/>
      <c r="Q43" s="762"/>
      <c r="R43" s="762"/>
      <c r="S43" s="762"/>
      <c r="T43" s="762"/>
      <c r="U43" s="106">
        <f>+U41+U33+U15+U25</f>
        <v>83470</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97" display="'PPTO HOJA'!A97" xr:uid="{00000000-0004-0000-1700-000000000000}"/>
    <hyperlink ref="N6" location="'PPTO HOJA'!A15" display="'PPTO HOJA'!A15" xr:uid="{00000000-0004-0000-17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1700-000000000000}">
          <x14:formula1>
            <xm:f>CUADRILLAS!$B$86:$B$101</xm:f>
          </x14:formula1>
          <xm:sqref>B37:F40 M37:Q40</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9" tint="0.59999389629810485"/>
  </sheetPr>
  <dimension ref="A1:U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6.33203125" style="20" bestFit="1" customWidth="1"/>
    <col min="11" max="11" width="6.33203125" style="20" customWidth="1"/>
    <col min="12" max="13" width="11.44140625" style="20"/>
    <col min="14" max="14" width="11.5546875" style="20" bestFit="1" customWidth="1"/>
    <col min="15" max="16" width="11.44140625" style="20"/>
    <col min="17" max="17" width="11.5546875" style="20" bestFit="1" customWidth="1"/>
    <col min="18" max="18" width="13.44140625" style="20" bestFit="1" customWidth="1"/>
    <col min="19" max="19" width="11.5546875" style="20" bestFit="1" customWidth="1"/>
    <col min="20" max="20" width="13.109375" style="20" bestFit="1" customWidth="1"/>
    <col min="21" max="21" width="15.88671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62.4"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339</v>
      </c>
      <c r="B6" s="29" t="s">
        <v>22</v>
      </c>
      <c r="C6" s="116">
        <f>+'PPTO HOJA'!A37</f>
        <v>4.0499999999999989</v>
      </c>
      <c r="D6" s="28"/>
      <c r="E6" s="764" t="str">
        <f>'PPTO HOJA'!B37</f>
        <v>S/I Codo 90° Ø 4" PVC - S</v>
      </c>
      <c r="F6" s="764"/>
      <c r="G6" s="764"/>
      <c r="H6" s="764"/>
      <c r="I6" s="30" t="s">
        <v>23</v>
      </c>
      <c r="J6" s="31" t="str">
        <f>'PPTO HOJA'!C37</f>
        <v>und</v>
      </c>
      <c r="L6" s="30" t="str">
        <f>A6</f>
        <v>IV</v>
      </c>
      <c r="M6" s="29" t="s">
        <v>22</v>
      </c>
      <c r="N6" s="238">
        <f>C6</f>
        <v>4.0499999999999989</v>
      </c>
      <c r="O6" s="28"/>
      <c r="P6" s="764" t="str">
        <f>E6</f>
        <v>S/I Codo 90° Ø 4" PVC - S</v>
      </c>
      <c r="Q6" s="764"/>
      <c r="R6" s="764"/>
      <c r="S6" s="764"/>
      <c r="T6" s="30" t="s">
        <v>23</v>
      </c>
      <c r="U6" s="31" t="str">
        <f>J6</f>
        <v>und</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79</v>
      </c>
      <c r="L9" s="22"/>
      <c r="M9" s="760" t="s">
        <v>30</v>
      </c>
      <c r="N9" s="760"/>
      <c r="O9" s="760"/>
      <c r="P9" s="760"/>
      <c r="Q9" s="760"/>
      <c r="R9" s="31"/>
      <c r="S9" s="24"/>
      <c r="T9" s="33">
        <v>0.05</v>
      </c>
      <c r="U9" s="24">
        <f>ROUND(T9*U41,0)</f>
        <v>52</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64"/>
      <c r="N10" s="764"/>
      <c r="O10" s="764"/>
      <c r="P10" s="764"/>
      <c r="Q10" s="764"/>
      <c r="R10" s="31" t="str">
        <f>IF(M10="","",VLOOKUP(M10,EQUIPOS!$B$7:$F$46,3,FALSE))</f>
        <v/>
      </c>
      <c r="S10" s="24" t="str">
        <f>IF(M10="","",VLOOKUP(M10,EQUIPOS!$B$7:$F$46,5,FALSE))</f>
        <v/>
      </c>
      <c r="T10" s="34"/>
      <c r="U10" s="24">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60"/>
      <c r="N11" s="760"/>
      <c r="O11" s="760"/>
      <c r="P11" s="760"/>
      <c r="Q11" s="760"/>
      <c r="R11" s="31" t="str">
        <f>IF(M11="","",VLOOKUP(M11,EQUIPOS!$B$7:$F$46,3,FALSE))</f>
        <v/>
      </c>
      <c r="S11" s="24" t="str">
        <f>IF(M11="","",VLOOKUP(M11,EQUIPOS!$B$7:$F$46,5,FALSE))</f>
        <v/>
      </c>
      <c r="T11" s="34"/>
      <c r="U11" s="24">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60"/>
      <c r="N12" s="760"/>
      <c r="O12" s="760"/>
      <c r="P12" s="760"/>
      <c r="Q12" s="760"/>
      <c r="R12" s="31" t="str">
        <f>IF(M12="","",VLOOKUP(M12,EQUIPOS!$B$7:$F$46,3,FALSE))</f>
        <v/>
      </c>
      <c r="S12" s="24" t="str">
        <f>IF(M12="","",VLOOKUP(M12,EQUIPOS!$B$7:$F$46,5,FALSE))</f>
        <v/>
      </c>
      <c r="T12" s="34"/>
      <c r="U12" s="24">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60"/>
      <c r="N13" s="760"/>
      <c r="O13" s="760"/>
      <c r="P13" s="760"/>
      <c r="Q13" s="760"/>
      <c r="R13" s="31" t="str">
        <f>IF(M13="","",VLOOKUP(M13,EQUIPOS!$B$7:$F$46,3,FALSE))</f>
        <v/>
      </c>
      <c r="S13" s="24" t="str">
        <f>IF(M13="","",VLOOKUP(M13,EQUIPOS!$B$7:$F$46,5,FALSE))</f>
        <v/>
      </c>
      <c r="T13" s="34"/>
      <c r="U13" s="24">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60"/>
      <c r="N14" s="760"/>
      <c r="O14" s="760"/>
      <c r="P14" s="760"/>
      <c r="Q14" s="760"/>
      <c r="R14" s="31" t="str">
        <f>IF(M14="","",VLOOKUP(M14,EQUIPOS!$B$7:$F$46,3,FALSE))</f>
        <v/>
      </c>
      <c r="S14" s="24" t="str">
        <f>IF(M14="","",VLOOKUP(M14,EQUIPOS!$B$7:$F$46,5,FALSE))</f>
        <v/>
      </c>
      <c r="T14" s="34"/>
      <c r="U14" s="24"/>
    </row>
    <row r="15" spans="1:21" ht="15" customHeight="1" x14ac:dyDescent="0.25">
      <c r="A15" s="22"/>
      <c r="B15" s="761" t="s">
        <v>31</v>
      </c>
      <c r="C15" s="761"/>
      <c r="D15" s="761"/>
      <c r="E15" s="761"/>
      <c r="F15" s="761"/>
      <c r="G15" s="761"/>
      <c r="H15" s="761"/>
      <c r="I15" s="761"/>
      <c r="J15" s="24">
        <f>SUM(J9:J14)</f>
        <v>79</v>
      </c>
      <c r="L15" s="22"/>
      <c r="M15" s="761" t="s">
        <v>31</v>
      </c>
      <c r="N15" s="761"/>
      <c r="O15" s="761"/>
      <c r="P15" s="761"/>
      <c r="Q15" s="761"/>
      <c r="R15" s="761"/>
      <c r="S15" s="761"/>
      <c r="T15" s="761"/>
      <c r="U15" s="24">
        <f>SUM(U9:U14)</f>
        <v>52</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61" t="s">
        <v>32</v>
      </c>
      <c r="N17" s="761"/>
      <c r="O17" s="761"/>
      <c r="P17" s="761"/>
      <c r="Q17" s="761"/>
      <c r="R17" s="761"/>
      <c r="S17" s="761"/>
      <c r="T17" s="761"/>
      <c r="U17" s="761"/>
    </row>
    <row r="18" spans="1:21" ht="26.4" x14ac:dyDescent="0.25">
      <c r="A18" s="22"/>
      <c r="B18" s="763" t="s">
        <v>33</v>
      </c>
      <c r="C18" s="763"/>
      <c r="D18" s="763"/>
      <c r="E18" s="763"/>
      <c r="F18" s="28" t="s">
        <v>19</v>
      </c>
      <c r="G18" s="31" t="s">
        <v>34</v>
      </c>
      <c r="H18" s="32" t="s">
        <v>35</v>
      </c>
      <c r="I18" s="32" t="s">
        <v>36</v>
      </c>
      <c r="J18" s="32" t="s">
        <v>29</v>
      </c>
      <c r="L18" s="22"/>
      <c r="M18" s="763" t="s">
        <v>33</v>
      </c>
      <c r="N18" s="763"/>
      <c r="O18" s="763"/>
      <c r="P18" s="763"/>
      <c r="Q18" s="28" t="s">
        <v>19</v>
      </c>
      <c r="R18" s="31" t="s">
        <v>34</v>
      </c>
      <c r="S18" s="32" t="s">
        <v>35</v>
      </c>
      <c r="T18" s="32" t="s">
        <v>36</v>
      </c>
      <c r="U18" s="32" t="s">
        <v>29</v>
      </c>
    </row>
    <row r="19" spans="1:21" ht="14.25" customHeight="1" x14ac:dyDescent="0.25">
      <c r="A19" s="22"/>
      <c r="B19" s="764" t="s">
        <v>326</v>
      </c>
      <c r="C19" s="764"/>
      <c r="D19" s="764"/>
      <c r="E19" s="764"/>
      <c r="F19" s="34">
        <v>1</v>
      </c>
      <c r="G19" s="31" t="str">
        <f>IF(F19=0,"",VLOOKUP(B19,'LISTADO DE MATERIALES'!$B$6:$D$311,2,FALSE))</f>
        <v>und</v>
      </c>
      <c r="H19" s="107"/>
      <c r="I19" s="24">
        <f>IF(F19=0,"",VLOOKUP(B19,'LISTADO DE MATERIALES'!$B$6:$D$311,3,FALSE))</f>
        <v>17859</v>
      </c>
      <c r="J19" s="24">
        <f>IF(I19="",0,ROUND((+F19*I19*(1+H19)),0))</f>
        <v>17859</v>
      </c>
      <c r="L19" s="22"/>
      <c r="M19" s="764" t="s">
        <v>326</v>
      </c>
      <c r="N19" s="764"/>
      <c r="O19" s="764"/>
      <c r="P19" s="764"/>
      <c r="Q19" s="34">
        <v>1</v>
      </c>
      <c r="R19" s="31" t="str">
        <f>IF(Q19=0,"",VLOOKUP(M19,'LISTADO DE MATERIALES'!$B$6:$D$311,2,FALSE))</f>
        <v>und</v>
      </c>
      <c r="S19" s="107"/>
      <c r="T19" s="24">
        <f>IF(Q19=0,"",VLOOKUP(M19,'LISTADO DE MATERIALES'!$B$6:$D$311,3,FALSE))</f>
        <v>17859</v>
      </c>
      <c r="U19" s="24">
        <f>IF(T19="",0,ROUND((+Q19*T19*(1+S19)),0))</f>
        <v>17859</v>
      </c>
    </row>
    <row r="20" spans="1:21" ht="15" customHeight="1" x14ac:dyDescent="0.25">
      <c r="A20" s="22"/>
      <c r="B20" s="760" t="s">
        <v>192</v>
      </c>
      <c r="C20" s="760"/>
      <c r="D20" s="760"/>
      <c r="E20" s="760"/>
      <c r="F20" s="34">
        <v>5.0000000000000001E-3</v>
      </c>
      <c r="G20" s="31" t="str">
        <f>IF(F20=0,"",VLOOKUP(B20,'LISTADO DE MATERIALES'!$B$6:$D$311,2,FALSE))</f>
        <v>und</v>
      </c>
      <c r="H20" s="107">
        <v>0.05</v>
      </c>
      <c r="I20" s="24">
        <f>IF(F20=0,"",VLOOKUP(B20,'LISTADO DE MATERIALES'!$B$6:$D$311,3,FALSE))</f>
        <v>147850</v>
      </c>
      <c r="J20" s="24">
        <f t="shared" ref="J20:J24" si="2">IF(I20="",0,ROUND((+F20*I20*(1+H20)),0))</f>
        <v>776</v>
      </c>
      <c r="L20" s="22"/>
      <c r="M20" s="760" t="s">
        <v>192</v>
      </c>
      <c r="N20" s="760"/>
      <c r="O20" s="760"/>
      <c r="P20" s="760"/>
      <c r="Q20" s="34">
        <v>5.0000000000000001E-3</v>
      </c>
      <c r="R20" s="31" t="str">
        <f>IF(Q20=0,"",VLOOKUP(M20,'LISTADO DE MATERIALES'!$B$6:$D$311,2,FALSE))</f>
        <v>und</v>
      </c>
      <c r="S20" s="107"/>
      <c r="T20" s="271">
        <f>IF(Q20=0,"",VLOOKUP(M20,'LISTADO DE MATERIALES'!$B$6:$D$311,3,FALSE))</f>
        <v>147850</v>
      </c>
      <c r="U20" s="24">
        <f t="shared" ref="U20:U24" si="3">IF(T20="",0,ROUND((+Q20*T20*(1+S20)),0))</f>
        <v>739</v>
      </c>
    </row>
    <row r="21" spans="1:21" ht="15" customHeight="1" x14ac:dyDescent="0.25">
      <c r="A21" s="22"/>
      <c r="B21" s="760" t="s">
        <v>193</v>
      </c>
      <c r="C21" s="760"/>
      <c r="D21" s="760"/>
      <c r="E21" s="760"/>
      <c r="F21" s="34">
        <f>+F20</f>
        <v>5.0000000000000001E-3</v>
      </c>
      <c r="G21" s="31" t="str">
        <f>IF(F21=0,"",VLOOKUP(B21,'LISTADO DE MATERIALES'!$B$6:$D$311,2,FALSE))</f>
        <v>und</v>
      </c>
      <c r="H21" s="107">
        <v>0.05</v>
      </c>
      <c r="I21" s="24">
        <f>IF(F21=0,"",VLOOKUP(B21,'LISTADO DE MATERIALES'!$B$6:$D$311,3,FALSE))</f>
        <v>71305</v>
      </c>
      <c r="J21" s="24">
        <f t="shared" si="2"/>
        <v>374</v>
      </c>
      <c r="L21" s="22"/>
      <c r="M21" s="760" t="s">
        <v>193</v>
      </c>
      <c r="N21" s="760"/>
      <c r="O21" s="760"/>
      <c r="P21" s="760"/>
      <c r="Q21" s="34">
        <f>+Q20</f>
        <v>5.0000000000000001E-3</v>
      </c>
      <c r="R21" s="31" t="str">
        <f>IF(Q21=0,"",VLOOKUP(M21,'LISTADO DE MATERIALES'!$B$6:$D$311,2,FALSE))</f>
        <v>und</v>
      </c>
      <c r="S21" s="107"/>
      <c r="T21" s="271">
        <f>IF(Q21=0,"",VLOOKUP(M21,'LISTADO DE MATERIALES'!$B$6:$D$311,3,FALSE))</f>
        <v>71305</v>
      </c>
      <c r="U21" s="24">
        <f t="shared" si="3"/>
        <v>357</v>
      </c>
    </row>
    <row r="22" spans="1:21"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60"/>
      <c r="N22" s="760"/>
      <c r="O22" s="760"/>
      <c r="P22" s="760"/>
      <c r="Q22" s="34"/>
      <c r="R22" s="31" t="str">
        <f>IF(Q22=0,"",VLOOKUP(M22,'LISTADO DE MATERIALES'!$B$6:$D$311,2,FALSE))</f>
        <v/>
      </c>
      <c r="S22" s="107"/>
      <c r="T22" s="24" t="str">
        <f>IF(Q22=0,"",VLOOKUP(M22,'LISTADO DE MATERIALES'!$B$6:$D$311,3,FALSE))</f>
        <v/>
      </c>
      <c r="U22" s="24">
        <f t="shared" si="3"/>
        <v>0</v>
      </c>
    </row>
    <row r="23" spans="1:21"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60"/>
      <c r="N23" s="760"/>
      <c r="O23" s="760"/>
      <c r="P23" s="760"/>
      <c r="Q23" s="34"/>
      <c r="R23" s="31" t="str">
        <f>IF(Q23=0,"",VLOOKUP(M23,'LISTADO DE MATERIALES'!$B$6:$D$311,2,FALSE))</f>
        <v/>
      </c>
      <c r="S23" s="107"/>
      <c r="T23" s="24" t="str">
        <f>IF(Q23=0,"",VLOOKUP(M23,'LISTADO DE MATERIALES'!$B$6:$D$311,3,FALSE))</f>
        <v/>
      </c>
      <c r="U23" s="24">
        <f t="shared" si="3"/>
        <v>0</v>
      </c>
    </row>
    <row r="24" spans="1:21"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60"/>
      <c r="N24" s="760"/>
      <c r="O24" s="760"/>
      <c r="P24" s="760"/>
      <c r="Q24" s="34"/>
      <c r="R24" s="31" t="str">
        <f>IF(Q24=0,"",VLOOKUP(M24,'LISTADO DE MATERIALES'!$B$6:$D$311,2,FALSE))</f>
        <v/>
      </c>
      <c r="S24" s="107"/>
      <c r="T24" s="24" t="str">
        <f>IF(Q24=0,"",VLOOKUP(M24,'LISTADO DE MATERIALES'!$B$6:$D$311,3,FALSE))</f>
        <v/>
      </c>
      <c r="U24" s="24">
        <f t="shared" si="3"/>
        <v>0</v>
      </c>
    </row>
    <row r="25" spans="1:21" ht="15" customHeight="1" x14ac:dyDescent="0.25">
      <c r="A25" s="22"/>
      <c r="B25" s="761" t="s">
        <v>37</v>
      </c>
      <c r="C25" s="761"/>
      <c r="D25" s="761"/>
      <c r="E25" s="761"/>
      <c r="F25" s="761"/>
      <c r="G25" s="761"/>
      <c r="H25" s="761"/>
      <c r="I25" s="761"/>
      <c r="J25" s="24">
        <f>SUM(J19:J24)</f>
        <v>19009</v>
      </c>
      <c r="L25" s="22"/>
      <c r="M25" s="761" t="s">
        <v>37</v>
      </c>
      <c r="N25" s="761"/>
      <c r="O25" s="761"/>
      <c r="P25" s="761"/>
      <c r="Q25" s="761"/>
      <c r="R25" s="761"/>
      <c r="S25" s="761"/>
      <c r="T25" s="761"/>
      <c r="U25" s="24">
        <f>SUM(U19:U24)</f>
        <v>18955</v>
      </c>
    </row>
    <row r="26" spans="1:21" ht="7.5" customHeight="1" x14ac:dyDescent="0.25">
      <c r="A26" s="22"/>
      <c r="B26" s="25"/>
      <c r="C26" s="25"/>
      <c r="D26" s="25"/>
      <c r="E26" s="25"/>
      <c r="F26" s="25"/>
      <c r="G26" s="25"/>
      <c r="H26" s="25"/>
      <c r="I26" s="25"/>
      <c r="J26" s="26"/>
      <c r="L26" s="22"/>
      <c r="M26" s="25"/>
      <c r="N26" s="25"/>
      <c r="O26" s="25"/>
      <c r="P26" s="25"/>
      <c r="Q26" s="25"/>
      <c r="R26" s="25"/>
      <c r="S26" s="25"/>
      <c r="T26" s="25"/>
      <c r="U26" s="26"/>
    </row>
    <row r="27" spans="1:21" ht="15" customHeight="1" x14ac:dyDescent="0.25">
      <c r="A27" s="22"/>
      <c r="B27" s="761" t="s">
        <v>38</v>
      </c>
      <c r="C27" s="761"/>
      <c r="D27" s="761"/>
      <c r="E27" s="761"/>
      <c r="F27" s="761"/>
      <c r="G27" s="761"/>
      <c r="H27" s="761"/>
      <c r="I27" s="761"/>
      <c r="J27" s="761"/>
      <c r="L27" s="22"/>
      <c r="M27" s="761" t="s">
        <v>38</v>
      </c>
      <c r="N27" s="761"/>
      <c r="O27" s="761"/>
      <c r="P27" s="761"/>
      <c r="Q27" s="761"/>
      <c r="R27" s="761"/>
      <c r="S27" s="761"/>
      <c r="T27" s="761"/>
      <c r="U27" s="761"/>
    </row>
    <row r="28" spans="1:21" ht="26.4" customHeight="1" x14ac:dyDescent="0.25">
      <c r="A28" s="22"/>
      <c r="B28" s="763" t="s">
        <v>33</v>
      </c>
      <c r="C28" s="763"/>
      <c r="D28" s="763"/>
      <c r="E28" s="763"/>
      <c r="F28" s="763"/>
      <c r="G28" s="31" t="s">
        <v>133</v>
      </c>
      <c r="H28" s="31" t="s">
        <v>132</v>
      </c>
      <c r="I28" s="31" t="s">
        <v>39</v>
      </c>
      <c r="J28" s="32" t="s">
        <v>29</v>
      </c>
      <c r="L28" s="22"/>
      <c r="M28" s="763" t="s">
        <v>33</v>
      </c>
      <c r="N28" s="763"/>
      <c r="O28" s="763"/>
      <c r="P28" s="763"/>
      <c r="Q28" s="763"/>
      <c r="R28" s="31" t="s">
        <v>133</v>
      </c>
      <c r="S28" s="31" t="s">
        <v>132</v>
      </c>
      <c r="T28" s="31" t="s">
        <v>39</v>
      </c>
      <c r="U28" s="32" t="s">
        <v>29</v>
      </c>
    </row>
    <row r="29" spans="1:21" ht="15" customHeight="1" x14ac:dyDescent="0.25">
      <c r="A29" s="22"/>
      <c r="B29" s="760"/>
      <c r="C29" s="760"/>
      <c r="D29" s="760"/>
      <c r="E29" s="760"/>
      <c r="F29" s="760"/>
      <c r="G29" s="31"/>
      <c r="H29" s="34"/>
      <c r="I29" s="24"/>
      <c r="J29" s="24">
        <f>ROUND((I29*H29*G29),0)</f>
        <v>0</v>
      </c>
      <c r="L29" s="22"/>
      <c r="M29" s="760"/>
      <c r="N29" s="760"/>
      <c r="O29" s="760"/>
      <c r="P29" s="760"/>
      <c r="Q29" s="760"/>
      <c r="R29" s="31"/>
      <c r="S29" s="34"/>
      <c r="T29" s="24"/>
      <c r="U29" s="24">
        <f>ROUND((T29*S29*R29),0)</f>
        <v>0</v>
      </c>
    </row>
    <row r="30" spans="1:21" ht="15" customHeight="1" x14ac:dyDescent="0.25">
      <c r="A30" s="22"/>
      <c r="B30" s="760"/>
      <c r="C30" s="760"/>
      <c r="D30" s="760"/>
      <c r="E30" s="760"/>
      <c r="F30" s="760"/>
      <c r="G30" s="31"/>
      <c r="H30" s="34"/>
      <c r="I30" s="24"/>
      <c r="J30" s="24">
        <v>0</v>
      </c>
      <c r="L30" s="22"/>
      <c r="M30" s="760"/>
      <c r="N30" s="760"/>
      <c r="O30" s="760"/>
      <c r="P30" s="760"/>
      <c r="Q30" s="760"/>
      <c r="R30" s="31"/>
      <c r="S30" s="34"/>
      <c r="T30" s="24"/>
      <c r="U30" s="24">
        <v>0</v>
      </c>
    </row>
    <row r="31" spans="1:21" ht="15" customHeight="1" x14ac:dyDescent="0.25">
      <c r="A31" s="22"/>
      <c r="B31" s="760"/>
      <c r="C31" s="760"/>
      <c r="D31" s="760"/>
      <c r="E31" s="760"/>
      <c r="F31" s="760"/>
      <c r="G31" s="31"/>
      <c r="H31" s="34"/>
      <c r="I31" s="24"/>
      <c r="J31" s="24">
        <v>0</v>
      </c>
      <c r="L31" s="22"/>
      <c r="M31" s="760"/>
      <c r="N31" s="760"/>
      <c r="O31" s="760"/>
      <c r="P31" s="760"/>
      <c r="Q31" s="760"/>
      <c r="R31" s="31"/>
      <c r="S31" s="34"/>
      <c r="T31" s="24"/>
      <c r="U31" s="24">
        <v>0</v>
      </c>
    </row>
    <row r="32" spans="1:21" ht="15" customHeight="1" x14ac:dyDescent="0.25">
      <c r="A32" s="22"/>
      <c r="B32" s="760"/>
      <c r="C32" s="760"/>
      <c r="D32" s="760"/>
      <c r="E32" s="760"/>
      <c r="F32" s="760"/>
      <c r="G32" s="31"/>
      <c r="H32" s="31"/>
      <c r="I32" s="24"/>
      <c r="J32" s="24">
        <v>0</v>
      </c>
      <c r="L32" s="22"/>
      <c r="M32" s="760"/>
      <c r="N32" s="760"/>
      <c r="O32" s="760"/>
      <c r="P32" s="760"/>
      <c r="Q32" s="760"/>
      <c r="R32" s="31"/>
      <c r="S32" s="31"/>
      <c r="T32" s="24"/>
      <c r="U32" s="24">
        <v>0</v>
      </c>
    </row>
    <row r="33" spans="1:21" ht="15" customHeight="1" x14ac:dyDescent="0.25">
      <c r="A33" s="22"/>
      <c r="B33" s="761" t="s">
        <v>40</v>
      </c>
      <c r="C33" s="761"/>
      <c r="D33" s="761"/>
      <c r="E33" s="761"/>
      <c r="F33" s="761"/>
      <c r="G33" s="761"/>
      <c r="H33" s="761"/>
      <c r="I33" s="761"/>
      <c r="J33" s="24">
        <f>SUM(J29:J32)</f>
        <v>0</v>
      </c>
      <c r="L33" s="22"/>
      <c r="M33" s="761" t="s">
        <v>40</v>
      </c>
      <c r="N33" s="761"/>
      <c r="O33" s="761"/>
      <c r="P33" s="761"/>
      <c r="Q33" s="761"/>
      <c r="R33" s="761"/>
      <c r="S33" s="761"/>
      <c r="T33" s="761"/>
      <c r="U33" s="24">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61" t="s">
        <v>41</v>
      </c>
      <c r="N35" s="761"/>
      <c r="O35" s="761"/>
      <c r="P35" s="761"/>
      <c r="Q35" s="761"/>
      <c r="R35" s="761"/>
      <c r="S35" s="761"/>
      <c r="T35" s="761"/>
      <c r="U35" s="761"/>
    </row>
    <row r="36" spans="1:21" ht="39.6" x14ac:dyDescent="0.25">
      <c r="A36" s="22"/>
      <c r="B36" s="763" t="s">
        <v>4</v>
      </c>
      <c r="C36" s="763"/>
      <c r="D36" s="763"/>
      <c r="E36" s="763"/>
      <c r="F36" s="763"/>
      <c r="G36" s="32" t="s">
        <v>51</v>
      </c>
      <c r="H36" s="32" t="s">
        <v>19</v>
      </c>
      <c r="I36" s="32" t="s">
        <v>28</v>
      </c>
      <c r="J36" s="32" t="s">
        <v>29</v>
      </c>
      <c r="L36" s="22"/>
      <c r="M36" s="763" t="s">
        <v>4</v>
      </c>
      <c r="N36" s="763"/>
      <c r="O36" s="763"/>
      <c r="P36" s="763"/>
      <c r="Q36" s="763"/>
      <c r="R36" s="32" t="s">
        <v>51</v>
      </c>
      <c r="S36" s="32" t="s">
        <v>19</v>
      </c>
      <c r="T36" s="32" t="s">
        <v>28</v>
      </c>
      <c r="U36" s="32" t="s">
        <v>29</v>
      </c>
    </row>
    <row r="37" spans="1:21" ht="15" customHeight="1" x14ac:dyDescent="0.25">
      <c r="A37" s="22"/>
      <c r="B37" s="760" t="s">
        <v>73</v>
      </c>
      <c r="C37" s="760"/>
      <c r="D37" s="760"/>
      <c r="E37" s="760"/>
      <c r="F37" s="760"/>
      <c r="G37" s="24">
        <f>IF(B37="","",VLOOKUP(B37,CUADRILLAS!$B$87:$C$101,2,FALSE))</f>
        <v>628854.93333333335</v>
      </c>
      <c r="H37" s="31">
        <v>1</v>
      </c>
      <c r="I37" s="326">
        <v>400</v>
      </c>
      <c r="J37" s="24">
        <f>ROUND(+IF(I37=0,0,G37*H37/I37),0)</f>
        <v>1572</v>
      </c>
      <c r="L37" s="22"/>
      <c r="M37" s="760" t="s">
        <v>73</v>
      </c>
      <c r="N37" s="760"/>
      <c r="O37" s="760"/>
      <c r="P37" s="760"/>
      <c r="Q37" s="760"/>
      <c r="R37" s="24">
        <f>IF(M37="","",VLOOKUP(M37,CUADRILLAS!$B$87:$C$101,2,FALSE))</f>
        <v>628854.93333333335</v>
      </c>
      <c r="S37" s="31">
        <v>1</v>
      </c>
      <c r="T37" s="241">
        <v>600</v>
      </c>
      <c r="U37" s="24">
        <f>ROUND(+IF(T37=0,0,R37*S37/T37),0)</f>
        <v>1048</v>
      </c>
    </row>
    <row r="38" spans="1:21" ht="15" customHeight="1" x14ac:dyDescent="0.25">
      <c r="A38" s="22"/>
      <c r="B38" s="760"/>
      <c r="C38" s="760"/>
      <c r="D38" s="760"/>
      <c r="E38" s="760"/>
      <c r="F38" s="760"/>
      <c r="G38" s="24" t="str">
        <f>IF(B38="","",VLOOKUP(B38,CUADRILLAS!$B$87:$C$101,2,FALSE))</f>
        <v/>
      </c>
      <c r="H38" s="31"/>
      <c r="I38" s="34"/>
      <c r="J38" s="24">
        <f>ROUND(+IF(I38=0,0,G38*H38/I38),0)</f>
        <v>0</v>
      </c>
      <c r="L38" s="22"/>
      <c r="M38" s="760"/>
      <c r="N38" s="760"/>
      <c r="O38" s="760"/>
      <c r="P38" s="760"/>
      <c r="Q38" s="760"/>
      <c r="R38" s="24" t="str">
        <f>IF(M38="","",VLOOKUP(M38,CUADRILLAS!$B$87:$C$101,2,FALSE))</f>
        <v/>
      </c>
      <c r="S38" s="31"/>
      <c r="T38" s="34"/>
      <c r="U38" s="24">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60"/>
      <c r="N39" s="760"/>
      <c r="O39" s="760"/>
      <c r="P39" s="760"/>
      <c r="Q39" s="760"/>
      <c r="R39" s="24" t="str">
        <f>IF(M39="","",VLOOKUP(M39,CUADRILLAS!$B$87:$C$101,2,FALSE))</f>
        <v/>
      </c>
      <c r="S39" s="31"/>
      <c r="T39" s="34"/>
      <c r="U39" s="24">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60"/>
      <c r="N40" s="760"/>
      <c r="O40" s="760"/>
      <c r="P40" s="760"/>
      <c r="Q40" s="760"/>
      <c r="R40" s="24" t="str">
        <f>IF(M40="","",VLOOKUP(M40,CUADRILLAS!$B$87:$C$101,2,FALSE))</f>
        <v/>
      </c>
      <c r="S40" s="31"/>
      <c r="T40" s="34"/>
      <c r="U40" s="24">
        <f t="shared" si="5"/>
        <v>0</v>
      </c>
    </row>
    <row r="41" spans="1:21" ht="15" customHeight="1" x14ac:dyDescent="0.25">
      <c r="A41" s="22"/>
      <c r="B41" s="761" t="s">
        <v>42</v>
      </c>
      <c r="C41" s="761"/>
      <c r="D41" s="761"/>
      <c r="E41" s="761"/>
      <c r="F41" s="761"/>
      <c r="G41" s="761"/>
      <c r="H41" s="761"/>
      <c r="I41" s="761"/>
      <c r="J41" s="24">
        <f>SUM(J37:J40)</f>
        <v>1572</v>
      </c>
      <c r="L41" s="22"/>
      <c r="M41" s="761" t="s">
        <v>42</v>
      </c>
      <c r="N41" s="761"/>
      <c r="O41" s="761"/>
      <c r="P41" s="761"/>
      <c r="Q41" s="761"/>
      <c r="R41" s="761"/>
      <c r="S41" s="761"/>
      <c r="T41" s="761"/>
      <c r="U41" s="24">
        <f>SUM(U37:U40)</f>
        <v>1048</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20660</v>
      </c>
      <c r="L43" s="27"/>
      <c r="M43" s="762" t="s">
        <v>43</v>
      </c>
      <c r="N43" s="762"/>
      <c r="O43" s="762"/>
      <c r="P43" s="762"/>
      <c r="Q43" s="762"/>
      <c r="R43" s="762"/>
      <c r="S43" s="762"/>
      <c r="T43" s="762"/>
      <c r="U43" s="106">
        <f>+U41+U33+U15+U25</f>
        <v>20055</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98" display="'PPTO HOJA'!A98" xr:uid="{00000000-0004-0000-1800-000000000000}"/>
    <hyperlink ref="N6" location="'PPTO HOJA'!A15" display="'PPTO HOJA'!A15" xr:uid="{00000000-0004-0000-18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1800-000000000000}">
          <x14:formula1>
            <xm:f>CUADRILLAS!$B$86:$B$101</xm:f>
          </x14:formula1>
          <xm:sqref>B37:F40 M37:Q40</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79">
    <tabColor theme="9" tint="0.59999389629810485"/>
  </sheetPr>
  <dimension ref="A1:W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6.33203125" style="20" bestFit="1" customWidth="1"/>
    <col min="11" max="17" width="11.44140625" style="20"/>
    <col min="18" max="18" width="13.44140625" style="20" bestFit="1" customWidth="1"/>
    <col min="19" max="19" width="11.44140625" style="20"/>
    <col min="20" max="20" width="13.5546875" style="20" bestFit="1" customWidth="1"/>
    <col min="21" max="21" width="15.88671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62.4"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339</v>
      </c>
      <c r="B6" s="29" t="s">
        <v>22</v>
      </c>
      <c r="C6" s="116">
        <f>+'PPTO HOJA'!A38</f>
        <v>4.0599999999999987</v>
      </c>
      <c r="D6" s="28"/>
      <c r="E6" s="764" t="str">
        <f>'PPTO HOJA'!B38</f>
        <v>S/I Codo 45° Ø 4" PVC - S</v>
      </c>
      <c r="F6" s="764"/>
      <c r="G6" s="764"/>
      <c r="H6" s="764"/>
      <c r="I6" s="30" t="s">
        <v>23</v>
      </c>
      <c r="J6" s="31" t="str">
        <f>'PPTO HOJA'!C38</f>
        <v>und</v>
      </c>
      <c r="L6" s="30" t="str">
        <f>A6</f>
        <v>IV</v>
      </c>
      <c r="M6" s="29" t="s">
        <v>22</v>
      </c>
      <c r="N6" s="238">
        <f>C6</f>
        <v>4.0599999999999987</v>
      </c>
      <c r="O6" s="28"/>
      <c r="P6" s="764" t="str">
        <f>E6</f>
        <v>S/I Codo 45° Ø 4" PVC - S</v>
      </c>
      <c r="Q6" s="764"/>
      <c r="R6" s="764"/>
      <c r="S6" s="764"/>
      <c r="T6" s="30" t="s">
        <v>23</v>
      </c>
      <c r="U6" s="31" t="str">
        <f>J6</f>
        <v>und</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79</v>
      </c>
      <c r="L9" s="22"/>
      <c r="M9" s="760" t="s">
        <v>30</v>
      </c>
      <c r="N9" s="760"/>
      <c r="O9" s="760"/>
      <c r="P9" s="760"/>
      <c r="Q9" s="760"/>
      <c r="R9" s="31"/>
      <c r="S9" s="24"/>
      <c r="T9" s="33">
        <v>0.05</v>
      </c>
      <c r="U9" s="24">
        <f>ROUND(T9*U41,0)</f>
        <v>52</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64"/>
      <c r="N10" s="764"/>
      <c r="O10" s="764"/>
      <c r="P10" s="764"/>
      <c r="Q10" s="764"/>
      <c r="R10" s="31" t="str">
        <f>IF(M10="","",VLOOKUP(M10,EQUIPOS!$B$7:$F$46,3,FALSE))</f>
        <v/>
      </c>
      <c r="S10" s="24" t="str">
        <f>IF(M10="","",VLOOKUP(M10,EQUIPOS!$B$7:$F$46,5,FALSE))</f>
        <v/>
      </c>
      <c r="T10" s="34"/>
      <c r="U10" s="24">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60"/>
      <c r="N11" s="760"/>
      <c r="O11" s="760"/>
      <c r="P11" s="760"/>
      <c r="Q11" s="760"/>
      <c r="R11" s="31" t="str">
        <f>IF(M11="","",VLOOKUP(M11,EQUIPOS!$B$7:$F$46,3,FALSE))</f>
        <v/>
      </c>
      <c r="S11" s="24" t="str">
        <f>IF(M11="","",VLOOKUP(M11,EQUIPOS!$B$7:$F$46,5,FALSE))</f>
        <v/>
      </c>
      <c r="T11" s="34"/>
      <c r="U11" s="24">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60"/>
      <c r="N12" s="760"/>
      <c r="O12" s="760"/>
      <c r="P12" s="760"/>
      <c r="Q12" s="760"/>
      <c r="R12" s="31" t="str">
        <f>IF(M12="","",VLOOKUP(M12,EQUIPOS!$B$7:$F$46,3,FALSE))</f>
        <v/>
      </c>
      <c r="S12" s="24" t="str">
        <f>IF(M12="","",VLOOKUP(M12,EQUIPOS!$B$7:$F$46,5,FALSE))</f>
        <v/>
      </c>
      <c r="T12" s="34"/>
      <c r="U12" s="24">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60"/>
      <c r="N13" s="760"/>
      <c r="O13" s="760"/>
      <c r="P13" s="760"/>
      <c r="Q13" s="760"/>
      <c r="R13" s="31" t="str">
        <f>IF(M13="","",VLOOKUP(M13,EQUIPOS!$B$7:$F$46,3,FALSE))</f>
        <v/>
      </c>
      <c r="S13" s="24" t="str">
        <f>IF(M13="","",VLOOKUP(M13,EQUIPOS!$B$7:$F$46,5,FALSE))</f>
        <v/>
      </c>
      <c r="T13" s="34"/>
      <c r="U13" s="24">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60"/>
      <c r="N14" s="760"/>
      <c r="O14" s="760"/>
      <c r="P14" s="760"/>
      <c r="Q14" s="760"/>
      <c r="R14" s="31" t="str">
        <f>IF(M14="","",VLOOKUP(M14,EQUIPOS!$B$7:$F$46,3,FALSE))</f>
        <v/>
      </c>
      <c r="S14" s="24" t="str">
        <f>IF(M14="","",VLOOKUP(M14,EQUIPOS!$B$7:$F$46,5,FALSE))</f>
        <v/>
      </c>
      <c r="T14" s="34"/>
      <c r="U14" s="24"/>
    </row>
    <row r="15" spans="1:21" ht="15" customHeight="1" x14ac:dyDescent="0.25">
      <c r="A15" s="22"/>
      <c r="B15" s="761" t="s">
        <v>31</v>
      </c>
      <c r="C15" s="761"/>
      <c r="D15" s="761"/>
      <c r="E15" s="761"/>
      <c r="F15" s="761"/>
      <c r="G15" s="761"/>
      <c r="H15" s="761"/>
      <c r="I15" s="761"/>
      <c r="J15" s="24">
        <f>SUM(J9:J14)</f>
        <v>79</v>
      </c>
      <c r="L15" s="22"/>
      <c r="M15" s="761" t="s">
        <v>31</v>
      </c>
      <c r="N15" s="761"/>
      <c r="O15" s="761"/>
      <c r="P15" s="761"/>
      <c r="Q15" s="761"/>
      <c r="R15" s="761"/>
      <c r="S15" s="761"/>
      <c r="T15" s="761"/>
      <c r="U15" s="24">
        <f>SUM(U9:U14)</f>
        <v>52</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3" ht="15" customHeight="1" x14ac:dyDescent="0.25">
      <c r="A17" s="22"/>
      <c r="B17" s="761" t="s">
        <v>32</v>
      </c>
      <c r="C17" s="761"/>
      <c r="D17" s="761"/>
      <c r="E17" s="761"/>
      <c r="F17" s="761"/>
      <c r="G17" s="761"/>
      <c r="H17" s="761"/>
      <c r="I17" s="761"/>
      <c r="J17" s="761"/>
      <c r="L17" s="22"/>
      <c r="M17" s="761" t="s">
        <v>32</v>
      </c>
      <c r="N17" s="761"/>
      <c r="O17" s="761"/>
      <c r="P17" s="761"/>
      <c r="Q17" s="761"/>
      <c r="R17" s="761"/>
      <c r="S17" s="761"/>
      <c r="T17" s="761"/>
      <c r="U17" s="761"/>
    </row>
    <row r="18" spans="1:23" ht="26.4" x14ac:dyDescent="0.25">
      <c r="A18" s="22"/>
      <c r="B18" s="763" t="s">
        <v>33</v>
      </c>
      <c r="C18" s="763"/>
      <c r="D18" s="763"/>
      <c r="E18" s="763"/>
      <c r="F18" s="28" t="s">
        <v>19</v>
      </c>
      <c r="G18" s="31" t="s">
        <v>34</v>
      </c>
      <c r="H18" s="32" t="s">
        <v>35</v>
      </c>
      <c r="I18" s="32" t="s">
        <v>36</v>
      </c>
      <c r="J18" s="32" t="s">
        <v>29</v>
      </c>
      <c r="L18" s="22"/>
      <c r="M18" s="763" t="s">
        <v>33</v>
      </c>
      <c r="N18" s="763"/>
      <c r="O18" s="763"/>
      <c r="P18" s="763"/>
      <c r="Q18" s="28" t="s">
        <v>19</v>
      </c>
      <c r="R18" s="31" t="s">
        <v>34</v>
      </c>
      <c r="S18" s="32" t="s">
        <v>35</v>
      </c>
      <c r="T18" s="32" t="s">
        <v>36</v>
      </c>
      <c r="U18" s="32" t="s">
        <v>29</v>
      </c>
    </row>
    <row r="19" spans="1:23" ht="14.25" customHeight="1" x14ac:dyDescent="0.25">
      <c r="A19" s="22"/>
      <c r="B19" s="764" t="s">
        <v>257</v>
      </c>
      <c r="C19" s="764"/>
      <c r="D19" s="764"/>
      <c r="E19" s="764"/>
      <c r="F19" s="34">
        <v>1</v>
      </c>
      <c r="G19" s="31" t="str">
        <f>IF(F19=0,"",VLOOKUP(B19,'LISTADO DE MATERIALES'!$B$6:$D$311,2,FALSE))</f>
        <v>und</v>
      </c>
      <c r="H19" s="107"/>
      <c r="I19" s="24">
        <f>IF(F19=0,"",VLOOKUP(B19,'LISTADO DE MATERIALES'!$B$6:$D$311,3,FALSE))</f>
        <v>21735.35</v>
      </c>
      <c r="J19" s="24">
        <f>IF(I19="",0,ROUND((+F19*I19*(1+H19)),0))</f>
        <v>21735</v>
      </c>
      <c r="L19" s="22"/>
      <c r="M19" s="764" t="s">
        <v>257</v>
      </c>
      <c r="N19" s="764"/>
      <c r="O19" s="764"/>
      <c r="P19" s="764"/>
      <c r="Q19" s="34">
        <v>1</v>
      </c>
      <c r="R19" s="31" t="str">
        <f>IF(Q19=0,"",VLOOKUP(M19,'LISTADO DE MATERIALES'!$B$6:$D$311,2,FALSE))</f>
        <v>und</v>
      </c>
      <c r="S19" s="107"/>
      <c r="T19" s="24">
        <f>IF(Q19=0,"",VLOOKUP(M19,'LISTADO DE MATERIALES'!$B$6:$D$311,3,FALSE))</f>
        <v>21735.35</v>
      </c>
      <c r="U19" s="24">
        <f>IF(T19="",0,ROUND((+Q19*T19*(1+S19)),0))</f>
        <v>21735</v>
      </c>
      <c r="W19" s="274">
        <v>20092</v>
      </c>
    </row>
    <row r="20" spans="1:23" ht="15" customHeight="1" x14ac:dyDescent="0.25">
      <c r="A20" s="22"/>
      <c r="B20" s="760" t="s">
        <v>192</v>
      </c>
      <c r="C20" s="760"/>
      <c r="D20" s="760"/>
      <c r="E20" s="760"/>
      <c r="F20" s="34">
        <v>5.0000000000000001E-3</v>
      </c>
      <c r="G20" s="31" t="str">
        <f>IF(F20=0,"",VLOOKUP(B20,'LISTADO DE MATERIALES'!$B$6:$D$311,2,FALSE))</f>
        <v>und</v>
      </c>
      <c r="H20" s="107">
        <v>0.05</v>
      </c>
      <c r="I20" s="24">
        <f>IF(F20=0,"",VLOOKUP(B20,'LISTADO DE MATERIALES'!$B$6:$D$311,3,FALSE))</f>
        <v>147850</v>
      </c>
      <c r="J20" s="24">
        <f t="shared" ref="J20:J24" si="2">IF(I20="",0,ROUND((+F20*I20*(1+H20)),0))</f>
        <v>776</v>
      </c>
      <c r="L20" s="22"/>
      <c r="M20" s="760" t="s">
        <v>192</v>
      </c>
      <c r="N20" s="760"/>
      <c r="O20" s="760"/>
      <c r="P20" s="760"/>
      <c r="Q20" s="34">
        <v>5.0000000000000001E-3</v>
      </c>
      <c r="R20" s="31" t="str">
        <f>IF(Q20=0,"",VLOOKUP(M20,'LISTADO DE MATERIALES'!$B$6:$D$311,2,FALSE))</f>
        <v>und</v>
      </c>
      <c r="S20" s="107"/>
      <c r="T20" s="271">
        <f>IF(Q20=0,"",VLOOKUP(M20,'LISTADO DE MATERIALES'!$B$6:$D$311,3,FALSE))</f>
        <v>147850</v>
      </c>
      <c r="U20" s="24">
        <f t="shared" ref="U20:U24" si="3">IF(T20="",0,ROUND((+Q20*T20*(1+S20)),0))</f>
        <v>739</v>
      </c>
    </row>
    <row r="21" spans="1:23" ht="15" customHeight="1" x14ac:dyDescent="0.25">
      <c r="A21" s="22"/>
      <c r="B21" s="760" t="s">
        <v>193</v>
      </c>
      <c r="C21" s="760"/>
      <c r="D21" s="760"/>
      <c r="E21" s="760"/>
      <c r="F21" s="34">
        <f>+F20</f>
        <v>5.0000000000000001E-3</v>
      </c>
      <c r="G21" s="31" t="str">
        <f>IF(F21=0,"",VLOOKUP(B21,'LISTADO DE MATERIALES'!$B$6:$D$311,2,FALSE))</f>
        <v>und</v>
      </c>
      <c r="H21" s="107">
        <v>0.05</v>
      </c>
      <c r="I21" s="24">
        <f>IF(F21=0,"",VLOOKUP(B21,'LISTADO DE MATERIALES'!$B$6:$D$311,3,FALSE))</f>
        <v>71305</v>
      </c>
      <c r="J21" s="24">
        <f t="shared" si="2"/>
        <v>374</v>
      </c>
      <c r="L21" s="22"/>
      <c r="M21" s="760" t="s">
        <v>193</v>
      </c>
      <c r="N21" s="760"/>
      <c r="O21" s="760"/>
      <c r="P21" s="760"/>
      <c r="Q21" s="34">
        <f>+Q20</f>
        <v>5.0000000000000001E-3</v>
      </c>
      <c r="R21" s="31" t="str">
        <f>IF(Q21=0,"",VLOOKUP(M21,'LISTADO DE MATERIALES'!$B$6:$D$311,2,FALSE))</f>
        <v>und</v>
      </c>
      <c r="S21" s="107"/>
      <c r="T21" s="271">
        <f>IF(Q21=0,"",VLOOKUP(M21,'LISTADO DE MATERIALES'!$B$6:$D$311,3,FALSE))</f>
        <v>71305</v>
      </c>
      <c r="U21" s="24">
        <f t="shared" si="3"/>
        <v>357</v>
      </c>
    </row>
    <row r="22" spans="1:23"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60"/>
      <c r="N22" s="760"/>
      <c r="O22" s="760"/>
      <c r="P22" s="760"/>
      <c r="Q22" s="34"/>
      <c r="R22" s="31" t="str">
        <f>IF(Q22=0,"",VLOOKUP(M22,'LISTADO DE MATERIALES'!$B$6:$D$311,2,FALSE))</f>
        <v/>
      </c>
      <c r="S22" s="107"/>
      <c r="T22" s="24" t="str">
        <f>IF(Q22=0,"",VLOOKUP(M22,'LISTADO DE MATERIALES'!$B$6:$D$311,3,FALSE))</f>
        <v/>
      </c>
      <c r="U22" s="24">
        <f t="shared" si="3"/>
        <v>0</v>
      </c>
    </row>
    <row r="23" spans="1:23"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60"/>
      <c r="N23" s="760"/>
      <c r="O23" s="760"/>
      <c r="P23" s="760"/>
      <c r="Q23" s="34"/>
      <c r="R23" s="31" t="str">
        <f>IF(Q23=0,"",VLOOKUP(M23,'LISTADO DE MATERIALES'!$B$6:$D$311,2,FALSE))</f>
        <v/>
      </c>
      <c r="S23" s="107"/>
      <c r="T23" s="24" t="str">
        <f>IF(Q23=0,"",VLOOKUP(M23,'LISTADO DE MATERIALES'!$B$6:$D$311,3,FALSE))</f>
        <v/>
      </c>
      <c r="U23" s="24">
        <f t="shared" si="3"/>
        <v>0</v>
      </c>
    </row>
    <row r="24" spans="1:23"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60"/>
      <c r="N24" s="760"/>
      <c r="O24" s="760"/>
      <c r="P24" s="760"/>
      <c r="Q24" s="34"/>
      <c r="R24" s="31" t="str">
        <f>IF(Q24=0,"",VLOOKUP(M24,'LISTADO DE MATERIALES'!$B$6:$D$311,2,FALSE))</f>
        <v/>
      </c>
      <c r="S24" s="107"/>
      <c r="T24" s="24" t="str">
        <f>IF(Q24=0,"",VLOOKUP(M24,'LISTADO DE MATERIALES'!$B$6:$D$311,3,FALSE))</f>
        <v/>
      </c>
      <c r="U24" s="24">
        <f t="shared" si="3"/>
        <v>0</v>
      </c>
    </row>
    <row r="25" spans="1:23" ht="15" customHeight="1" x14ac:dyDescent="0.25">
      <c r="A25" s="22"/>
      <c r="B25" s="761" t="s">
        <v>37</v>
      </c>
      <c r="C25" s="761"/>
      <c r="D25" s="761"/>
      <c r="E25" s="761"/>
      <c r="F25" s="761"/>
      <c r="G25" s="761"/>
      <c r="H25" s="761"/>
      <c r="I25" s="761"/>
      <c r="J25" s="24">
        <f>SUM(J19:J24)</f>
        <v>22885</v>
      </c>
      <c r="L25" s="22"/>
      <c r="M25" s="761" t="s">
        <v>37</v>
      </c>
      <c r="N25" s="761"/>
      <c r="O25" s="761"/>
      <c r="P25" s="761"/>
      <c r="Q25" s="761"/>
      <c r="R25" s="761"/>
      <c r="S25" s="761"/>
      <c r="T25" s="761"/>
      <c r="U25" s="24">
        <f>SUM(U19:U24)</f>
        <v>22831</v>
      </c>
    </row>
    <row r="26" spans="1:23" ht="7.5" customHeight="1" x14ac:dyDescent="0.25">
      <c r="A26" s="22"/>
      <c r="B26" s="25"/>
      <c r="C26" s="25"/>
      <c r="D26" s="25"/>
      <c r="E26" s="25"/>
      <c r="F26" s="25"/>
      <c r="G26" s="25"/>
      <c r="H26" s="25"/>
      <c r="I26" s="25"/>
      <c r="J26" s="26"/>
      <c r="L26" s="22"/>
      <c r="M26" s="25"/>
      <c r="N26" s="25"/>
      <c r="O26" s="25"/>
      <c r="P26" s="25"/>
      <c r="Q26" s="25"/>
      <c r="R26" s="25"/>
      <c r="S26" s="25"/>
      <c r="T26" s="25"/>
      <c r="U26" s="26"/>
    </row>
    <row r="27" spans="1:23" ht="15" customHeight="1" x14ac:dyDescent="0.25">
      <c r="A27" s="22"/>
      <c r="B27" s="761" t="s">
        <v>38</v>
      </c>
      <c r="C27" s="761"/>
      <c r="D27" s="761"/>
      <c r="E27" s="761"/>
      <c r="F27" s="761"/>
      <c r="G27" s="761"/>
      <c r="H27" s="761"/>
      <c r="I27" s="761"/>
      <c r="J27" s="761"/>
      <c r="L27" s="22"/>
      <c r="M27" s="761" t="s">
        <v>38</v>
      </c>
      <c r="N27" s="761"/>
      <c r="O27" s="761"/>
      <c r="P27" s="761"/>
      <c r="Q27" s="761"/>
      <c r="R27" s="761"/>
      <c r="S27" s="761"/>
      <c r="T27" s="761"/>
      <c r="U27" s="761"/>
    </row>
    <row r="28" spans="1:23" ht="26.4" customHeight="1" x14ac:dyDescent="0.25">
      <c r="A28" s="22"/>
      <c r="B28" s="763" t="s">
        <v>33</v>
      </c>
      <c r="C28" s="763"/>
      <c r="D28" s="763"/>
      <c r="E28" s="763"/>
      <c r="F28" s="763"/>
      <c r="G28" s="31" t="s">
        <v>133</v>
      </c>
      <c r="H28" s="31" t="s">
        <v>132</v>
      </c>
      <c r="I28" s="31" t="s">
        <v>39</v>
      </c>
      <c r="J28" s="32" t="s">
        <v>29</v>
      </c>
      <c r="L28" s="22"/>
      <c r="M28" s="763" t="s">
        <v>33</v>
      </c>
      <c r="N28" s="763"/>
      <c r="O28" s="763"/>
      <c r="P28" s="763"/>
      <c r="Q28" s="763"/>
      <c r="R28" s="31" t="s">
        <v>133</v>
      </c>
      <c r="S28" s="31" t="s">
        <v>132</v>
      </c>
      <c r="T28" s="31" t="s">
        <v>39</v>
      </c>
      <c r="U28" s="32" t="s">
        <v>29</v>
      </c>
    </row>
    <row r="29" spans="1:23" ht="15" customHeight="1" x14ac:dyDescent="0.25">
      <c r="A29" s="22"/>
      <c r="B29" s="760"/>
      <c r="C29" s="760"/>
      <c r="D29" s="760"/>
      <c r="E29" s="760"/>
      <c r="F29" s="760"/>
      <c r="G29" s="31"/>
      <c r="H29" s="34"/>
      <c r="I29" s="24"/>
      <c r="J29" s="24">
        <f>ROUND((I29*H29*G29),0)</f>
        <v>0</v>
      </c>
      <c r="L29" s="22"/>
      <c r="M29" s="760"/>
      <c r="N29" s="760"/>
      <c r="O29" s="760"/>
      <c r="P29" s="760"/>
      <c r="Q29" s="760"/>
      <c r="R29" s="31"/>
      <c r="S29" s="34"/>
      <c r="T29" s="24"/>
      <c r="U29" s="24">
        <f>ROUND((T29*S29*R29),0)</f>
        <v>0</v>
      </c>
    </row>
    <row r="30" spans="1:23" ht="15" customHeight="1" x14ac:dyDescent="0.25">
      <c r="A30" s="22"/>
      <c r="B30" s="760"/>
      <c r="C30" s="760"/>
      <c r="D30" s="760"/>
      <c r="E30" s="760"/>
      <c r="F30" s="760"/>
      <c r="G30" s="31"/>
      <c r="H30" s="34"/>
      <c r="I30" s="24"/>
      <c r="J30" s="24">
        <v>0</v>
      </c>
      <c r="L30" s="22"/>
      <c r="M30" s="760"/>
      <c r="N30" s="760"/>
      <c r="O30" s="760"/>
      <c r="P30" s="760"/>
      <c r="Q30" s="760"/>
      <c r="R30" s="31"/>
      <c r="S30" s="34"/>
      <c r="T30" s="24"/>
      <c r="U30" s="24">
        <v>0</v>
      </c>
    </row>
    <row r="31" spans="1:23" ht="15" customHeight="1" x14ac:dyDescent="0.25">
      <c r="A31" s="22"/>
      <c r="B31" s="760"/>
      <c r="C31" s="760"/>
      <c r="D31" s="760"/>
      <c r="E31" s="760"/>
      <c r="F31" s="760"/>
      <c r="G31" s="31"/>
      <c r="H31" s="34"/>
      <c r="I31" s="24"/>
      <c r="J31" s="24">
        <v>0</v>
      </c>
      <c r="L31" s="22"/>
      <c r="M31" s="760"/>
      <c r="N31" s="760"/>
      <c r="O31" s="760"/>
      <c r="P31" s="760"/>
      <c r="Q31" s="760"/>
      <c r="R31" s="31"/>
      <c r="S31" s="34"/>
      <c r="T31" s="24"/>
      <c r="U31" s="24">
        <v>0</v>
      </c>
    </row>
    <row r="32" spans="1:23" ht="15" customHeight="1" x14ac:dyDescent="0.25">
      <c r="A32" s="22"/>
      <c r="B32" s="760"/>
      <c r="C32" s="760"/>
      <c r="D32" s="760"/>
      <c r="E32" s="760"/>
      <c r="F32" s="760"/>
      <c r="G32" s="31"/>
      <c r="H32" s="31"/>
      <c r="I32" s="24"/>
      <c r="J32" s="24">
        <v>0</v>
      </c>
      <c r="L32" s="22"/>
      <c r="M32" s="760"/>
      <c r="N32" s="760"/>
      <c r="O32" s="760"/>
      <c r="P32" s="760"/>
      <c r="Q32" s="760"/>
      <c r="R32" s="31"/>
      <c r="S32" s="31"/>
      <c r="T32" s="24"/>
      <c r="U32" s="24">
        <v>0</v>
      </c>
    </row>
    <row r="33" spans="1:21" ht="15" customHeight="1" x14ac:dyDescent="0.25">
      <c r="A33" s="22"/>
      <c r="B33" s="761" t="s">
        <v>40</v>
      </c>
      <c r="C33" s="761"/>
      <c r="D33" s="761"/>
      <c r="E33" s="761"/>
      <c r="F33" s="761"/>
      <c r="G33" s="761"/>
      <c r="H33" s="761"/>
      <c r="I33" s="761"/>
      <c r="J33" s="24">
        <f>SUM(J29:J32)</f>
        <v>0</v>
      </c>
      <c r="L33" s="22"/>
      <c r="M33" s="761" t="s">
        <v>40</v>
      </c>
      <c r="N33" s="761"/>
      <c r="O33" s="761"/>
      <c r="P33" s="761"/>
      <c r="Q33" s="761"/>
      <c r="R33" s="761"/>
      <c r="S33" s="761"/>
      <c r="T33" s="761"/>
      <c r="U33" s="24">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61" t="s">
        <v>41</v>
      </c>
      <c r="N35" s="761"/>
      <c r="O35" s="761"/>
      <c r="P35" s="761"/>
      <c r="Q35" s="761"/>
      <c r="R35" s="761"/>
      <c r="S35" s="761"/>
      <c r="T35" s="761"/>
      <c r="U35" s="761"/>
    </row>
    <row r="36" spans="1:21" ht="39.6" x14ac:dyDescent="0.25">
      <c r="A36" s="22"/>
      <c r="B36" s="763" t="s">
        <v>4</v>
      </c>
      <c r="C36" s="763"/>
      <c r="D36" s="763"/>
      <c r="E36" s="763"/>
      <c r="F36" s="763"/>
      <c r="G36" s="32" t="s">
        <v>51</v>
      </c>
      <c r="H36" s="32" t="s">
        <v>19</v>
      </c>
      <c r="I36" s="32" t="s">
        <v>28</v>
      </c>
      <c r="J36" s="32" t="s">
        <v>29</v>
      </c>
      <c r="L36" s="22"/>
      <c r="M36" s="763" t="s">
        <v>4</v>
      </c>
      <c r="N36" s="763"/>
      <c r="O36" s="763"/>
      <c r="P36" s="763"/>
      <c r="Q36" s="763"/>
      <c r="R36" s="32" t="s">
        <v>51</v>
      </c>
      <c r="S36" s="32" t="s">
        <v>19</v>
      </c>
      <c r="T36" s="32" t="s">
        <v>28</v>
      </c>
      <c r="U36" s="32" t="s">
        <v>29</v>
      </c>
    </row>
    <row r="37" spans="1:21" ht="15" customHeight="1" x14ac:dyDescent="0.25">
      <c r="A37" s="22"/>
      <c r="B37" s="760" t="s">
        <v>73</v>
      </c>
      <c r="C37" s="760"/>
      <c r="D37" s="760"/>
      <c r="E37" s="760"/>
      <c r="F37" s="760"/>
      <c r="G37" s="24">
        <f>IF(B37="","",VLOOKUP(B37,CUADRILLAS!$B$87:$C$101,2,FALSE))</f>
        <v>628854.93333333335</v>
      </c>
      <c r="H37" s="31">
        <v>1</v>
      </c>
      <c r="I37" s="34">
        <v>400</v>
      </c>
      <c r="J37" s="24">
        <f>ROUND(+IF(I37=0,0,G37*H37/I37),0)</f>
        <v>1572</v>
      </c>
      <c r="L37" s="22"/>
      <c r="M37" s="760" t="s">
        <v>73</v>
      </c>
      <c r="N37" s="760"/>
      <c r="O37" s="760"/>
      <c r="P37" s="760"/>
      <c r="Q37" s="760"/>
      <c r="R37" s="24">
        <f>IF(M37="","",VLOOKUP(M37,CUADRILLAS!$B$87:$C$101,2,FALSE))</f>
        <v>628854.93333333335</v>
      </c>
      <c r="S37" s="31">
        <v>1</v>
      </c>
      <c r="T37" s="34">
        <v>600</v>
      </c>
      <c r="U37" s="24">
        <f>ROUND(+IF(T37=0,0,R37*S37/T37),0)</f>
        <v>1048</v>
      </c>
    </row>
    <row r="38" spans="1:21" ht="15" customHeight="1" x14ac:dyDescent="0.25">
      <c r="A38" s="22"/>
      <c r="B38" s="760"/>
      <c r="C38" s="760"/>
      <c r="D38" s="760"/>
      <c r="E38" s="760"/>
      <c r="F38" s="760"/>
      <c r="G38" s="24" t="str">
        <f>IF(B38="","",VLOOKUP(B38,CUADRILLAS!$B$87:$C$101,2,FALSE))</f>
        <v/>
      </c>
      <c r="H38" s="31"/>
      <c r="I38" s="34"/>
      <c r="J38" s="24">
        <f>ROUND(+IF(I38=0,0,G38*H38/I38),0)</f>
        <v>0</v>
      </c>
      <c r="L38" s="22"/>
      <c r="M38" s="760"/>
      <c r="N38" s="760"/>
      <c r="O38" s="760"/>
      <c r="P38" s="760"/>
      <c r="Q38" s="760"/>
      <c r="R38" s="24" t="str">
        <f>IF(M38="","",VLOOKUP(M38,CUADRILLAS!$B$87:$C$101,2,FALSE))</f>
        <v/>
      </c>
      <c r="S38" s="31"/>
      <c r="T38" s="34"/>
      <c r="U38" s="24">
        <f>ROUND(+IF(T38=0,0,R38*S38/T38),0)</f>
        <v>0</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60"/>
      <c r="N39" s="760"/>
      <c r="O39" s="760"/>
      <c r="P39" s="760"/>
      <c r="Q39" s="760"/>
      <c r="R39" s="24" t="str">
        <f>IF(M39="","",VLOOKUP(M39,CUADRILLAS!$B$87:$C$101,2,FALSE))</f>
        <v/>
      </c>
      <c r="S39" s="31"/>
      <c r="T39" s="34"/>
      <c r="U39" s="24">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60"/>
      <c r="N40" s="760"/>
      <c r="O40" s="760"/>
      <c r="P40" s="760"/>
      <c r="Q40" s="760"/>
      <c r="R40" s="24" t="str">
        <f>IF(M40="","",VLOOKUP(M40,CUADRILLAS!$B$87:$C$101,2,FALSE))</f>
        <v/>
      </c>
      <c r="S40" s="31"/>
      <c r="T40" s="34"/>
      <c r="U40" s="24">
        <f t="shared" si="5"/>
        <v>0</v>
      </c>
    </row>
    <row r="41" spans="1:21" ht="15" customHeight="1" x14ac:dyDescent="0.25">
      <c r="A41" s="22"/>
      <c r="B41" s="761" t="s">
        <v>42</v>
      </c>
      <c r="C41" s="761"/>
      <c r="D41" s="761"/>
      <c r="E41" s="761"/>
      <c r="F41" s="761"/>
      <c r="G41" s="761"/>
      <c r="H41" s="761"/>
      <c r="I41" s="761"/>
      <c r="J41" s="24">
        <f>SUM(J37:J40)</f>
        <v>1572</v>
      </c>
      <c r="L41" s="22"/>
      <c r="M41" s="761" t="s">
        <v>42</v>
      </c>
      <c r="N41" s="761"/>
      <c r="O41" s="761"/>
      <c r="P41" s="761"/>
      <c r="Q41" s="761"/>
      <c r="R41" s="761"/>
      <c r="S41" s="761"/>
      <c r="T41" s="761"/>
      <c r="U41" s="24">
        <f>SUM(U37:U40)</f>
        <v>1048</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24536</v>
      </c>
      <c r="L43" s="27"/>
      <c r="M43" s="762" t="s">
        <v>43</v>
      </c>
      <c r="N43" s="762"/>
      <c r="O43" s="762"/>
      <c r="P43" s="762"/>
      <c r="Q43" s="762"/>
      <c r="R43" s="762"/>
      <c r="S43" s="762"/>
      <c r="T43" s="762"/>
      <c r="U43" s="106">
        <f>+U41+U33+U15+U25</f>
        <v>23931</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98" display="'PPTO HOJA'!A98" xr:uid="{00000000-0004-0000-1900-000000000000}"/>
    <hyperlink ref="N6" location="'PPTO HOJA'!A15" display="'PPTO HOJA'!A15" xr:uid="{00000000-0004-0000-19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1900-000000000000}">
          <x14:formula1>
            <xm:f>CUADRILLAS!$B$86:$B$101</xm:f>
          </x14:formula1>
          <xm:sqref>B37:F40 M37:Q40</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9" tint="0.59999389629810485"/>
  </sheetPr>
  <dimension ref="A1:U52"/>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7.5546875" style="20" bestFit="1" customWidth="1"/>
    <col min="11" max="11" width="6" style="20" customWidth="1"/>
    <col min="12" max="13" width="11.44140625" style="20"/>
    <col min="14" max="14" width="11.5546875" style="20" bestFit="1" customWidth="1"/>
    <col min="15" max="16" width="11.44140625" style="20"/>
    <col min="17" max="17" width="11.5546875" style="20" bestFit="1" customWidth="1"/>
    <col min="18" max="18" width="12.6640625" style="20" bestFit="1" customWidth="1"/>
    <col min="19" max="19" width="11.5546875" style="20" bestFit="1" customWidth="1"/>
    <col min="20" max="20" width="13.109375" style="20" bestFit="1" customWidth="1"/>
    <col min="21" max="21" width="17.5546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339</v>
      </c>
      <c r="B6" s="29" t="s">
        <v>22</v>
      </c>
      <c r="C6" s="116">
        <f>+'PPTO HOJA'!A39</f>
        <v>4.0699999999999985</v>
      </c>
      <c r="D6" s="28"/>
      <c r="E6" s="764" t="str">
        <f>'PPTO HOJA'!B39</f>
        <v>Relleno con material tipo filtrante para drenaje francés</v>
      </c>
      <c r="F6" s="764"/>
      <c r="G6" s="764"/>
      <c r="H6" s="764"/>
      <c r="I6" s="30" t="s">
        <v>23</v>
      </c>
      <c r="J6" s="31" t="str">
        <f>'PPTO HOJA'!C39</f>
        <v>m3</v>
      </c>
      <c r="L6" s="30" t="str">
        <f>A6</f>
        <v>IV</v>
      </c>
      <c r="M6" s="29" t="s">
        <v>22</v>
      </c>
      <c r="N6" s="238">
        <f>C6</f>
        <v>4.0699999999999985</v>
      </c>
      <c r="O6" s="28"/>
      <c r="P6" s="764" t="str">
        <f>E6</f>
        <v>Relleno con material tipo filtrante para drenaje francés</v>
      </c>
      <c r="Q6" s="764"/>
      <c r="R6" s="764"/>
      <c r="S6" s="764"/>
      <c r="T6" s="30" t="s">
        <v>23</v>
      </c>
      <c r="U6" s="31" t="str">
        <f>J6</f>
        <v>m3</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1965</v>
      </c>
      <c r="L9" s="22"/>
      <c r="M9" s="771" t="s">
        <v>30</v>
      </c>
      <c r="N9" s="771"/>
      <c r="O9" s="771"/>
      <c r="P9" s="771"/>
      <c r="Q9" s="771"/>
      <c r="R9" s="206"/>
      <c r="S9" s="181"/>
      <c r="T9" s="208">
        <v>0.05</v>
      </c>
      <c r="U9" s="181">
        <f>ROUND(T9*U41,0)</f>
        <v>605</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1965</v>
      </c>
      <c r="L15" s="22"/>
      <c r="M15" s="772" t="s">
        <v>31</v>
      </c>
      <c r="N15" s="772"/>
      <c r="O15" s="772"/>
      <c r="P15" s="772"/>
      <c r="Q15" s="772"/>
      <c r="R15" s="772"/>
      <c r="S15" s="772"/>
      <c r="T15" s="772"/>
      <c r="U15" s="181">
        <f>SUM(U9:U14)</f>
        <v>605</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1"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1" ht="14.25" customHeight="1" x14ac:dyDescent="0.25">
      <c r="A19" s="22"/>
      <c r="B19" s="764" t="s">
        <v>160</v>
      </c>
      <c r="C19" s="764"/>
      <c r="D19" s="764"/>
      <c r="E19" s="764"/>
      <c r="F19" s="34">
        <v>1.1000000000000001</v>
      </c>
      <c r="G19" s="31" t="str">
        <f>IF(F19=0,"",VLOOKUP(B19,'LISTADO DE MATERIALES'!$B$6:$D$311,2,FALSE))</f>
        <v>m3</v>
      </c>
      <c r="H19" s="107">
        <v>0.05</v>
      </c>
      <c r="I19" s="24">
        <f>IF(F19=0,"",VLOOKUP(B19,'LISTADO DE MATERIALES'!$B$6:$D$311,3,FALSE))</f>
        <v>144000</v>
      </c>
      <c r="J19" s="24">
        <f>IF(I19="",0,ROUND((+F19*I19*(1+H19)),0))</f>
        <v>166320</v>
      </c>
      <c r="L19" s="22"/>
      <c r="M19" s="777" t="s">
        <v>160</v>
      </c>
      <c r="N19" s="777"/>
      <c r="O19" s="777"/>
      <c r="P19" s="777"/>
      <c r="Q19" s="211">
        <v>1.1000000000000001</v>
      </c>
      <c r="R19" s="206" t="s">
        <v>261</v>
      </c>
      <c r="S19" s="209"/>
      <c r="T19" s="181">
        <v>144000</v>
      </c>
      <c r="U19" s="181">
        <f>IF(T19="",0,ROUND((+Q19*T19*(1+S19)),0))</f>
        <v>158400</v>
      </c>
    </row>
    <row r="20" spans="1:21" ht="15" customHeight="1" x14ac:dyDescent="0.25">
      <c r="A20" s="22"/>
      <c r="B20" s="760"/>
      <c r="C20" s="760"/>
      <c r="D20" s="760"/>
      <c r="E20" s="760"/>
      <c r="F20" s="34"/>
      <c r="G20" s="31" t="str">
        <f>IF(F20=0,"",VLOOKUP(B20,'LISTADO DE MATERIALES'!$B$6:$D$311,2,FALSE))</f>
        <v/>
      </c>
      <c r="H20" s="107"/>
      <c r="I20" s="24" t="str">
        <f>IF(F20=0,"",VLOOKUP(B20,'LISTADO DE MATERIALES'!$B$6:$D$311,3,FALSE))</f>
        <v/>
      </c>
      <c r="J20" s="24">
        <f t="shared" ref="J20:J24" si="2">IF(I20="",0,ROUND((+F20*I20*(1+H20)),0))</f>
        <v>0</v>
      </c>
      <c r="L20" s="22"/>
      <c r="M20" s="771"/>
      <c r="N20" s="771"/>
      <c r="O20" s="771"/>
      <c r="P20" s="771"/>
      <c r="Q20" s="180"/>
      <c r="R20" s="206" t="s">
        <v>501</v>
      </c>
      <c r="S20" s="209"/>
      <c r="T20" s="181" t="s">
        <v>501</v>
      </c>
      <c r="U20" s="181">
        <f t="shared" ref="U20:U24" si="3">IF(T20="",0,ROUND((+Q20*T20*(1+S20)),0))</f>
        <v>0</v>
      </c>
    </row>
    <row r="21" spans="1:21" ht="15" customHeight="1" x14ac:dyDescent="0.25">
      <c r="A21" s="22"/>
      <c r="B21" s="760"/>
      <c r="C21" s="760"/>
      <c r="D21" s="760"/>
      <c r="E21" s="760"/>
      <c r="F21" s="34"/>
      <c r="G21" s="31" t="str">
        <f>IF(F21=0,"",VLOOKUP(B21,'LISTADO DE MATERIALES'!$B$6:$D$311,2,FALSE))</f>
        <v/>
      </c>
      <c r="H21" s="107"/>
      <c r="I21" s="24" t="str">
        <f>IF(F21=0,"",VLOOKUP(B21,'LISTADO DE MATERIALES'!$B$6:$D$311,3,FALSE))</f>
        <v/>
      </c>
      <c r="J21" s="24">
        <f t="shared" si="2"/>
        <v>0</v>
      </c>
      <c r="L21" s="22"/>
      <c r="M21" s="771"/>
      <c r="N21" s="771"/>
      <c r="O21" s="771"/>
      <c r="P21" s="771"/>
      <c r="Q21" s="180"/>
      <c r="R21" s="206" t="s">
        <v>501</v>
      </c>
      <c r="S21" s="209"/>
      <c r="T21" s="181" t="s">
        <v>501</v>
      </c>
      <c r="U21" s="181">
        <f t="shared" si="3"/>
        <v>0</v>
      </c>
    </row>
    <row r="22" spans="1:21"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1"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1"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1" ht="15" customHeight="1" x14ac:dyDescent="0.25">
      <c r="A25" s="22"/>
      <c r="B25" s="761" t="s">
        <v>37</v>
      </c>
      <c r="C25" s="761"/>
      <c r="D25" s="761"/>
      <c r="E25" s="761"/>
      <c r="F25" s="761"/>
      <c r="G25" s="761"/>
      <c r="H25" s="761"/>
      <c r="I25" s="761"/>
      <c r="J25" s="24">
        <f>SUM(J19:J24)</f>
        <v>166320</v>
      </c>
      <c r="L25" s="22"/>
      <c r="M25" s="772" t="s">
        <v>37</v>
      </c>
      <c r="N25" s="772"/>
      <c r="O25" s="772"/>
      <c r="P25" s="772"/>
      <c r="Q25" s="772"/>
      <c r="R25" s="772"/>
      <c r="S25" s="772"/>
      <c r="T25" s="772"/>
      <c r="U25" s="181">
        <f>SUM(U19:U24)</f>
        <v>158400</v>
      </c>
    </row>
    <row r="26" spans="1:21" ht="7.5" customHeight="1" x14ac:dyDescent="0.25">
      <c r="A26" s="22"/>
      <c r="B26" s="25"/>
      <c r="C26" s="25"/>
      <c r="D26" s="25"/>
      <c r="E26" s="25"/>
      <c r="F26" s="25"/>
      <c r="G26" s="25"/>
      <c r="H26" s="25"/>
      <c r="I26" s="25"/>
      <c r="J26" s="26"/>
      <c r="L26" s="22"/>
      <c r="M26" s="25"/>
      <c r="N26" s="25"/>
      <c r="O26" s="25"/>
      <c r="P26" s="25"/>
      <c r="Q26" s="25"/>
      <c r="R26" s="25"/>
      <c r="S26" s="25"/>
      <c r="T26" s="25"/>
      <c r="U26" s="26"/>
    </row>
    <row r="27" spans="1:21"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1"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1" ht="15" customHeight="1" x14ac:dyDescent="0.25">
      <c r="A29" s="22"/>
      <c r="B29" s="760" t="s">
        <v>347</v>
      </c>
      <c r="C29" s="760"/>
      <c r="D29" s="760"/>
      <c r="E29" s="760"/>
      <c r="F29" s="760"/>
      <c r="G29" s="34">
        <f>+F19</f>
        <v>1.1000000000000001</v>
      </c>
      <c r="H29" s="180">
        <f>+TRANSPORTE!B6</f>
        <v>70</v>
      </c>
      <c r="I29" s="320">
        <f>+TRANSPORTE!C6</f>
        <v>1241.46</v>
      </c>
      <c r="J29" s="24">
        <f>ROUND((I29*H29*G29),0)</f>
        <v>95592</v>
      </c>
      <c r="L29" s="22"/>
      <c r="M29" s="771" t="s">
        <v>347</v>
      </c>
      <c r="N29" s="771"/>
      <c r="O29" s="771"/>
      <c r="P29" s="771"/>
      <c r="Q29" s="771"/>
      <c r="R29" s="180">
        <f>+Q19</f>
        <v>1.1000000000000001</v>
      </c>
      <c r="S29" s="180">
        <v>32</v>
      </c>
      <c r="T29" s="181">
        <v>1200</v>
      </c>
      <c r="U29" s="181">
        <f>ROUND((T29*S29*R29),0)</f>
        <v>42240</v>
      </c>
    </row>
    <row r="30" spans="1:21"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1"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1"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95592</v>
      </c>
      <c r="L33" s="22"/>
      <c r="M33" s="772" t="s">
        <v>40</v>
      </c>
      <c r="N33" s="772"/>
      <c r="O33" s="772"/>
      <c r="P33" s="772"/>
      <c r="Q33" s="772"/>
      <c r="R33" s="772"/>
      <c r="S33" s="772"/>
      <c r="T33" s="772"/>
      <c r="U33" s="181">
        <f>SUM(U29:U32)</f>
        <v>42240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120</v>
      </c>
      <c r="C37" s="760"/>
      <c r="D37" s="760"/>
      <c r="E37" s="760"/>
      <c r="F37" s="760"/>
      <c r="G37" s="24">
        <f>IF(B37="","",VLOOKUP(B37,CUADRILLAS!$B$87:$C$101,2,FALSE))</f>
        <v>157213.73333333334</v>
      </c>
      <c r="H37" s="31">
        <v>1</v>
      </c>
      <c r="I37" s="34">
        <v>8</v>
      </c>
      <c r="J37" s="24">
        <f>ROUND(+IF(I37=0,0,G37*H37/I37),0)</f>
        <v>19652</v>
      </c>
      <c r="L37" s="22"/>
      <c r="M37" s="771" t="s">
        <v>120</v>
      </c>
      <c r="N37" s="771"/>
      <c r="O37" s="771"/>
      <c r="P37" s="771"/>
      <c r="Q37" s="771"/>
      <c r="R37" s="181">
        <v>157213.73333333334</v>
      </c>
      <c r="S37" s="206">
        <v>1</v>
      </c>
      <c r="T37" s="211">
        <v>26</v>
      </c>
      <c r="U37" s="181">
        <f>ROUND(+IF(T37=0,0,R37*S37/T37),0)</f>
        <v>6047</v>
      </c>
    </row>
    <row r="38" spans="1:21" ht="15" customHeight="1" x14ac:dyDescent="0.25">
      <c r="A38" s="22"/>
      <c r="B38" s="760" t="s">
        <v>121</v>
      </c>
      <c r="C38" s="760"/>
      <c r="D38" s="760"/>
      <c r="E38" s="760"/>
      <c r="F38" s="760"/>
      <c r="G38" s="24">
        <f>IF(B38="","",VLOOKUP(B38,CUADRILLAS!$B$87:$C$101,2,FALSE))</f>
        <v>78606.866666666669</v>
      </c>
      <c r="H38" s="31">
        <v>2</v>
      </c>
      <c r="I38" s="34">
        <f>+I37</f>
        <v>8</v>
      </c>
      <c r="J38" s="24">
        <f>ROUND(+IF(I38=0,0,G38*H38/I38),0)</f>
        <v>19652</v>
      </c>
      <c r="L38" s="22"/>
      <c r="M38" s="771" t="s">
        <v>121</v>
      </c>
      <c r="N38" s="771"/>
      <c r="O38" s="771"/>
      <c r="P38" s="771"/>
      <c r="Q38" s="771"/>
      <c r="R38" s="181">
        <v>78606.866666666669</v>
      </c>
      <c r="S38" s="206">
        <v>2</v>
      </c>
      <c r="T38" s="211">
        <v>26</v>
      </c>
      <c r="U38" s="181">
        <f>ROUND(+IF(T38=0,0,R38*S38/T38),0)</f>
        <v>6047</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39304</v>
      </c>
      <c r="L41" s="22"/>
      <c r="M41" s="772" t="s">
        <v>42</v>
      </c>
      <c r="N41" s="772"/>
      <c r="O41" s="772"/>
      <c r="P41" s="772"/>
      <c r="Q41" s="772"/>
      <c r="R41" s="772"/>
      <c r="S41" s="772"/>
      <c r="T41" s="772"/>
      <c r="U41" s="181">
        <f>SUM(U37:U40)</f>
        <v>12094</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303181</v>
      </c>
      <c r="L43" s="27"/>
      <c r="M43" s="773" t="s">
        <v>43</v>
      </c>
      <c r="N43" s="773"/>
      <c r="O43" s="773"/>
      <c r="P43" s="773"/>
      <c r="Q43" s="773"/>
      <c r="R43" s="773"/>
      <c r="S43" s="773"/>
      <c r="T43" s="773"/>
      <c r="U43" s="210">
        <f>+U41+U33+U15+U25</f>
        <v>213339</v>
      </c>
    </row>
    <row r="44" spans="1:21" x14ac:dyDescent="0.25">
      <c r="B44" s="21"/>
      <c r="C44" s="21"/>
      <c r="D44" s="21"/>
      <c r="E44" s="21"/>
      <c r="F44" s="21"/>
      <c r="G44" s="21"/>
      <c r="H44" s="21"/>
      <c r="I44" s="21"/>
      <c r="J44" s="21"/>
    </row>
    <row r="47" spans="1:21" x14ac:dyDescent="0.25">
      <c r="M47" s="21"/>
      <c r="N47" s="21"/>
      <c r="O47" s="21"/>
      <c r="P47" s="21"/>
      <c r="Q47" s="21"/>
      <c r="R47" s="21"/>
      <c r="S47" s="21"/>
      <c r="T47" s="21"/>
    </row>
    <row r="48" spans="1:21" x14ac:dyDescent="0.25">
      <c r="M48" s="21"/>
      <c r="N48" s="21"/>
      <c r="O48" s="21"/>
      <c r="P48" s="21"/>
      <c r="Q48" s="21"/>
      <c r="R48" s="21"/>
      <c r="S48" s="21"/>
      <c r="T48" s="21"/>
    </row>
    <row r="49" spans="13:20" x14ac:dyDescent="0.25">
      <c r="M49" s="21"/>
      <c r="N49" s="21"/>
      <c r="O49" s="21"/>
      <c r="P49" s="21"/>
      <c r="Q49" s="21"/>
      <c r="R49" s="21"/>
      <c r="S49" s="21"/>
      <c r="T49" s="21"/>
    </row>
    <row r="50" spans="13:20" x14ac:dyDescent="0.25">
      <c r="M50" s="21"/>
      <c r="N50" s="21"/>
      <c r="O50" s="21"/>
      <c r="P50" s="21"/>
      <c r="Q50" s="21"/>
      <c r="R50" s="21"/>
      <c r="S50" s="21"/>
      <c r="T50" s="21"/>
    </row>
    <row r="51" spans="13:20" x14ac:dyDescent="0.25">
      <c r="M51" s="21"/>
      <c r="N51" s="21"/>
      <c r="O51" s="21"/>
      <c r="P51" s="21"/>
      <c r="Q51" s="21"/>
      <c r="R51" s="21"/>
      <c r="S51" s="21"/>
      <c r="T51" s="21"/>
    </row>
    <row r="52" spans="13:20" x14ac:dyDescent="0.25">
      <c r="M52" s="21"/>
      <c r="N52" s="21"/>
      <c r="O52" s="21"/>
      <c r="P52" s="21"/>
      <c r="Q52" s="21"/>
      <c r="R52" s="21"/>
      <c r="S52" s="21"/>
      <c r="T52"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98" display="'PPTO HOJA'!A98" xr:uid="{00000000-0004-0000-1A00-000000000000}"/>
    <hyperlink ref="N6" location="'PPTO HOJA'!A15" display="'PPTO HOJA'!A15" xr:uid="{00000000-0004-0000-1A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1A00-000000000000}">
          <x14:formula1>
            <xm:f>CUADRILLAS!$B$86:$B$101</xm:f>
          </x14:formula1>
          <xm:sqref>B37:F40</xm:sqref>
        </x14:dataValidation>
      </x14:dataValidations>
    </ext>
  </extLs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9" tint="0.59999389629810485"/>
  </sheetPr>
  <dimension ref="A1:U46"/>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6.33203125" style="20" bestFit="1" customWidth="1"/>
    <col min="11" max="11" width="6.6640625" style="20" customWidth="1"/>
    <col min="12" max="17" width="11.44140625" style="20"/>
    <col min="18" max="18" width="13.109375" style="20" bestFit="1" customWidth="1"/>
    <col min="19" max="20" width="11.44140625" style="20"/>
    <col min="21" max="21" width="15.88671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339</v>
      </c>
      <c r="B6" s="29" t="s">
        <v>22</v>
      </c>
      <c r="C6" s="116">
        <f>+'PPTO HOJA'!A40</f>
        <v>4.0799999999999983</v>
      </c>
      <c r="D6" s="28"/>
      <c r="E6" s="764" t="str">
        <f>+'PPTO HOJA'!B40</f>
        <v>Geotextil no tejido para drenaje francés (NT-2500)</v>
      </c>
      <c r="F6" s="764"/>
      <c r="G6" s="764"/>
      <c r="H6" s="764"/>
      <c r="I6" s="30" t="s">
        <v>23</v>
      </c>
      <c r="J6" s="31" t="str">
        <f>+'PPTO HOJA'!C40</f>
        <v>m2</v>
      </c>
      <c r="L6" s="30" t="str">
        <f>A6</f>
        <v>IV</v>
      </c>
      <c r="M6" s="29" t="s">
        <v>22</v>
      </c>
      <c r="N6" s="238">
        <f>C6</f>
        <v>4.0799999999999983</v>
      </c>
      <c r="O6" s="28"/>
      <c r="P6" s="764" t="str">
        <f>E6</f>
        <v>Geotextil no tejido para drenaje francés (NT-2500)</v>
      </c>
      <c r="Q6" s="764"/>
      <c r="R6" s="764"/>
      <c r="S6" s="764"/>
      <c r="T6" s="30" t="s">
        <v>23</v>
      </c>
      <c r="U6" s="31" t="str">
        <f>J6</f>
        <v>m2</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ROUND(I9*J43,0)</f>
        <v>236</v>
      </c>
      <c r="L9" s="22"/>
      <c r="M9" s="771" t="s">
        <v>30</v>
      </c>
      <c r="N9" s="771"/>
      <c r="O9" s="771"/>
      <c r="P9" s="771"/>
      <c r="Q9" s="771"/>
      <c r="R9" s="206"/>
      <c r="S9" s="181"/>
      <c r="T9" s="208">
        <v>0.05</v>
      </c>
      <c r="U9" s="181">
        <f>ROUND(T9*U43,0)</f>
        <v>88</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5" si="0">IF(B11="",0,ROUND(H11/I11,0))</f>
        <v>0</v>
      </c>
      <c r="L11" s="22"/>
      <c r="M11" s="771"/>
      <c r="N11" s="771"/>
      <c r="O11" s="771"/>
      <c r="P11" s="771"/>
      <c r="Q11" s="771"/>
      <c r="R11" s="206" t="s">
        <v>501</v>
      </c>
      <c r="S11" s="181" t="s">
        <v>501</v>
      </c>
      <c r="T11" s="180"/>
      <c r="U11" s="181">
        <f t="shared" ref="U11:U15"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f t="shared" si="0"/>
        <v>0</v>
      </c>
      <c r="L14" s="22"/>
      <c r="M14" s="771"/>
      <c r="N14" s="771"/>
      <c r="O14" s="771"/>
      <c r="P14" s="771"/>
      <c r="Q14" s="771"/>
      <c r="R14" s="206" t="s">
        <v>501</v>
      </c>
      <c r="S14" s="181" t="s">
        <v>501</v>
      </c>
      <c r="T14" s="180"/>
      <c r="U14" s="181">
        <f t="shared" si="1"/>
        <v>0</v>
      </c>
    </row>
    <row r="15" spans="1:21" ht="15" customHeight="1" x14ac:dyDescent="0.25">
      <c r="A15" s="22"/>
      <c r="B15" s="760"/>
      <c r="C15" s="760"/>
      <c r="D15" s="760"/>
      <c r="E15" s="760"/>
      <c r="F15" s="760"/>
      <c r="G15" s="31" t="str">
        <f>IF(B15="","",VLOOKUP(B15,EQUIPOS!$B$7:$F$46,3,FALSE))</f>
        <v/>
      </c>
      <c r="H15" s="24" t="str">
        <f>IF(B15="","",VLOOKUP(B15,EQUIPOS!$B$7:$F$46,5,FALSE))</f>
        <v/>
      </c>
      <c r="I15" s="34"/>
      <c r="J15" s="24">
        <f t="shared" si="0"/>
        <v>0</v>
      </c>
      <c r="L15" s="22"/>
      <c r="M15" s="771"/>
      <c r="N15" s="771"/>
      <c r="O15" s="771"/>
      <c r="P15" s="771"/>
      <c r="Q15" s="771"/>
      <c r="R15" s="206" t="s">
        <v>501</v>
      </c>
      <c r="S15" s="181" t="s">
        <v>501</v>
      </c>
      <c r="T15" s="180"/>
      <c r="U15" s="181">
        <f t="shared" si="1"/>
        <v>0</v>
      </c>
    </row>
    <row r="16" spans="1:21" ht="15" customHeight="1" x14ac:dyDescent="0.25">
      <c r="A16" s="22"/>
      <c r="B16" s="760"/>
      <c r="C16" s="760"/>
      <c r="D16" s="760"/>
      <c r="E16" s="760"/>
      <c r="F16" s="760"/>
      <c r="G16" s="31" t="str">
        <f>IF(B16="","",VLOOKUP(B16,EQUIPOS!$B$7:$F$46,3,FALSE))</f>
        <v/>
      </c>
      <c r="H16" s="24" t="str">
        <f>IF(B16="","",VLOOKUP(B16,EQUIPOS!$B$7:$F$46,5,FALSE))</f>
        <v/>
      </c>
      <c r="I16" s="34"/>
      <c r="J16" s="24"/>
      <c r="L16" s="22"/>
      <c r="M16" s="771"/>
      <c r="N16" s="771"/>
      <c r="O16" s="771"/>
      <c r="P16" s="771"/>
      <c r="Q16" s="771"/>
      <c r="R16" s="206" t="s">
        <v>501</v>
      </c>
      <c r="S16" s="181" t="s">
        <v>501</v>
      </c>
      <c r="T16" s="180"/>
      <c r="U16" s="181"/>
    </row>
    <row r="17" spans="1:21" ht="15" customHeight="1" x14ac:dyDescent="0.25">
      <c r="A17" s="22"/>
      <c r="B17" s="761" t="s">
        <v>31</v>
      </c>
      <c r="C17" s="761"/>
      <c r="D17" s="761"/>
      <c r="E17" s="761"/>
      <c r="F17" s="761"/>
      <c r="G17" s="761"/>
      <c r="H17" s="761"/>
      <c r="I17" s="761"/>
      <c r="J17" s="24">
        <f>SUM(J9:J16)</f>
        <v>236</v>
      </c>
      <c r="L17" s="22"/>
      <c r="M17" s="772" t="s">
        <v>31</v>
      </c>
      <c r="N17" s="772"/>
      <c r="O17" s="772"/>
      <c r="P17" s="772"/>
      <c r="Q17" s="772"/>
      <c r="R17" s="772"/>
      <c r="S17" s="772"/>
      <c r="T17" s="772"/>
      <c r="U17" s="181">
        <f>SUM(U9:U16)</f>
        <v>88</v>
      </c>
    </row>
    <row r="18" spans="1:21" ht="7.5" customHeight="1" x14ac:dyDescent="0.25">
      <c r="A18" s="22"/>
      <c r="B18" s="25"/>
      <c r="C18" s="25"/>
      <c r="D18" s="25"/>
      <c r="E18" s="25"/>
      <c r="F18" s="25"/>
      <c r="G18" s="25"/>
      <c r="H18" s="25"/>
      <c r="I18" s="25"/>
      <c r="J18" s="26"/>
      <c r="L18" s="22"/>
      <c r="M18" s="25"/>
      <c r="N18" s="25"/>
      <c r="O18" s="25"/>
      <c r="P18" s="25"/>
      <c r="Q18" s="25"/>
      <c r="R18" s="25"/>
      <c r="S18" s="25"/>
      <c r="T18" s="25"/>
      <c r="U18" s="26"/>
    </row>
    <row r="19" spans="1:21" ht="15" customHeight="1" x14ac:dyDescent="0.25">
      <c r="A19" s="22"/>
      <c r="B19" s="761" t="s">
        <v>32</v>
      </c>
      <c r="C19" s="761"/>
      <c r="D19" s="761"/>
      <c r="E19" s="761"/>
      <c r="F19" s="761"/>
      <c r="G19" s="761"/>
      <c r="H19" s="761"/>
      <c r="I19" s="761"/>
      <c r="J19" s="761"/>
      <c r="L19" s="22"/>
      <c r="M19" s="772" t="s">
        <v>32</v>
      </c>
      <c r="N19" s="772"/>
      <c r="O19" s="772"/>
      <c r="P19" s="772"/>
      <c r="Q19" s="772"/>
      <c r="R19" s="772"/>
      <c r="S19" s="772"/>
      <c r="T19" s="772"/>
      <c r="U19" s="772"/>
    </row>
    <row r="20" spans="1:21" ht="26.4" x14ac:dyDescent="0.25">
      <c r="A20" s="22"/>
      <c r="B20" s="763" t="s">
        <v>33</v>
      </c>
      <c r="C20" s="763"/>
      <c r="D20" s="763"/>
      <c r="E20" s="763"/>
      <c r="F20" s="28" t="s">
        <v>19</v>
      </c>
      <c r="G20" s="31" t="s">
        <v>34</v>
      </c>
      <c r="H20" s="32" t="s">
        <v>35</v>
      </c>
      <c r="I20" s="32" t="s">
        <v>36</v>
      </c>
      <c r="J20" s="32" t="s">
        <v>29</v>
      </c>
      <c r="L20" s="22"/>
      <c r="M20" s="774" t="s">
        <v>33</v>
      </c>
      <c r="N20" s="774"/>
      <c r="O20" s="774"/>
      <c r="P20" s="774"/>
      <c r="Q20" s="205" t="s">
        <v>19</v>
      </c>
      <c r="R20" s="206" t="s">
        <v>34</v>
      </c>
      <c r="S20" s="207" t="s">
        <v>35</v>
      </c>
      <c r="T20" s="207" t="s">
        <v>36</v>
      </c>
      <c r="U20" s="207" t="s">
        <v>29</v>
      </c>
    </row>
    <row r="21" spans="1:21" ht="30" customHeight="1" x14ac:dyDescent="0.25">
      <c r="A21" s="22"/>
      <c r="B21" s="764" t="s">
        <v>348</v>
      </c>
      <c r="C21" s="764"/>
      <c r="D21" s="764"/>
      <c r="E21" s="764"/>
      <c r="F21" s="34">
        <v>1.2</v>
      </c>
      <c r="G21" s="31" t="str">
        <f>IF(F21=0,"",VLOOKUP(B21,'LISTADO DE MATERIALES'!$B$6:$D$311,2,FALSE))</f>
        <v>m2</v>
      </c>
      <c r="H21" s="107"/>
      <c r="I21" s="24">
        <f>IF(F21=0,"",VLOOKUP(B21,'LISTADO DE MATERIALES'!$B$6:$D$311,3,FALSE))</f>
        <v>18921</v>
      </c>
      <c r="J21" s="24">
        <f>IF(I21="",0,ROUND((+F21*I21*(1+H21)),0))</f>
        <v>22705</v>
      </c>
      <c r="L21" s="22"/>
      <c r="M21" s="777" t="s">
        <v>348</v>
      </c>
      <c r="N21" s="777"/>
      <c r="O21" s="777"/>
      <c r="P21" s="777"/>
      <c r="Q21" s="180">
        <v>1</v>
      </c>
      <c r="R21" s="206" t="s">
        <v>436</v>
      </c>
      <c r="S21" s="272">
        <v>0.1</v>
      </c>
      <c r="T21" s="24">
        <f>IF(Q21=0,"",VLOOKUP(M21,'LISTADO DE MATERIALES'!$B$6:$D$311,3,FALSE))</f>
        <v>18921</v>
      </c>
      <c r="U21" s="181">
        <f>IF(T21="",0,ROUND((+Q21*T21*(1+S21)),0))</f>
        <v>20813</v>
      </c>
    </row>
    <row r="22" spans="1:21" ht="15" customHeight="1" x14ac:dyDescent="0.25">
      <c r="A22" s="22"/>
      <c r="B22" s="764"/>
      <c r="C22" s="764"/>
      <c r="D22" s="764"/>
      <c r="E22" s="764"/>
      <c r="F22" s="34"/>
      <c r="G22" s="31" t="str">
        <f>IF(F22=0,"",VLOOKUP(B22,'LISTADO DE MATERIALES'!$B$6:$D$311,2,FALSE))</f>
        <v/>
      </c>
      <c r="H22" s="107"/>
      <c r="I22" s="24" t="str">
        <f>IF(F22=0,"",VLOOKUP(B22,'LISTADO DE MATERIALES'!$B$6:$D$311,3,FALSE))</f>
        <v/>
      </c>
      <c r="J22" s="24">
        <f t="shared" ref="J22:J26" si="2">IF(I22="",0,ROUND((+F22*I22*(1+H22)),0))</f>
        <v>0</v>
      </c>
      <c r="L22" s="22"/>
      <c r="M22" s="777"/>
      <c r="N22" s="777"/>
      <c r="O22" s="777"/>
      <c r="P22" s="777"/>
      <c r="Q22" s="180"/>
      <c r="R22" s="206" t="s">
        <v>501</v>
      </c>
      <c r="S22" s="209"/>
      <c r="T22" s="181" t="s">
        <v>501</v>
      </c>
      <c r="U22" s="181">
        <f t="shared" ref="U22:U26" si="3">IF(T22="",0,ROUND((+Q22*T22*(1+S22)),0))</f>
        <v>0</v>
      </c>
    </row>
    <row r="23" spans="1:21"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1"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1" ht="15" customHeight="1" x14ac:dyDescent="0.25">
      <c r="A25" s="22"/>
      <c r="B25" s="760"/>
      <c r="C25" s="760"/>
      <c r="D25" s="760"/>
      <c r="E25" s="760"/>
      <c r="F25" s="34"/>
      <c r="G25" s="31" t="str">
        <f>IF(F25=0,"",VLOOKUP(B25,'LISTADO DE MATERIALES'!$B$6:$D$311,2,FALSE))</f>
        <v/>
      </c>
      <c r="H25" s="107"/>
      <c r="I25" s="24" t="str">
        <f>IF(F25=0,"",VLOOKUP(B25,'LISTADO DE MATERIALES'!$B$6:$D$311,3,FALSE))</f>
        <v/>
      </c>
      <c r="J25" s="24">
        <f t="shared" si="2"/>
        <v>0</v>
      </c>
      <c r="L25" s="22"/>
      <c r="M25" s="771"/>
      <c r="N25" s="771"/>
      <c r="O25" s="771"/>
      <c r="P25" s="771"/>
      <c r="Q25" s="180"/>
      <c r="R25" s="206" t="s">
        <v>501</v>
      </c>
      <c r="S25" s="209"/>
      <c r="T25" s="181" t="s">
        <v>501</v>
      </c>
      <c r="U25" s="181">
        <f t="shared" si="3"/>
        <v>0</v>
      </c>
    </row>
    <row r="26" spans="1:21" ht="15" customHeight="1" x14ac:dyDescent="0.25">
      <c r="A26" s="22"/>
      <c r="B26" s="760"/>
      <c r="C26" s="760"/>
      <c r="D26" s="760"/>
      <c r="E26" s="760"/>
      <c r="F26" s="34"/>
      <c r="G26" s="31" t="str">
        <f>IF(F26=0,"",VLOOKUP(B26,'LISTADO DE MATERIALES'!$B$6:$D$311,2,FALSE))</f>
        <v/>
      </c>
      <c r="H26" s="107"/>
      <c r="I26" s="24" t="str">
        <f>IF(F26=0,"",VLOOKUP(B26,'LISTADO DE MATERIALES'!$B$6:$D$311,3,FALSE))</f>
        <v/>
      </c>
      <c r="J26" s="24">
        <f t="shared" si="2"/>
        <v>0</v>
      </c>
      <c r="L26" s="22"/>
      <c r="M26" s="771"/>
      <c r="N26" s="771"/>
      <c r="O26" s="771"/>
      <c r="P26" s="771"/>
      <c r="Q26" s="180"/>
      <c r="R26" s="206" t="s">
        <v>501</v>
      </c>
      <c r="S26" s="209"/>
      <c r="T26" s="181" t="s">
        <v>501</v>
      </c>
      <c r="U26" s="181">
        <f t="shared" si="3"/>
        <v>0</v>
      </c>
    </row>
    <row r="27" spans="1:21" ht="15" customHeight="1" x14ac:dyDescent="0.25">
      <c r="A27" s="22"/>
      <c r="B27" s="761" t="s">
        <v>37</v>
      </c>
      <c r="C27" s="761"/>
      <c r="D27" s="761"/>
      <c r="E27" s="761"/>
      <c r="F27" s="761"/>
      <c r="G27" s="761"/>
      <c r="H27" s="761"/>
      <c r="I27" s="761"/>
      <c r="J27" s="24">
        <f>SUM(J21:J26)</f>
        <v>22705</v>
      </c>
      <c r="L27" s="22"/>
      <c r="M27" s="772" t="s">
        <v>37</v>
      </c>
      <c r="N27" s="772"/>
      <c r="O27" s="772"/>
      <c r="P27" s="772"/>
      <c r="Q27" s="772"/>
      <c r="R27" s="772"/>
      <c r="S27" s="772"/>
      <c r="T27" s="772"/>
      <c r="U27" s="181">
        <f>SUM(U21:U26)</f>
        <v>20813</v>
      </c>
    </row>
    <row r="28" spans="1:21" ht="7.5" customHeight="1" x14ac:dyDescent="0.25">
      <c r="A28" s="22"/>
      <c r="B28" s="25"/>
      <c r="C28" s="25"/>
      <c r="D28" s="25"/>
      <c r="E28" s="25"/>
      <c r="F28" s="25"/>
      <c r="G28" s="25"/>
      <c r="H28" s="25"/>
      <c r="I28" s="25"/>
      <c r="J28" s="26"/>
      <c r="L28" s="22"/>
      <c r="M28" s="25"/>
      <c r="N28" s="25"/>
      <c r="O28" s="25"/>
      <c r="P28" s="25"/>
      <c r="Q28" s="25"/>
      <c r="R28" s="25"/>
      <c r="S28" s="25"/>
      <c r="T28" s="25"/>
      <c r="U28" s="26"/>
    </row>
    <row r="29" spans="1:21" ht="15" customHeight="1" x14ac:dyDescent="0.25">
      <c r="A29" s="22"/>
      <c r="B29" s="761" t="s">
        <v>38</v>
      </c>
      <c r="C29" s="761"/>
      <c r="D29" s="761"/>
      <c r="E29" s="761"/>
      <c r="F29" s="761"/>
      <c r="G29" s="761"/>
      <c r="H29" s="761"/>
      <c r="I29" s="761"/>
      <c r="J29" s="761"/>
      <c r="L29" s="22"/>
      <c r="M29" s="772" t="s">
        <v>38</v>
      </c>
      <c r="N29" s="772"/>
      <c r="O29" s="772"/>
      <c r="P29" s="772"/>
      <c r="Q29" s="772"/>
      <c r="R29" s="772"/>
      <c r="S29" s="772"/>
      <c r="T29" s="772"/>
      <c r="U29" s="772"/>
    </row>
    <row r="30" spans="1:21" x14ac:dyDescent="0.25">
      <c r="A30" s="22"/>
      <c r="B30" s="763" t="s">
        <v>33</v>
      </c>
      <c r="C30" s="763"/>
      <c r="D30" s="763"/>
      <c r="E30" s="763"/>
      <c r="F30" s="763"/>
      <c r="G30" s="31" t="s">
        <v>133</v>
      </c>
      <c r="H30" s="31" t="s">
        <v>132</v>
      </c>
      <c r="I30" s="31" t="s">
        <v>39</v>
      </c>
      <c r="J30" s="32" t="s">
        <v>29</v>
      </c>
      <c r="L30" s="22"/>
      <c r="M30" s="774" t="s">
        <v>33</v>
      </c>
      <c r="N30" s="774"/>
      <c r="O30" s="774"/>
      <c r="P30" s="774"/>
      <c r="Q30" s="774"/>
      <c r="R30" s="206" t="s">
        <v>133</v>
      </c>
      <c r="S30" s="206" t="s">
        <v>132</v>
      </c>
      <c r="T30" s="206" t="s">
        <v>39</v>
      </c>
      <c r="U30" s="207" t="s">
        <v>29</v>
      </c>
    </row>
    <row r="31" spans="1:21" ht="15" customHeight="1" x14ac:dyDescent="0.25">
      <c r="A31" s="22"/>
      <c r="B31" s="760"/>
      <c r="C31" s="760"/>
      <c r="D31" s="760"/>
      <c r="E31" s="760"/>
      <c r="F31" s="760"/>
      <c r="G31" s="31"/>
      <c r="H31" s="34"/>
      <c r="I31" s="24"/>
      <c r="J31" s="24">
        <f>ROUND(I31*H31,0)</f>
        <v>0</v>
      </c>
      <c r="L31" s="22"/>
      <c r="M31" s="771"/>
      <c r="N31" s="771"/>
      <c r="O31" s="771"/>
      <c r="P31" s="771"/>
      <c r="Q31" s="771"/>
      <c r="R31" s="206"/>
      <c r="S31" s="180"/>
      <c r="T31" s="181"/>
      <c r="U31" s="181">
        <f>ROUND(T31*S31,0)</f>
        <v>0</v>
      </c>
    </row>
    <row r="32" spans="1:21" ht="15" customHeight="1" x14ac:dyDescent="0.25">
      <c r="A32" s="22"/>
      <c r="B32" s="760"/>
      <c r="C32" s="760"/>
      <c r="D32" s="760"/>
      <c r="E32" s="760"/>
      <c r="F32" s="760"/>
      <c r="G32" s="31"/>
      <c r="H32" s="34"/>
      <c r="I32" s="24"/>
      <c r="J32" s="24">
        <v>0</v>
      </c>
      <c r="L32" s="22"/>
      <c r="M32" s="771"/>
      <c r="N32" s="771"/>
      <c r="O32" s="771"/>
      <c r="P32" s="771"/>
      <c r="Q32" s="771"/>
      <c r="R32" s="206"/>
      <c r="S32" s="180"/>
      <c r="T32" s="181"/>
      <c r="U32" s="181">
        <v>0</v>
      </c>
    </row>
    <row r="33" spans="1:21" ht="15" customHeight="1" x14ac:dyDescent="0.25">
      <c r="A33" s="22"/>
      <c r="B33" s="760"/>
      <c r="C33" s="760"/>
      <c r="D33" s="760"/>
      <c r="E33" s="760"/>
      <c r="F33" s="760"/>
      <c r="G33" s="31"/>
      <c r="H33" s="34"/>
      <c r="I33" s="24"/>
      <c r="J33" s="24">
        <v>0</v>
      </c>
      <c r="L33" s="22"/>
      <c r="M33" s="771"/>
      <c r="N33" s="771"/>
      <c r="O33" s="771"/>
      <c r="P33" s="771"/>
      <c r="Q33" s="771"/>
      <c r="R33" s="206"/>
      <c r="S33" s="180"/>
      <c r="T33" s="181"/>
      <c r="U33" s="181">
        <v>0</v>
      </c>
    </row>
    <row r="34" spans="1:21" ht="15" customHeight="1" x14ac:dyDescent="0.25">
      <c r="A34" s="22"/>
      <c r="B34" s="760"/>
      <c r="C34" s="760"/>
      <c r="D34" s="760"/>
      <c r="E34" s="760"/>
      <c r="F34" s="760"/>
      <c r="G34" s="31"/>
      <c r="H34" s="31"/>
      <c r="I34" s="24"/>
      <c r="J34" s="24">
        <v>0</v>
      </c>
      <c r="L34" s="22"/>
      <c r="M34" s="771"/>
      <c r="N34" s="771"/>
      <c r="O34" s="771"/>
      <c r="P34" s="771"/>
      <c r="Q34" s="771"/>
      <c r="R34" s="206"/>
      <c r="S34" s="206"/>
      <c r="T34" s="181"/>
      <c r="U34" s="181">
        <v>0</v>
      </c>
    </row>
    <row r="35" spans="1:21" ht="15" customHeight="1" x14ac:dyDescent="0.25">
      <c r="A35" s="22"/>
      <c r="B35" s="761" t="s">
        <v>40</v>
      </c>
      <c r="C35" s="761"/>
      <c r="D35" s="761"/>
      <c r="E35" s="761"/>
      <c r="F35" s="761"/>
      <c r="G35" s="761"/>
      <c r="H35" s="761"/>
      <c r="I35" s="761"/>
      <c r="J35" s="24">
        <f>SUM(J31:J34)</f>
        <v>0</v>
      </c>
      <c r="L35" s="22"/>
      <c r="M35" s="772" t="s">
        <v>40</v>
      </c>
      <c r="N35" s="772"/>
      <c r="O35" s="772"/>
      <c r="P35" s="772"/>
      <c r="Q35" s="772"/>
      <c r="R35" s="772"/>
      <c r="S35" s="772"/>
      <c r="T35" s="772"/>
      <c r="U35" s="181">
        <f>SUM(U31:U34)</f>
        <v>0</v>
      </c>
    </row>
    <row r="36" spans="1:21" ht="7.5" customHeight="1" x14ac:dyDescent="0.25">
      <c r="A36" s="22"/>
      <c r="B36" s="25"/>
      <c r="C36" s="25"/>
      <c r="D36" s="25"/>
      <c r="E36" s="25"/>
      <c r="F36" s="25"/>
      <c r="G36" s="25"/>
      <c r="H36" s="25"/>
      <c r="I36" s="25"/>
      <c r="J36" s="26"/>
      <c r="L36" s="22"/>
      <c r="M36" s="25"/>
      <c r="N36" s="25"/>
      <c r="O36" s="25"/>
      <c r="P36" s="25"/>
      <c r="Q36" s="25"/>
      <c r="R36" s="25"/>
      <c r="S36" s="25"/>
      <c r="T36" s="25"/>
      <c r="U36" s="26"/>
    </row>
    <row r="37" spans="1:21" ht="15" customHeight="1" x14ac:dyDescent="0.25">
      <c r="A37" s="22"/>
      <c r="B37" s="761" t="s">
        <v>41</v>
      </c>
      <c r="C37" s="761"/>
      <c r="D37" s="761"/>
      <c r="E37" s="761"/>
      <c r="F37" s="761"/>
      <c r="G37" s="761"/>
      <c r="H37" s="761"/>
      <c r="I37" s="761"/>
      <c r="J37" s="761"/>
      <c r="L37" s="22"/>
      <c r="M37" s="772" t="s">
        <v>41</v>
      </c>
      <c r="N37" s="772"/>
      <c r="O37" s="772"/>
      <c r="P37" s="772"/>
      <c r="Q37" s="772"/>
      <c r="R37" s="772"/>
      <c r="S37" s="772"/>
      <c r="T37" s="772"/>
      <c r="U37" s="772"/>
    </row>
    <row r="38" spans="1:21" ht="39.6" x14ac:dyDescent="0.25">
      <c r="A38" s="22"/>
      <c r="B38" s="763" t="s">
        <v>4</v>
      </c>
      <c r="C38" s="763"/>
      <c r="D38" s="763"/>
      <c r="E38" s="763"/>
      <c r="F38" s="763"/>
      <c r="G38" s="32" t="s">
        <v>51</v>
      </c>
      <c r="H38" s="32" t="s">
        <v>19</v>
      </c>
      <c r="I38" s="32" t="s">
        <v>28</v>
      </c>
      <c r="J38" s="32" t="s">
        <v>29</v>
      </c>
      <c r="L38" s="22"/>
      <c r="M38" s="774" t="s">
        <v>4</v>
      </c>
      <c r="N38" s="774"/>
      <c r="O38" s="774"/>
      <c r="P38" s="774"/>
      <c r="Q38" s="774"/>
      <c r="R38" s="207" t="s">
        <v>51</v>
      </c>
      <c r="S38" s="207" t="s">
        <v>19</v>
      </c>
      <c r="T38" s="207" t="s">
        <v>28</v>
      </c>
      <c r="U38" s="207" t="s">
        <v>29</v>
      </c>
    </row>
    <row r="39" spans="1:21" ht="15" customHeight="1" x14ac:dyDescent="0.25">
      <c r="A39" s="22"/>
      <c r="B39" s="760" t="s">
        <v>72</v>
      </c>
      <c r="C39" s="760"/>
      <c r="D39" s="760"/>
      <c r="E39" s="760"/>
      <c r="F39" s="760"/>
      <c r="G39" s="24">
        <f>IF(B39="","",VLOOKUP(B39,CUADRILLAS!$B$87:$C$101,2,FALSE))</f>
        <v>707461.8</v>
      </c>
      <c r="H39" s="31">
        <v>1</v>
      </c>
      <c r="I39" s="34">
        <v>150</v>
      </c>
      <c r="J39" s="24">
        <f>ROUND(+IF(I39=0,0,G39*H39/I39),0)</f>
        <v>4716</v>
      </c>
      <c r="L39" s="22"/>
      <c r="M39" s="771" t="s">
        <v>72</v>
      </c>
      <c r="N39" s="771"/>
      <c r="O39" s="771"/>
      <c r="P39" s="771"/>
      <c r="Q39" s="771"/>
      <c r="R39" s="181">
        <v>707461.8</v>
      </c>
      <c r="S39" s="206">
        <v>1</v>
      </c>
      <c r="T39" s="211">
        <v>400</v>
      </c>
      <c r="U39" s="181">
        <f>ROUND(+IF(T39=0,0,R39*S39/T39),0)</f>
        <v>1769</v>
      </c>
    </row>
    <row r="40" spans="1:21" ht="15" customHeight="1" x14ac:dyDescent="0.25">
      <c r="A40" s="22"/>
      <c r="B40" s="760"/>
      <c r="C40" s="760"/>
      <c r="D40" s="760"/>
      <c r="E40" s="760"/>
      <c r="F40" s="760"/>
      <c r="G40" s="24" t="str">
        <f>IF(B40="","",VLOOKUP(B40,CUADRILLAS!$B$87:$C$101,2,FALSE))</f>
        <v/>
      </c>
      <c r="H40" s="31"/>
      <c r="I40" s="34"/>
      <c r="J40" s="24">
        <f>ROUND(+IF(I40=0,0,G40*H40/I40),0)</f>
        <v>0</v>
      </c>
      <c r="L40" s="22"/>
      <c r="M40" s="771"/>
      <c r="N40" s="771"/>
      <c r="O40" s="771"/>
      <c r="P40" s="771"/>
      <c r="Q40" s="771"/>
      <c r="R40" s="181" t="s">
        <v>501</v>
      </c>
      <c r="S40" s="206"/>
      <c r="T40" s="180"/>
      <c r="U40" s="181">
        <f>ROUND(+IF(T40=0,0,R40*S40/T40),0)</f>
        <v>0</v>
      </c>
    </row>
    <row r="41" spans="1:21" ht="15" customHeight="1" x14ac:dyDescent="0.25">
      <c r="A41" s="22"/>
      <c r="B41" s="760"/>
      <c r="C41" s="760"/>
      <c r="D41" s="760"/>
      <c r="E41" s="760"/>
      <c r="F41" s="760"/>
      <c r="G41" s="24" t="str">
        <f>IF(B41="","",VLOOKUP(B41,CUADRILLAS!$B$87:$C$101,2,FALSE))</f>
        <v/>
      </c>
      <c r="H41" s="31"/>
      <c r="I41" s="34"/>
      <c r="J41" s="24">
        <f t="shared" ref="J41:J42" si="4">+IF(I41=0,0,G41*H41/I41)</f>
        <v>0</v>
      </c>
      <c r="L41" s="22"/>
      <c r="M41" s="771"/>
      <c r="N41" s="771"/>
      <c r="O41" s="771"/>
      <c r="P41" s="771"/>
      <c r="Q41" s="771"/>
      <c r="R41" s="181" t="s">
        <v>501</v>
      </c>
      <c r="S41" s="206"/>
      <c r="T41" s="180"/>
      <c r="U41" s="181">
        <f t="shared" ref="U41:U42" si="5">+IF(T41=0,0,R41*S41/T41)</f>
        <v>0</v>
      </c>
    </row>
    <row r="42" spans="1:21" ht="15" customHeight="1" x14ac:dyDescent="0.25">
      <c r="A42" s="22"/>
      <c r="B42" s="760"/>
      <c r="C42" s="760"/>
      <c r="D42" s="760"/>
      <c r="E42" s="760"/>
      <c r="F42" s="760"/>
      <c r="G42" s="24" t="str">
        <f>IF(B42="","",VLOOKUP(B42,CUADRILLAS!$B$87:$C$101,2,FALSE))</f>
        <v/>
      </c>
      <c r="H42" s="31"/>
      <c r="I42" s="34"/>
      <c r="J42" s="24">
        <f t="shared" si="4"/>
        <v>0</v>
      </c>
      <c r="L42" s="22"/>
      <c r="M42" s="771"/>
      <c r="N42" s="771"/>
      <c r="O42" s="771"/>
      <c r="P42" s="771"/>
      <c r="Q42" s="771"/>
      <c r="R42" s="181" t="s">
        <v>501</v>
      </c>
      <c r="S42" s="206"/>
      <c r="T42" s="180"/>
      <c r="U42" s="181">
        <f t="shared" si="5"/>
        <v>0</v>
      </c>
    </row>
    <row r="43" spans="1:21" ht="15" customHeight="1" x14ac:dyDescent="0.25">
      <c r="A43" s="22"/>
      <c r="B43" s="761" t="s">
        <v>42</v>
      </c>
      <c r="C43" s="761"/>
      <c r="D43" s="761"/>
      <c r="E43" s="761"/>
      <c r="F43" s="761"/>
      <c r="G43" s="761"/>
      <c r="H43" s="761"/>
      <c r="I43" s="761"/>
      <c r="J43" s="24">
        <f>SUM(J39:J42)</f>
        <v>4716</v>
      </c>
      <c r="L43" s="22"/>
      <c r="M43" s="772" t="s">
        <v>42</v>
      </c>
      <c r="N43" s="772"/>
      <c r="O43" s="772"/>
      <c r="P43" s="772"/>
      <c r="Q43" s="772"/>
      <c r="R43" s="772"/>
      <c r="S43" s="772"/>
      <c r="T43" s="772"/>
      <c r="U43" s="181">
        <f>SUM(U39:U42)</f>
        <v>1769</v>
      </c>
    </row>
    <row r="44" spans="1:21" ht="7.5" customHeight="1" x14ac:dyDescent="0.25">
      <c r="A44" s="22"/>
      <c r="B44" s="25"/>
      <c r="C44" s="25"/>
      <c r="D44" s="25"/>
      <c r="E44" s="25"/>
      <c r="F44" s="25"/>
      <c r="G44" s="25"/>
      <c r="H44" s="25"/>
      <c r="I44" s="25"/>
      <c r="J44" s="26"/>
      <c r="L44" s="22"/>
      <c r="M44" s="25"/>
      <c r="N44" s="25"/>
      <c r="O44" s="25"/>
      <c r="P44" s="25"/>
      <c r="Q44" s="25"/>
      <c r="R44" s="25"/>
      <c r="S44" s="25"/>
      <c r="T44" s="25"/>
      <c r="U44" s="26"/>
    </row>
    <row r="45" spans="1:21" ht="15.75" customHeight="1" x14ac:dyDescent="0.25">
      <c r="A45" s="27"/>
      <c r="B45" s="762" t="s">
        <v>43</v>
      </c>
      <c r="C45" s="762"/>
      <c r="D45" s="762"/>
      <c r="E45" s="762"/>
      <c r="F45" s="762"/>
      <c r="G45" s="762"/>
      <c r="H45" s="762"/>
      <c r="I45" s="762"/>
      <c r="J45" s="106">
        <f>+J43+J35+J17+J27</f>
        <v>27657</v>
      </c>
      <c r="L45" s="27"/>
      <c r="M45" s="773" t="s">
        <v>43</v>
      </c>
      <c r="N45" s="773"/>
      <c r="O45" s="773"/>
      <c r="P45" s="773"/>
      <c r="Q45" s="773"/>
      <c r="R45" s="773"/>
      <c r="S45" s="773"/>
      <c r="T45" s="773"/>
      <c r="U45" s="210">
        <f>+U43+U35+U17+U27</f>
        <v>22670</v>
      </c>
    </row>
    <row r="46" spans="1:21" x14ac:dyDescent="0.25">
      <c r="B46" s="21"/>
      <c r="C46" s="21"/>
      <c r="D46" s="21"/>
      <c r="E46" s="21"/>
      <c r="F46" s="21"/>
      <c r="G46" s="21"/>
      <c r="H46" s="21"/>
      <c r="I46" s="21"/>
      <c r="J46" s="21"/>
    </row>
  </sheetData>
  <mergeCells count="82">
    <mergeCell ref="M41:Q41"/>
    <mergeCell ref="M42:Q42"/>
    <mergeCell ref="M45:T45"/>
    <mergeCell ref="M39:Q39"/>
    <mergeCell ref="M40:Q40"/>
    <mergeCell ref="M43:T43"/>
    <mergeCell ref="M15:Q15"/>
    <mergeCell ref="M16:Q16"/>
    <mergeCell ref="M17:T17"/>
    <mergeCell ref="M19:U19"/>
    <mergeCell ref="M25:P25"/>
    <mergeCell ref="M22:P22"/>
    <mergeCell ref="M23:P23"/>
    <mergeCell ref="M24:P24"/>
    <mergeCell ref="M20:P20"/>
    <mergeCell ref="M21:P21"/>
    <mergeCell ref="M26:P26"/>
    <mergeCell ref="M27:T27"/>
    <mergeCell ref="M29:U29"/>
    <mergeCell ref="M33:Q33"/>
    <mergeCell ref="M34:Q34"/>
    <mergeCell ref="M35:T35"/>
    <mergeCell ref="M37:U37"/>
    <mergeCell ref="M38:Q38"/>
    <mergeCell ref="M30:Q30"/>
    <mergeCell ref="M31:Q31"/>
    <mergeCell ref="M32:Q32"/>
    <mergeCell ref="M11:Q11"/>
    <mergeCell ref="M12:Q12"/>
    <mergeCell ref="M13:Q13"/>
    <mergeCell ref="M14:Q14"/>
    <mergeCell ref="P6:S6"/>
    <mergeCell ref="M7:U7"/>
    <mergeCell ref="M8:Q8"/>
    <mergeCell ref="M9:Q9"/>
    <mergeCell ref="M10:Q10"/>
    <mergeCell ref="L1:N4"/>
    <mergeCell ref="O1:U1"/>
    <mergeCell ref="O2:U2"/>
    <mergeCell ref="O3:U3"/>
    <mergeCell ref="O4:U4"/>
    <mergeCell ref="B40:F40"/>
    <mergeCell ref="B41:F41"/>
    <mergeCell ref="B42:F42"/>
    <mergeCell ref="B43:I43"/>
    <mergeCell ref="B45:I45"/>
    <mergeCell ref="B39:F39"/>
    <mergeCell ref="B26:E26"/>
    <mergeCell ref="B27:I27"/>
    <mergeCell ref="B29:J29"/>
    <mergeCell ref="B30:F30"/>
    <mergeCell ref="B31:F31"/>
    <mergeCell ref="B32:F32"/>
    <mergeCell ref="B33:F33"/>
    <mergeCell ref="B34:F34"/>
    <mergeCell ref="B35:I35"/>
    <mergeCell ref="B37:J37"/>
    <mergeCell ref="B38:F38"/>
    <mergeCell ref="B25:E25"/>
    <mergeCell ref="B13:F13"/>
    <mergeCell ref="B14:F14"/>
    <mergeCell ref="B15:F15"/>
    <mergeCell ref="B16:F16"/>
    <mergeCell ref="B17:I17"/>
    <mergeCell ref="B19:J19"/>
    <mergeCell ref="B20:E20"/>
    <mergeCell ref="B21:E21"/>
    <mergeCell ref="B22:E22"/>
    <mergeCell ref="B23:E23"/>
    <mergeCell ref="B24:E24"/>
    <mergeCell ref="B12:F12"/>
    <mergeCell ref="A1:C4"/>
    <mergeCell ref="D1:J1"/>
    <mergeCell ref="D2:J2"/>
    <mergeCell ref="D3:J3"/>
    <mergeCell ref="D4:J4"/>
    <mergeCell ref="E6:H6"/>
    <mergeCell ref="B7:J7"/>
    <mergeCell ref="B8:F8"/>
    <mergeCell ref="B9:F9"/>
    <mergeCell ref="B10:F10"/>
    <mergeCell ref="B11:F11"/>
  </mergeCells>
  <hyperlinks>
    <hyperlink ref="C6" location="'PPTO HOJA'!A159" display="'PPTO HOJA'!A159" xr:uid="{00000000-0004-0000-1B00-000000000000}"/>
    <hyperlink ref="N6" location="'PPTO HOJA'!A15" display="'PPTO HOJA'!A15" xr:uid="{00000000-0004-0000-1B00-000001000000}"/>
  </hyperlinks>
  <pageMargins left="0.7" right="0.7" top="0.75" bottom="0.75" header="0.3" footer="0.3"/>
  <pageSetup paperSize="9" scale="35" orientation="portrait" r:id="rId1"/>
  <drawing r:id="rId2"/>
  <legacyDrawing r:id="rId3"/>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1B00-000000000000}">
          <x14:formula1>
            <xm:f>CUADRILLAS!$B$86:$B$101</xm:f>
          </x14:formula1>
          <xm:sqref>B39:F42</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9" tint="0.59999389629810485"/>
  </sheetPr>
  <dimension ref="A1:W5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6.33203125" style="20" bestFit="1" customWidth="1"/>
    <col min="11" max="11" width="5.33203125" style="20" customWidth="1"/>
    <col min="12" max="17" width="11.44140625" style="20"/>
    <col min="18" max="18" width="13.44140625" style="20" bestFit="1" customWidth="1"/>
    <col min="19" max="19" width="11.44140625" style="20"/>
    <col min="20" max="20" width="13.5546875" style="20" bestFit="1" customWidth="1"/>
    <col min="21" max="21" width="16.3320312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49.5" customHeight="1" x14ac:dyDescent="0.3">
      <c r="A6" s="30" t="s">
        <v>339</v>
      </c>
      <c r="B6" s="29" t="s">
        <v>22</v>
      </c>
      <c r="C6" s="116">
        <f>+'PPTO HOJA'!A41</f>
        <v>4.0899999999999981</v>
      </c>
      <c r="D6" s="28"/>
      <c r="E6" s="764" t="str">
        <f>+'PPTO HOJA'!B41</f>
        <v>S/I Tubería Sanitaria descolgada Ø 4" PVC-S (Incluye codos 90° PVC-S 4", pintura color verde olivo semimate y abrazaderas metálicas 4")</v>
      </c>
      <c r="F6" s="764"/>
      <c r="G6" s="764"/>
      <c r="H6" s="764"/>
      <c r="I6" s="30" t="s">
        <v>23</v>
      </c>
      <c r="J6" s="31" t="str">
        <f>+'PPTO HOJA'!C41</f>
        <v>m</v>
      </c>
      <c r="L6" s="30" t="str">
        <f>A6</f>
        <v>IV</v>
      </c>
      <c r="M6" s="29" t="s">
        <v>22</v>
      </c>
      <c r="N6" s="238">
        <f>C6</f>
        <v>4.0899999999999981</v>
      </c>
      <c r="O6" s="28"/>
      <c r="P6" s="764" t="str">
        <f>E6</f>
        <v>S/I Tubería Sanitaria descolgada Ø 4" PVC-S (Incluye codos 90° PVC-S 4", pintura color verde olivo semimate y abrazaderas metálicas 4")</v>
      </c>
      <c r="Q6" s="764"/>
      <c r="R6" s="764"/>
      <c r="S6" s="764"/>
      <c r="T6" s="30" t="s">
        <v>23</v>
      </c>
      <c r="U6" s="31" t="str">
        <f>J6</f>
        <v>m</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ROUND(I9*J45,0)</f>
        <v>1004</v>
      </c>
      <c r="L9" s="22"/>
      <c r="M9" s="771" t="s">
        <v>30</v>
      </c>
      <c r="N9" s="771"/>
      <c r="O9" s="771"/>
      <c r="P9" s="771"/>
      <c r="Q9" s="771"/>
      <c r="R9" s="206"/>
      <c r="S9" s="181"/>
      <c r="T9" s="208">
        <v>0.05</v>
      </c>
      <c r="U9" s="181">
        <f>ROUND(T9*U45,0)</f>
        <v>1004</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1004</v>
      </c>
      <c r="L15" s="22"/>
      <c r="M15" s="772" t="s">
        <v>31</v>
      </c>
      <c r="N15" s="772"/>
      <c r="O15" s="772"/>
      <c r="P15" s="772"/>
      <c r="Q15" s="772"/>
      <c r="R15" s="772"/>
      <c r="S15" s="772"/>
      <c r="T15" s="772"/>
      <c r="U15" s="181">
        <f>SUM(U9:U14)</f>
        <v>1004</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3"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3"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3" ht="14.25" customHeight="1" x14ac:dyDescent="0.25">
      <c r="A19" s="22"/>
      <c r="B19" s="764" t="s">
        <v>191</v>
      </c>
      <c r="C19" s="764"/>
      <c r="D19" s="764"/>
      <c r="E19" s="764"/>
      <c r="F19" s="34">
        <v>1</v>
      </c>
      <c r="G19" s="31" t="str">
        <f>IF(F19=0,"",VLOOKUP(B19,'LISTADO DE MATERIALES'!$B$6:$D$311,2,FALSE))</f>
        <v>m</v>
      </c>
      <c r="H19" s="107">
        <v>0.05</v>
      </c>
      <c r="I19" s="24">
        <f>IF(F19=0,"",VLOOKUP(B19,'LISTADO DE MATERIALES'!$B$6:$D$311,3,FALSE))</f>
        <v>37800.15</v>
      </c>
      <c r="J19" s="24">
        <f>IF(I19="",0,ROUND((+F19*I19*(1+H19)),0))</f>
        <v>39690</v>
      </c>
      <c r="L19" s="22"/>
      <c r="M19" s="777" t="s">
        <v>191</v>
      </c>
      <c r="N19" s="777"/>
      <c r="O19" s="777"/>
      <c r="P19" s="777"/>
      <c r="Q19" s="180">
        <v>1</v>
      </c>
      <c r="R19" s="206" t="s">
        <v>190</v>
      </c>
      <c r="S19" s="209">
        <v>0.05</v>
      </c>
      <c r="T19" s="212">
        <v>37800.15</v>
      </c>
      <c r="U19" s="181">
        <f>IF(T19="",0,ROUND((+Q19*T19*(1+S19)),0))</f>
        <v>39690</v>
      </c>
      <c r="W19" s="274">
        <f>209648/6</f>
        <v>34941.333333333336</v>
      </c>
    </row>
    <row r="20" spans="1:23" ht="15" customHeight="1" x14ac:dyDescent="0.25">
      <c r="A20" s="22"/>
      <c r="B20" s="760" t="s">
        <v>326</v>
      </c>
      <c r="C20" s="760"/>
      <c r="D20" s="760"/>
      <c r="E20" s="760"/>
      <c r="F20" s="34">
        <f>5/5.5</f>
        <v>0.90909090909090906</v>
      </c>
      <c r="G20" s="31" t="str">
        <f>IF(F20=0,"",VLOOKUP(B20,'LISTADO DE MATERIALES'!$B$6:$D$311,2,FALSE))</f>
        <v>und</v>
      </c>
      <c r="H20" s="107"/>
      <c r="I20" s="24">
        <f>IF(F20=0,"",VLOOKUP(B20,'LISTADO DE MATERIALES'!$B$6:$D$311,3,FALSE))</f>
        <v>17859</v>
      </c>
      <c r="J20" s="24">
        <f t="shared" ref="J20:J27" si="2">IF(I20="",0,ROUND((+F20*I20*(1+H20)),0))</f>
        <v>16235</v>
      </c>
      <c r="L20" s="22"/>
      <c r="M20" s="771" t="s">
        <v>326</v>
      </c>
      <c r="N20" s="771"/>
      <c r="O20" s="771"/>
      <c r="P20" s="771"/>
      <c r="Q20" s="180">
        <f>4/5.7</f>
        <v>0.70175438596491224</v>
      </c>
      <c r="R20" s="206" t="s">
        <v>9</v>
      </c>
      <c r="S20" s="209"/>
      <c r="T20" s="181">
        <v>17859</v>
      </c>
      <c r="U20" s="181">
        <f t="shared" ref="U20:U28" si="3">IF(T20="",0,ROUND((+Q20*T20*(1+S20)),0))</f>
        <v>12533</v>
      </c>
    </row>
    <row r="21" spans="1:23" ht="30" customHeight="1" x14ac:dyDescent="0.25">
      <c r="A21" s="22"/>
      <c r="B21" s="764" t="s">
        <v>341</v>
      </c>
      <c r="C21" s="764"/>
      <c r="D21" s="764"/>
      <c r="E21" s="764"/>
      <c r="F21" s="34">
        <f>(PI()*(114.3/1000)*F19)/(15/3)</f>
        <v>7.1816808061062665E-2</v>
      </c>
      <c r="G21" s="31" t="str">
        <f>IF(F21=0,"",VLOOKUP(B21,'LISTADO DE MATERIALES'!$B$6:$D$311,2,FALSE))</f>
        <v>und</v>
      </c>
      <c r="H21" s="107">
        <v>0.1</v>
      </c>
      <c r="I21" s="24">
        <f>IF(F21=0,"",VLOOKUP(B21,'LISTADO DE MATERIALES'!$B$6:$D$311,3,FALSE))</f>
        <v>37500</v>
      </c>
      <c r="J21" s="24">
        <f t="shared" si="2"/>
        <v>2962</v>
      </c>
      <c r="L21" s="22"/>
      <c r="M21" s="777" t="s">
        <v>341</v>
      </c>
      <c r="N21" s="777"/>
      <c r="O21" s="777"/>
      <c r="P21" s="777"/>
      <c r="Q21" s="180">
        <f>(PI()*(114.3/1000)*Q19)/(15/3)</f>
        <v>7.1816808061062665E-2</v>
      </c>
      <c r="R21" s="206" t="s">
        <v>9</v>
      </c>
      <c r="S21" s="209"/>
      <c r="T21" s="212">
        <v>37500</v>
      </c>
      <c r="U21" s="181">
        <f t="shared" si="3"/>
        <v>2693</v>
      </c>
    </row>
    <row r="22" spans="1:23" ht="15" customHeight="1" x14ac:dyDescent="0.25">
      <c r="A22" s="22"/>
      <c r="B22" s="760" t="s">
        <v>192</v>
      </c>
      <c r="C22" s="760"/>
      <c r="D22" s="760"/>
      <c r="E22" s="760"/>
      <c r="F22" s="34">
        <f>+E54</f>
        <v>3.1818181818181815E-2</v>
      </c>
      <c r="G22" s="31" t="str">
        <f>IF(F22=0,"",VLOOKUP(B22,'LISTADO DE MATERIALES'!$B$6:$D$311,2,FALSE))</f>
        <v>und</v>
      </c>
      <c r="H22" s="107">
        <v>0.05</v>
      </c>
      <c r="I22" s="24">
        <f>IF(F22=0,"",VLOOKUP(B22,'LISTADO DE MATERIALES'!$B$6:$D$311,3,FALSE))</f>
        <v>147850</v>
      </c>
      <c r="J22" s="24">
        <f t="shared" si="2"/>
        <v>4940</v>
      </c>
      <c r="L22" s="22"/>
      <c r="M22" s="771" t="s">
        <v>192</v>
      </c>
      <c r="N22" s="771"/>
      <c r="O22" s="771"/>
      <c r="P22" s="771"/>
      <c r="Q22" s="180">
        <v>2.5000000000000001E-2</v>
      </c>
      <c r="R22" s="206" t="s">
        <v>9</v>
      </c>
      <c r="S22" s="209"/>
      <c r="T22" s="212">
        <v>147850</v>
      </c>
      <c r="U22" s="181">
        <f t="shared" si="3"/>
        <v>3696</v>
      </c>
    </row>
    <row r="23" spans="1:23" ht="15" customHeight="1" x14ac:dyDescent="0.25">
      <c r="A23" s="22"/>
      <c r="B23" s="760" t="s">
        <v>193</v>
      </c>
      <c r="C23" s="760"/>
      <c r="D23" s="760"/>
      <c r="E23" s="760"/>
      <c r="F23" s="34">
        <f>F22</f>
        <v>3.1818181818181815E-2</v>
      </c>
      <c r="G23" s="31" t="str">
        <f>IF(F23=0,"",VLOOKUP(B23,'LISTADO DE MATERIALES'!$B$6:$D$311,2,FALSE))</f>
        <v>und</v>
      </c>
      <c r="H23" s="107">
        <v>0.05</v>
      </c>
      <c r="I23" s="24">
        <f>IF(F23=0,"",VLOOKUP(B23,'LISTADO DE MATERIALES'!$B$6:$D$311,3,FALSE))</f>
        <v>71305</v>
      </c>
      <c r="J23" s="24">
        <f t="shared" si="2"/>
        <v>2382</v>
      </c>
      <c r="L23" s="22"/>
      <c r="M23" s="771" t="s">
        <v>193</v>
      </c>
      <c r="N23" s="771"/>
      <c r="O23" s="771"/>
      <c r="P23" s="771"/>
      <c r="Q23" s="180">
        <f>Q22</f>
        <v>2.5000000000000001E-2</v>
      </c>
      <c r="R23" s="206" t="s">
        <v>9</v>
      </c>
      <c r="S23" s="209"/>
      <c r="T23" s="212">
        <v>71305</v>
      </c>
      <c r="U23" s="181">
        <f t="shared" si="3"/>
        <v>1783</v>
      </c>
    </row>
    <row r="24" spans="1:23" ht="15" customHeight="1" x14ac:dyDescent="0.25">
      <c r="A24" s="22"/>
      <c r="B24" s="760" t="s">
        <v>340</v>
      </c>
      <c r="C24" s="760"/>
      <c r="D24" s="760"/>
      <c r="E24" s="760"/>
      <c r="F24" s="34">
        <v>1</v>
      </c>
      <c r="G24" s="31" t="str">
        <f>IF(F24=0,"",VLOOKUP(B24,'LISTADO DE MATERIALES'!$B$6:$D$311,2,FALSE))</f>
        <v>und</v>
      </c>
      <c r="H24" s="107"/>
      <c r="I24" s="24">
        <f>IF(F24=0,"",VLOOKUP(B24,'LISTADO DE MATERIALES'!$B$6:$D$311,3,FALSE))</f>
        <v>17500</v>
      </c>
      <c r="J24" s="24">
        <f t="shared" si="2"/>
        <v>17500</v>
      </c>
      <c r="L24" s="22"/>
      <c r="M24" s="771" t="s">
        <v>340</v>
      </c>
      <c r="N24" s="771"/>
      <c r="O24" s="771"/>
      <c r="P24" s="771"/>
      <c r="Q24" s="180">
        <f>1/3</f>
        <v>0.33333333333333331</v>
      </c>
      <c r="R24" s="206" t="s">
        <v>9</v>
      </c>
      <c r="S24" s="209"/>
      <c r="T24" s="212">
        <v>17500</v>
      </c>
      <c r="U24" s="181">
        <f t="shared" si="3"/>
        <v>5833</v>
      </c>
    </row>
    <row r="25" spans="1:23" ht="14.4" customHeight="1" x14ac:dyDescent="0.25">
      <c r="A25" s="22"/>
      <c r="B25" s="760" t="s">
        <v>529</v>
      </c>
      <c r="C25" s="760"/>
      <c r="D25" s="760"/>
      <c r="E25" s="760"/>
      <c r="F25" s="34">
        <f>2/5.5</f>
        <v>0.36363636363636365</v>
      </c>
      <c r="G25" s="31" t="str">
        <f>IF(F25=0,"",VLOOKUP(B25,'LISTADO DE MATERIALES'!$B$6:$D$311,2,FALSE))</f>
        <v>und</v>
      </c>
      <c r="H25" s="107"/>
      <c r="I25" s="24">
        <f>IF(F25=0,"",VLOOKUP(B25,'LISTADO DE MATERIALES'!$B$6:$D$311,3,FALSE))</f>
        <v>14900</v>
      </c>
      <c r="J25" s="24">
        <f t="shared" si="2"/>
        <v>5418</v>
      </c>
      <c r="L25" s="22"/>
      <c r="M25" s="771"/>
      <c r="N25" s="771"/>
      <c r="O25" s="771"/>
      <c r="P25" s="771"/>
      <c r="Q25" s="180"/>
      <c r="R25" s="206" t="s">
        <v>501</v>
      </c>
      <c r="S25" s="209"/>
      <c r="T25" s="181" t="s">
        <v>501</v>
      </c>
      <c r="U25" s="181">
        <f t="shared" si="3"/>
        <v>0</v>
      </c>
    </row>
    <row r="26" spans="1:23" ht="14.4" customHeight="1" x14ac:dyDescent="0.25">
      <c r="A26" s="22"/>
      <c r="B26" s="785" t="s">
        <v>257</v>
      </c>
      <c r="C26" s="786"/>
      <c r="D26" s="786"/>
      <c r="E26" s="787"/>
      <c r="F26" s="180">
        <f>1/5.5</f>
        <v>0.18181818181818182</v>
      </c>
      <c r="G26" s="206" t="str">
        <f>IF(F26=0,"",VLOOKUP(B26,'LISTADO DE MATERIALES'!$B$6:$D$311,2,FALSE))</f>
        <v>und</v>
      </c>
      <c r="H26" s="209"/>
      <c r="I26" s="24">
        <f>IF(F26=0,"",VLOOKUP(B26,'LISTADO DE MATERIALES'!$B$6:$D$311,3,FALSE))</f>
        <v>21735.35</v>
      </c>
      <c r="J26" s="24">
        <f t="shared" si="2"/>
        <v>3952</v>
      </c>
      <c r="L26" s="22"/>
      <c r="M26" s="312"/>
      <c r="N26" s="312"/>
      <c r="O26" s="312"/>
      <c r="P26" s="312"/>
      <c r="Q26" s="180"/>
      <c r="R26" s="206"/>
      <c r="S26" s="209"/>
      <c r="T26" s="181"/>
      <c r="U26" s="181"/>
    </row>
    <row r="27" spans="1:23" ht="14.4" customHeight="1" x14ac:dyDescent="0.25">
      <c r="A27" s="22"/>
      <c r="B27" s="785" t="s">
        <v>247</v>
      </c>
      <c r="C27" s="786"/>
      <c r="D27" s="786"/>
      <c r="E27" s="787"/>
      <c r="F27" s="180">
        <f>1/5.5</f>
        <v>0.18181818181818182</v>
      </c>
      <c r="G27" s="206" t="str">
        <f>IF(F27=0,"",VLOOKUP(B27,'LISTADO DE MATERIALES'!$B$6:$D$311,2,FALSE))</f>
        <v>und</v>
      </c>
      <c r="H27" s="209"/>
      <c r="I27" s="24">
        <f>IF(F27=0,"",VLOOKUP(B27,'LISTADO DE MATERIALES'!$B$6:$D$311,3,FALSE))</f>
        <v>39331.919999999998</v>
      </c>
      <c r="J27" s="24">
        <f t="shared" si="2"/>
        <v>7151</v>
      </c>
      <c r="L27" s="22"/>
      <c r="M27" s="312"/>
      <c r="N27" s="312"/>
      <c r="O27" s="312"/>
      <c r="P27" s="312"/>
      <c r="Q27" s="180"/>
      <c r="R27" s="206"/>
      <c r="S27" s="209"/>
      <c r="T27" s="181"/>
      <c r="U27" s="181"/>
    </row>
    <row r="28" spans="1:23" ht="15" customHeight="1" x14ac:dyDescent="0.25">
      <c r="A28" s="22"/>
      <c r="B28" s="760"/>
      <c r="C28" s="760"/>
      <c r="D28" s="760"/>
      <c r="E28" s="760"/>
      <c r="F28" s="34"/>
      <c r="G28" s="31" t="str">
        <f>IF(F28=0,"",VLOOKUP(B28,'LISTADO DE MATERIALES'!$B$6:$D$311,2,FALSE))</f>
        <v/>
      </c>
      <c r="H28" s="107"/>
      <c r="I28" s="24" t="str">
        <f>IF(F28=0,"",VLOOKUP(B28,'LISTADO DE MATERIALES'!$B$6:$D$311,3,FALSE))</f>
        <v/>
      </c>
      <c r="J28" s="24">
        <f t="shared" ref="J28" si="4">IF(I28="",0,ROUND((+F28*I28*(1+H28)),0))</f>
        <v>0</v>
      </c>
      <c r="L28" s="22"/>
      <c r="M28" s="771"/>
      <c r="N28" s="771"/>
      <c r="O28" s="771"/>
      <c r="P28" s="771"/>
      <c r="Q28" s="180"/>
      <c r="R28" s="206" t="s">
        <v>501</v>
      </c>
      <c r="S28" s="209"/>
      <c r="T28" s="181" t="s">
        <v>501</v>
      </c>
      <c r="U28" s="181">
        <f t="shared" si="3"/>
        <v>0</v>
      </c>
    </row>
    <row r="29" spans="1:23" ht="15" customHeight="1" x14ac:dyDescent="0.25">
      <c r="A29" s="22"/>
      <c r="B29" s="761" t="s">
        <v>37</v>
      </c>
      <c r="C29" s="761"/>
      <c r="D29" s="761"/>
      <c r="E29" s="761"/>
      <c r="F29" s="761"/>
      <c r="G29" s="761"/>
      <c r="H29" s="761"/>
      <c r="I29" s="761"/>
      <c r="J29" s="24">
        <f>SUM(J19:J28)</f>
        <v>100230</v>
      </c>
      <c r="L29" s="22"/>
      <c r="M29" s="772" t="s">
        <v>37</v>
      </c>
      <c r="N29" s="772"/>
      <c r="O29" s="772"/>
      <c r="P29" s="772"/>
      <c r="Q29" s="772"/>
      <c r="R29" s="772"/>
      <c r="S29" s="772"/>
      <c r="T29" s="772"/>
      <c r="U29" s="181">
        <f>SUM(U19:U24)</f>
        <v>66228</v>
      </c>
    </row>
    <row r="30" spans="1:23" ht="7.5" customHeight="1" x14ac:dyDescent="0.25">
      <c r="A30" s="22"/>
      <c r="B30" s="25"/>
      <c r="C30" s="25"/>
      <c r="D30" s="25"/>
      <c r="E30" s="25"/>
      <c r="F30" s="25"/>
      <c r="G30" s="25"/>
      <c r="H30" s="25"/>
      <c r="I30" s="25"/>
      <c r="J30" s="26"/>
      <c r="L30" s="22"/>
      <c r="M30" s="25"/>
      <c r="N30" s="25"/>
      <c r="O30" s="25"/>
      <c r="P30" s="25"/>
      <c r="Q30" s="25"/>
      <c r="R30" s="25"/>
      <c r="S30" s="25"/>
      <c r="T30" s="25"/>
      <c r="U30" s="26"/>
    </row>
    <row r="31" spans="1:23" ht="15" customHeight="1" x14ac:dyDescent="0.25">
      <c r="A31" s="22"/>
      <c r="B31" s="761" t="s">
        <v>38</v>
      </c>
      <c r="C31" s="761"/>
      <c r="D31" s="761"/>
      <c r="E31" s="761"/>
      <c r="F31" s="761"/>
      <c r="G31" s="761"/>
      <c r="H31" s="761"/>
      <c r="I31" s="761"/>
      <c r="J31" s="761"/>
      <c r="L31" s="22"/>
      <c r="M31" s="772" t="s">
        <v>38</v>
      </c>
      <c r="N31" s="772"/>
      <c r="O31" s="772"/>
      <c r="P31" s="772"/>
      <c r="Q31" s="772"/>
      <c r="R31" s="772"/>
      <c r="S31" s="772"/>
      <c r="T31" s="772"/>
      <c r="U31" s="772"/>
    </row>
    <row r="32" spans="1:23" x14ac:dyDescent="0.25">
      <c r="A32" s="22"/>
      <c r="B32" s="763" t="s">
        <v>33</v>
      </c>
      <c r="C32" s="763"/>
      <c r="D32" s="763"/>
      <c r="E32" s="763"/>
      <c r="F32" s="763"/>
      <c r="G32" s="31" t="s">
        <v>133</v>
      </c>
      <c r="H32" s="31" t="s">
        <v>132</v>
      </c>
      <c r="I32" s="31" t="s">
        <v>39</v>
      </c>
      <c r="J32" s="32" t="s">
        <v>29</v>
      </c>
      <c r="L32" s="22"/>
      <c r="M32" s="774" t="s">
        <v>33</v>
      </c>
      <c r="N32" s="774"/>
      <c r="O32" s="774"/>
      <c r="P32" s="774"/>
      <c r="Q32" s="774"/>
      <c r="R32" s="206" t="s">
        <v>133</v>
      </c>
      <c r="S32" s="206" t="s">
        <v>132</v>
      </c>
      <c r="T32" s="206" t="s">
        <v>39</v>
      </c>
      <c r="U32" s="207" t="s">
        <v>29</v>
      </c>
    </row>
    <row r="33" spans="1:21" ht="15" customHeight="1" x14ac:dyDescent="0.25">
      <c r="A33" s="22"/>
      <c r="B33" s="760"/>
      <c r="C33" s="760"/>
      <c r="D33" s="760"/>
      <c r="E33" s="760"/>
      <c r="F33" s="760"/>
      <c r="G33" s="31"/>
      <c r="H33" s="34"/>
      <c r="I33" s="24"/>
      <c r="J33" s="24">
        <f>ROUND((I33*H33*G33),0)</f>
        <v>0</v>
      </c>
      <c r="L33" s="22"/>
      <c r="M33" s="771"/>
      <c r="N33" s="771"/>
      <c r="O33" s="771"/>
      <c r="P33" s="771"/>
      <c r="Q33" s="771"/>
      <c r="R33" s="206"/>
      <c r="S33" s="180"/>
      <c r="T33" s="181"/>
      <c r="U33" s="181">
        <f>ROUND((T33*S33*R33),0)</f>
        <v>0</v>
      </c>
    </row>
    <row r="34" spans="1:21" ht="15" customHeight="1" x14ac:dyDescent="0.25">
      <c r="A34" s="22"/>
      <c r="B34" s="760"/>
      <c r="C34" s="760"/>
      <c r="D34" s="760"/>
      <c r="E34" s="760"/>
      <c r="F34" s="760"/>
      <c r="G34" s="31"/>
      <c r="H34" s="34"/>
      <c r="I34" s="24"/>
      <c r="J34" s="24">
        <v>0</v>
      </c>
      <c r="L34" s="22"/>
      <c r="M34" s="771"/>
      <c r="N34" s="771"/>
      <c r="O34" s="771"/>
      <c r="P34" s="771"/>
      <c r="Q34" s="771"/>
      <c r="R34" s="206"/>
      <c r="S34" s="180"/>
      <c r="T34" s="181"/>
      <c r="U34" s="181">
        <v>0</v>
      </c>
    </row>
    <row r="35" spans="1:21" ht="15" customHeight="1" x14ac:dyDescent="0.25">
      <c r="A35" s="22"/>
      <c r="B35" s="760"/>
      <c r="C35" s="760"/>
      <c r="D35" s="760"/>
      <c r="E35" s="760"/>
      <c r="F35" s="760"/>
      <c r="G35" s="31"/>
      <c r="H35" s="34"/>
      <c r="I35" s="24"/>
      <c r="J35" s="24">
        <v>0</v>
      </c>
      <c r="L35" s="22"/>
      <c r="M35" s="771"/>
      <c r="N35" s="771"/>
      <c r="O35" s="771"/>
      <c r="P35" s="771"/>
      <c r="Q35" s="771"/>
      <c r="R35" s="206"/>
      <c r="S35" s="180"/>
      <c r="T35" s="181"/>
      <c r="U35" s="181">
        <v>0</v>
      </c>
    </row>
    <row r="36" spans="1:21" ht="15" customHeight="1" x14ac:dyDescent="0.25">
      <c r="A36" s="22"/>
      <c r="B36" s="760"/>
      <c r="C36" s="760"/>
      <c r="D36" s="760"/>
      <c r="E36" s="760"/>
      <c r="F36" s="760"/>
      <c r="G36" s="31"/>
      <c r="H36" s="31"/>
      <c r="I36" s="24"/>
      <c r="J36" s="24">
        <v>0</v>
      </c>
      <c r="L36" s="22"/>
      <c r="M36" s="771"/>
      <c r="N36" s="771"/>
      <c r="O36" s="771"/>
      <c r="P36" s="771"/>
      <c r="Q36" s="771"/>
      <c r="R36" s="206"/>
      <c r="S36" s="206"/>
      <c r="T36" s="181"/>
      <c r="U36" s="181">
        <v>0</v>
      </c>
    </row>
    <row r="37" spans="1:21" ht="15" customHeight="1" x14ac:dyDescent="0.25">
      <c r="A37" s="22"/>
      <c r="B37" s="761" t="s">
        <v>40</v>
      </c>
      <c r="C37" s="761"/>
      <c r="D37" s="761"/>
      <c r="E37" s="761"/>
      <c r="F37" s="761"/>
      <c r="G37" s="761"/>
      <c r="H37" s="761"/>
      <c r="I37" s="761"/>
      <c r="J37" s="24">
        <f>SUM(J33:J36)</f>
        <v>0</v>
      </c>
      <c r="L37" s="22"/>
      <c r="M37" s="772" t="s">
        <v>40</v>
      </c>
      <c r="N37" s="772"/>
      <c r="O37" s="772"/>
      <c r="P37" s="772"/>
      <c r="Q37" s="772"/>
      <c r="R37" s="772"/>
      <c r="S37" s="772"/>
      <c r="T37" s="772"/>
      <c r="U37" s="181">
        <f>SUM(U33:U36)</f>
        <v>0</v>
      </c>
    </row>
    <row r="38" spans="1:21" ht="7.5" customHeight="1" x14ac:dyDescent="0.25">
      <c r="A38" s="22"/>
      <c r="B38" s="25"/>
      <c r="C38" s="25"/>
      <c r="D38" s="25"/>
      <c r="E38" s="25"/>
      <c r="F38" s="25"/>
      <c r="G38" s="25"/>
      <c r="H38" s="25"/>
      <c r="I38" s="25"/>
      <c r="J38" s="26"/>
      <c r="L38" s="22"/>
      <c r="M38" s="25"/>
      <c r="N38" s="25"/>
      <c r="O38" s="25"/>
      <c r="P38" s="25"/>
      <c r="Q38" s="25"/>
      <c r="R38" s="25"/>
      <c r="S38" s="25"/>
      <c r="T38" s="25"/>
      <c r="U38" s="26"/>
    </row>
    <row r="39" spans="1:21" ht="15" customHeight="1" x14ac:dyDescent="0.25">
      <c r="A39" s="22"/>
      <c r="B39" s="761" t="s">
        <v>41</v>
      </c>
      <c r="C39" s="761"/>
      <c r="D39" s="761"/>
      <c r="E39" s="761"/>
      <c r="F39" s="761"/>
      <c r="G39" s="761"/>
      <c r="H39" s="761"/>
      <c r="I39" s="761"/>
      <c r="J39" s="761"/>
      <c r="L39" s="22"/>
      <c r="M39" s="772" t="s">
        <v>41</v>
      </c>
      <c r="N39" s="772"/>
      <c r="O39" s="772"/>
      <c r="P39" s="772"/>
      <c r="Q39" s="772"/>
      <c r="R39" s="772"/>
      <c r="S39" s="772"/>
      <c r="T39" s="772"/>
      <c r="U39" s="772"/>
    </row>
    <row r="40" spans="1:21" ht="39.6" x14ac:dyDescent="0.25">
      <c r="A40" s="22"/>
      <c r="B40" s="763" t="s">
        <v>4</v>
      </c>
      <c r="C40" s="763"/>
      <c r="D40" s="763"/>
      <c r="E40" s="763"/>
      <c r="F40" s="763"/>
      <c r="G40" s="32" t="s">
        <v>51</v>
      </c>
      <c r="H40" s="32" t="s">
        <v>19</v>
      </c>
      <c r="I40" s="32" t="s">
        <v>28</v>
      </c>
      <c r="J40" s="32" t="s">
        <v>29</v>
      </c>
      <c r="L40" s="22"/>
      <c r="M40" s="774" t="s">
        <v>4</v>
      </c>
      <c r="N40" s="774"/>
      <c r="O40" s="774"/>
      <c r="P40" s="774"/>
      <c r="Q40" s="774"/>
      <c r="R40" s="207" t="s">
        <v>51</v>
      </c>
      <c r="S40" s="207" t="s">
        <v>19</v>
      </c>
      <c r="T40" s="207" t="s">
        <v>28</v>
      </c>
      <c r="U40" s="207" t="s">
        <v>29</v>
      </c>
    </row>
    <row r="41" spans="1:21" ht="15" customHeight="1" x14ac:dyDescent="0.25">
      <c r="A41" s="22"/>
      <c r="B41" s="760" t="s">
        <v>342</v>
      </c>
      <c r="C41" s="760"/>
      <c r="D41" s="760"/>
      <c r="E41" s="760"/>
      <c r="F41" s="760"/>
      <c r="G41" s="24">
        <f>IF(B41="","",VLOOKUP(B41,CUADRILLAS!$B$87:$C$101,2,FALSE))</f>
        <v>204377.85333333333</v>
      </c>
      <c r="H41" s="31">
        <v>1</v>
      </c>
      <c r="I41" s="34">
        <f>6*3</f>
        <v>18</v>
      </c>
      <c r="J41" s="24">
        <f>ROUND(+IF(I41=0,0,G41*H41/I41),0)</f>
        <v>11354</v>
      </c>
      <c r="L41" s="22"/>
      <c r="M41" s="771" t="s">
        <v>342</v>
      </c>
      <c r="N41" s="771"/>
      <c r="O41" s="771"/>
      <c r="P41" s="771"/>
      <c r="Q41" s="771"/>
      <c r="R41" s="181">
        <v>204377.85333333333</v>
      </c>
      <c r="S41" s="206">
        <v>1</v>
      </c>
      <c r="T41" s="180">
        <f>6*3</f>
        <v>18</v>
      </c>
      <c r="U41" s="181">
        <f>ROUND(+IF(T41=0,0,R41*S41/T41),0)</f>
        <v>11354</v>
      </c>
    </row>
    <row r="42" spans="1:21" ht="15" customHeight="1" x14ac:dyDescent="0.25">
      <c r="A42" s="22"/>
      <c r="B42" s="760" t="s">
        <v>121</v>
      </c>
      <c r="C42" s="760"/>
      <c r="D42" s="760"/>
      <c r="E42" s="760"/>
      <c r="F42" s="760"/>
      <c r="G42" s="24">
        <f>IF(B42="","",VLOOKUP(B42,CUADRILLAS!$B$87:$C$101,2,FALSE))</f>
        <v>78606.866666666669</v>
      </c>
      <c r="H42" s="31">
        <v>2</v>
      </c>
      <c r="I42" s="34">
        <f>+I41</f>
        <v>18</v>
      </c>
      <c r="J42" s="24">
        <f>ROUND(+IF(I42=0,0,G42*H42/I42),0)</f>
        <v>8734</v>
      </c>
      <c r="L42" s="22"/>
      <c r="M42" s="771" t="s">
        <v>121</v>
      </c>
      <c r="N42" s="771"/>
      <c r="O42" s="771"/>
      <c r="P42" s="771"/>
      <c r="Q42" s="771"/>
      <c r="R42" s="181">
        <v>78606.866666666669</v>
      </c>
      <c r="S42" s="206">
        <v>2</v>
      </c>
      <c r="T42" s="180">
        <f>+T41</f>
        <v>18</v>
      </c>
      <c r="U42" s="181">
        <f>ROUND(+IF(T42=0,0,R42*S42/T42),0)</f>
        <v>8734</v>
      </c>
    </row>
    <row r="43" spans="1:21" ht="15" customHeight="1" x14ac:dyDescent="0.25">
      <c r="A43" s="22"/>
      <c r="B43" s="760"/>
      <c r="C43" s="760"/>
      <c r="D43" s="760"/>
      <c r="E43" s="760"/>
      <c r="F43" s="760"/>
      <c r="G43" s="24" t="str">
        <f>IF(B43="","",VLOOKUP(B43,CUADRILLAS!$B$87:$C$101,2,FALSE))</f>
        <v/>
      </c>
      <c r="H43" s="31"/>
      <c r="I43" s="34"/>
      <c r="J43" s="24">
        <f t="shared" ref="J43:J44" si="5">+IF(I43=0,0,G43*H43/I43)</f>
        <v>0</v>
      </c>
      <c r="L43" s="22"/>
      <c r="M43" s="771"/>
      <c r="N43" s="771"/>
      <c r="O43" s="771"/>
      <c r="P43" s="771"/>
      <c r="Q43" s="771"/>
      <c r="R43" s="181" t="s">
        <v>501</v>
      </c>
      <c r="S43" s="206"/>
      <c r="T43" s="180"/>
      <c r="U43" s="181">
        <f t="shared" ref="U43:U44" si="6">+IF(T43=0,0,R43*S43/T43)</f>
        <v>0</v>
      </c>
    </row>
    <row r="44" spans="1:21" ht="15" customHeight="1" x14ac:dyDescent="0.25">
      <c r="A44" s="22"/>
      <c r="B44" s="760"/>
      <c r="C44" s="760"/>
      <c r="D44" s="760"/>
      <c r="E44" s="760"/>
      <c r="F44" s="760"/>
      <c r="G44" s="24" t="str">
        <f>IF(B44="","",VLOOKUP(B44,CUADRILLAS!$B$87:$C$101,2,FALSE))</f>
        <v/>
      </c>
      <c r="H44" s="31"/>
      <c r="I44" s="34"/>
      <c r="J44" s="24">
        <f t="shared" si="5"/>
        <v>0</v>
      </c>
      <c r="L44" s="22"/>
      <c r="M44" s="771"/>
      <c r="N44" s="771"/>
      <c r="O44" s="771"/>
      <c r="P44" s="771"/>
      <c r="Q44" s="771"/>
      <c r="R44" s="181" t="s">
        <v>501</v>
      </c>
      <c r="S44" s="206"/>
      <c r="T44" s="180"/>
      <c r="U44" s="181">
        <f t="shared" si="6"/>
        <v>0</v>
      </c>
    </row>
    <row r="45" spans="1:21" ht="15" customHeight="1" x14ac:dyDescent="0.25">
      <c r="A45" s="22"/>
      <c r="B45" s="761" t="s">
        <v>42</v>
      </c>
      <c r="C45" s="761"/>
      <c r="D45" s="761"/>
      <c r="E45" s="761"/>
      <c r="F45" s="761"/>
      <c r="G45" s="761"/>
      <c r="H45" s="761"/>
      <c r="I45" s="761"/>
      <c r="J45" s="24">
        <f>SUM(J41:J44)</f>
        <v>20088</v>
      </c>
      <c r="L45" s="22"/>
      <c r="M45" s="772" t="s">
        <v>42</v>
      </c>
      <c r="N45" s="772"/>
      <c r="O45" s="772"/>
      <c r="P45" s="772"/>
      <c r="Q45" s="772"/>
      <c r="R45" s="772"/>
      <c r="S45" s="772"/>
      <c r="T45" s="772"/>
      <c r="U45" s="181">
        <f>SUM(U41:U44)</f>
        <v>20088</v>
      </c>
    </row>
    <row r="46" spans="1:21" ht="7.5" customHeight="1" x14ac:dyDescent="0.25">
      <c r="A46" s="22"/>
      <c r="B46" s="25"/>
      <c r="C46" s="25"/>
      <c r="D46" s="25"/>
      <c r="E46" s="25"/>
      <c r="F46" s="25"/>
      <c r="G46" s="25"/>
      <c r="H46" s="25"/>
      <c r="I46" s="25"/>
      <c r="J46" s="26"/>
      <c r="L46" s="22"/>
      <c r="M46" s="25"/>
      <c r="N46" s="25"/>
      <c r="O46" s="25"/>
      <c r="P46" s="25"/>
      <c r="Q46" s="25"/>
      <c r="R46" s="25"/>
      <c r="S46" s="25"/>
      <c r="T46" s="25"/>
      <c r="U46" s="26"/>
    </row>
    <row r="47" spans="1:21" ht="15.75" customHeight="1" x14ac:dyDescent="0.25">
      <c r="A47" s="27"/>
      <c r="B47" s="762" t="s">
        <v>43</v>
      </c>
      <c r="C47" s="762"/>
      <c r="D47" s="762"/>
      <c r="E47" s="762"/>
      <c r="F47" s="762"/>
      <c r="G47" s="762"/>
      <c r="H47" s="762"/>
      <c r="I47" s="762"/>
      <c r="J47" s="106">
        <f>+J45+J37+J15+J29</f>
        <v>121322</v>
      </c>
      <c r="L47" s="27"/>
      <c r="M47" s="773" t="s">
        <v>43</v>
      </c>
      <c r="N47" s="773"/>
      <c r="O47" s="773"/>
      <c r="P47" s="773"/>
      <c r="Q47" s="773"/>
      <c r="R47" s="773"/>
      <c r="S47" s="773"/>
      <c r="T47" s="773"/>
      <c r="U47" s="210">
        <f>+U45+U37+U15+U29</f>
        <v>87320</v>
      </c>
    </row>
    <row r="48" spans="1:21" x14ac:dyDescent="0.25">
      <c r="B48" s="21"/>
      <c r="C48" s="21"/>
      <c r="D48" s="21"/>
      <c r="E48" s="21"/>
      <c r="F48" s="21"/>
      <c r="G48" s="21"/>
      <c r="H48" s="21"/>
      <c r="I48" s="21"/>
      <c r="J48" s="21"/>
    </row>
    <row r="50" spans="5:20" x14ac:dyDescent="0.25">
      <c r="E50" s="277">
        <v>40</v>
      </c>
      <c r="F50" s="277" t="s">
        <v>579</v>
      </c>
      <c r="G50" s="277">
        <v>1</v>
      </c>
      <c r="H50" s="277" t="s">
        <v>9</v>
      </c>
    </row>
    <row r="51" spans="5:20" x14ac:dyDescent="0.25">
      <c r="E51" s="277">
        <v>7</v>
      </c>
      <c r="F51" s="277" t="s">
        <v>579</v>
      </c>
      <c r="G51" s="277">
        <f>+E51/E50</f>
        <v>0.17499999999999999</v>
      </c>
      <c r="H51" s="277" t="s">
        <v>9</v>
      </c>
      <c r="L51" s="790" t="s">
        <v>451</v>
      </c>
      <c r="M51" s="790"/>
      <c r="N51" s="790"/>
      <c r="O51" s="790"/>
      <c r="P51" s="790"/>
      <c r="Q51" s="790"/>
      <c r="R51" s="790"/>
      <c r="S51" s="790"/>
      <c r="T51" s="790"/>
    </row>
    <row r="52" spans="5:20" x14ac:dyDescent="0.25">
      <c r="L52" s="790"/>
      <c r="M52" s="790"/>
      <c r="N52" s="790"/>
      <c r="O52" s="790"/>
      <c r="P52" s="790"/>
      <c r="Q52" s="790"/>
      <c r="R52" s="790"/>
      <c r="S52" s="790"/>
      <c r="T52" s="790"/>
    </row>
    <row r="53" spans="5:20" x14ac:dyDescent="0.25">
      <c r="E53" s="277">
        <f>+G51</f>
        <v>0.17499999999999999</v>
      </c>
      <c r="F53" s="277" t="s">
        <v>9</v>
      </c>
      <c r="G53" s="277">
        <v>5.5</v>
      </c>
      <c r="H53" s="277" t="s">
        <v>190</v>
      </c>
      <c r="L53" s="790"/>
      <c r="M53" s="790"/>
      <c r="N53" s="790"/>
      <c r="O53" s="790"/>
      <c r="P53" s="790"/>
      <c r="Q53" s="790"/>
      <c r="R53" s="790"/>
      <c r="S53" s="790"/>
      <c r="T53" s="790"/>
    </row>
    <row r="54" spans="5:20" x14ac:dyDescent="0.25">
      <c r="E54" s="321">
        <f>+E53/G53</f>
        <v>3.1818181818181815E-2</v>
      </c>
      <c r="F54" s="277" t="s">
        <v>9</v>
      </c>
      <c r="G54" s="277">
        <v>1</v>
      </c>
      <c r="H54" s="277" t="s">
        <v>190</v>
      </c>
      <c r="L54" s="790"/>
      <c r="M54" s="790"/>
      <c r="N54" s="790"/>
      <c r="O54" s="790"/>
      <c r="P54" s="790"/>
      <c r="Q54" s="790"/>
      <c r="R54" s="790"/>
      <c r="S54" s="790"/>
      <c r="T54" s="790"/>
    </row>
  </sheetData>
  <mergeCells count="85">
    <mergeCell ref="M47:T47"/>
    <mergeCell ref="L51:T54"/>
    <mergeCell ref="M41:Q41"/>
    <mergeCell ref="M42:Q42"/>
    <mergeCell ref="M45:T45"/>
    <mergeCell ref="M25:P25"/>
    <mergeCell ref="M28:P28"/>
    <mergeCell ref="M29:T29"/>
    <mergeCell ref="M31:U31"/>
    <mergeCell ref="M35:Q35"/>
    <mergeCell ref="M32:Q32"/>
    <mergeCell ref="M33:Q33"/>
    <mergeCell ref="M34:Q34"/>
    <mergeCell ref="M36:Q36"/>
    <mergeCell ref="M37:T37"/>
    <mergeCell ref="M39:U39"/>
    <mergeCell ref="M43:Q43"/>
    <mergeCell ref="M44:Q44"/>
    <mergeCell ref="M40:Q40"/>
    <mergeCell ref="M22:P22"/>
    <mergeCell ref="M23:P23"/>
    <mergeCell ref="M24:P24"/>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E6:H6"/>
    <mergeCell ref="A1:C4"/>
    <mergeCell ref="D1:J1"/>
    <mergeCell ref="D2:J2"/>
    <mergeCell ref="D3:J3"/>
    <mergeCell ref="D4:J4"/>
    <mergeCell ref="B19:E19"/>
    <mergeCell ref="B7:J7"/>
    <mergeCell ref="B8:F8"/>
    <mergeCell ref="B9:F9"/>
    <mergeCell ref="B10:F10"/>
    <mergeCell ref="B11:F11"/>
    <mergeCell ref="B12:F12"/>
    <mergeCell ref="B13:F13"/>
    <mergeCell ref="B14:F14"/>
    <mergeCell ref="B15:I15"/>
    <mergeCell ref="B17:J17"/>
    <mergeCell ref="B18:E18"/>
    <mergeCell ref="B36:F36"/>
    <mergeCell ref="B20:E20"/>
    <mergeCell ref="B21:E21"/>
    <mergeCell ref="B22:E22"/>
    <mergeCell ref="B23:E23"/>
    <mergeCell ref="B24:E24"/>
    <mergeCell ref="B29:I29"/>
    <mergeCell ref="B26:E26"/>
    <mergeCell ref="B27:E27"/>
    <mergeCell ref="B44:F44"/>
    <mergeCell ref="B45:I45"/>
    <mergeCell ref="B47:I47"/>
    <mergeCell ref="B28:E28"/>
    <mergeCell ref="B25:E25"/>
    <mergeCell ref="B37:I37"/>
    <mergeCell ref="B39:J39"/>
    <mergeCell ref="B40:F40"/>
    <mergeCell ref="B41:F41"/>
    <mergeCell ref="B42:F42"/>
    <mergeCell ref="B43:F43"/>
    <mergeCell ref="B31:J31"/>
    <mergeCell ref="B32:F32"/>
    <mergeCell ref="B33:F33"/>
    <mergeCell ref="B34:F34"/>
    <mergeCell ref="B35:F35"/>
  </mergeCells>
  <hyperlinks>
    <hyperlink ref="C6" location="'PPTO HOJA'!A82" display="'PPTO HOJA'!A82" xr:uid="{00000000-0004-0000-1C00-000000000000}"/>
    <hyperlink ref="N6" location="'PPTO HOJA'!A15" display="'PPTO HOJA'!A15" xr:uid="{00000000-0004-0000-1C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1C00-000000000000}">
          <x14:formula1>
            <xm:f>CUADRILLAS!$B$86:$B$101</xm:f>
          </x14:formula1>
          <xm:sqref>B41:F44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96">
    <tabColor theme="9" tint="0.59999389629810485"/>
  </sheetPr>
  <dimension ref="A1:U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7.109375" style="20" bestFit="1" customWidth="1"/>
    <col min="11" max="11" width="4.6640625" style="20" customWidth="1"/>
    <col min="12" max="13" width="11.44140625" style="20"/>
    <col min="14" max="14" width="11.5546875" style="20" bestFit="1" customWidth="1"/>
    <col min="15" max="16" width="11.44140625" style="20"/>
    <col min="17" max="17" width="11.5546875" style="20" bestFit="1" customWidth="1"/>
    <col min="18" max="18" width="12.6640625" style="20" bestFit="1" customWidth="1"/>
    <col min="19" max="19" width="11.5546875" style="20" bestFit="1" customWidth="1"/>
    <col min="20" max="20" width="13.44140625" style="20" bestFit="1" customWidth="1"/>
    <col min="21" max="21" width="17.1093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60"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40.5" customHeight="1" x14ac:dyDescent="0.3">
      <c r="A6" s="30" t="s">
        <v>366</v>
      </c>
      <c r="B6" s="29" t="s">
        <v>22</v>
      </c>
      <c r="C6" s="154">
        <f>+'PPTO HOJA'!A43</f>
        <v>5.01</v>
      </c>
      <c r="D6" s="28"/>
      <c r="E6" s="764" t="str">
        <f>'PPTO HOJA'!B43</f>
        <v>Suministro e Instalación de piedra Coralina en retal con especificaciones según planos arquitectónicos</v>
      </c>
      <c r="F6" s="764"/>
      <c r="G6" s="764"/>
      <c r="H6" s="764"/>
      <c r="I6" s="30" t="s">
        <v>23</v>
      </c>
      <c r="J6" s="31" t="str">
        <f>'PPTO HOJA'!C43</f>
        <v>m2</v>
      </c>
      <c r="L6" s="30" t="str">
        <f>A6</f>
        <v>V</v>
      </c>
      <c r="M6" s="29" t="s">
        <v>22</v>
      </c>
      <c r="N6" s="238">
        <f>C6</f>
        <v>5.01</v>
      </c>
      <c r="O6" s="28"/>
      <c r="P6" s="764" t="str">
        <f>E6</f>
        <v>Suministro e Instalación de piedra Coralina en retal con especificaciones según planos arquitectónicos</v>
      </c>
      <c r="Q6" s="764"/>
      <c r="R6" s="764"/>
      <c r="S6" s="764"/>
      <c r="T6" s="30" t="s">
        <v>23</v>
      </c>
      <c r="U6" s="31" t="str">
        <f>J6</f>
        <v>m2</v>
      </c>
    </row>
    <row r="7" spans="1:2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524</v>
      </c>
      <c r="L9" s="22"/>
      <c r="M9" s="771" t="s">
        <v>30</v>
      </c>
      <c r="N9" s="771"/>
      <c r="O9" s="771"/>
      <c r="P9" s="771"/>
      <c r="Q9" s="771"/>
      <c r="R9" s="206"/>
      <c r="S9" s="181"/>
      <c r="T9" s="208">
        <v>0.05</v>
      </c>
      <c r="U9" s="181">
        <f>ROUND(T9*U41,0)</f>
        <v>1429</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K10" s="163"/>
      <c r="L10" s="22"/>
      <c r="M10" s="777"/>
      <c r="N10" s="777"/>
      <c r="O10" s="777"/>
      <c r="P10" s="777"/>
      <c r="Q10" s="777"/>
      <c r="R10" s="206" t="s">
        <v>501</v>
      </c>
      <c r="S10" s="181" t="s">
        <v>501</v>
      </c>
      <c r="T10" s="180"/>
      <c r="U10" s="181">
        <f>IF(M10="",0,ROUND(S10/T10,0))</f>
        <v>0</v>
      </c>
    </row>
    <row r="11" spans="1:21" ht="15" customHeight="1" x14ac:dyDescent="0.25">
      <c r="A11" s="22"/>
      <c r="B11" s="764"/>
      <c r="C11" s="764"/>
      <c r="D11" s="764"/>
      <c r="E11" s="764"/>
      <c r="F11" s="764"/>
      <c r="G11" s="31" t="str">
        <f>IF(B11="","",VLOOKUP(B11,EQUIPOS!$B$7:$F$46,3,FALSE))</f>
        <v/>
      </c>
      <c r="H11" s="24" t="str">
        <f>IF(B11="","",VLOOKUP(B11,EQUIPOS!$B$7:$F$46,5,FALSE))</f>
        <v/>
      </c>
      <c r="I11" s="34"/>
      <c r="J11" s="24">
        <f t="shared" ref="J11:J13" si="0">IF(B11="",0,ROUND(H11/I11,0))</f>
        <v>0</v>
      </c>
      <c r="L11" s="22"/>
      <c r="M11" s="777"/>
      <c r="N11" s="777"/>
      <c r="O11" s="777"/>
      <c r="P11" s="777"/>
      <c r="Q11" s="777"/>
      <c r="R11" s="206" t="s">
        <v>501</v>
      </c>
      <c r="S11" s="181" t="s">
        <v>501</v>
      </c>
      <c r="T11" s="180"/>
      <c r="U11" s="181">
        <f t="shared" ref="U11:U13" si="1">IF(M11="",0,ROUND(S11/T11,0))</f>
        <v>0</v>
      </c>
    </row>
    <row r="12" spans="1:21" ht="15" customHeight="1" x14ac:dyDescent="0.25">
      <c r="A12" s="22"/>
      <c r="B12" s="764"/>
      <c r="C12" s="764"/>
      <c r="D12" s="764"/>
      <c r="E12" s="764"/>
      <c r="F12" s="764"/>
      <c r="G12" s="31" t="str">
        <f>IF(B12="","",VLOOKUP(B12,EQUIPOS!$B$7:$F$46,3,FALSE))</f>
        <v/>
      </c>
      <c r="H12" s="24" t="str">
        <f>IF(B12="","",VLOOKUP(B12,EQUIPOS!$B$7:$F$46,5,FALSE))</f>
        <v/>
      </c>
      <c r="I12" s="34"/>
      <c r="J12" s="24">
        <f t="shared" si="0"/>
        <v>0</v>
      </c>
      <c r="L12" s="22"/>
      <c r="M12" s="777"/>
      <c r="N12" s="777"/>
      <c r="O12" s="777"/>
      <c r="P12" s="777"/>
      <c r="Q12" s="777"/>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524</v>
      </c>
      <c r="L15" s="22"/>
      <c r="M15" s="772" t="s">
        <v>31</v>
      </c>
      <c r="N15" s="772"/>
      <c r="O15" s="772"/>
      <c r="P15" s="772"/>
      <c r="Q15" s="772"/>
      <c r="R15" s="772"/>
      <c r="S15" s="772"/>
      <c r="T15" s="772"/>
      <c r="U15" s="181">
        <f>SUM(U9:U14)</f>
        <v>1429</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1"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1" ht="24" customHeight="1" x14ac:dyDescent="0.25">
      <c r="A19" s="22"/>
      <c r="B19" s="777" t="s">
        <v>350</v>
      </c>
      <c r="C19" s="777"/>
      <c r="D19" s="777"/>
      <c r="E19" s="777"/>
      <c r="F19" s="180">
        <v>1</v>
      </c>
      <c r="G19" s="31" t="str">
        <f>IF(F19=0,"",VLOOKUP(B19,'LISTADO DE MATERIALES'!$B$6:$D$311,2,FALSE))</f>
        <v>m2</v>
      </c>
      <c r="H19" s="107"/>
      <c r="I19" s="24">
        <f>IF(F19=0,"",VLOOKUP(B19,'LISTADO DE MATERIALES'!$B$6:$D$311,3,FALSE))</f>
        <v>48500</v>
      </c>
      <c r="J19" s="24">
        <f>IF(I19="",0,ROUND((+F19*I19*(1+H19)),0))</f>
        <v>48500</v>
      </c>
      <c r="L19" s="22"/>
      <c r="M19" s="777" t="s">
        <v>350</v>
      </c>
      <c r="N19" s="777"/>
      <c r="O19" s="777"/>
      <c r="P19" s="777"/>
      <c r="Q19" s="180">
        <v>1</v>
      </c>
      <c r="R19" s="206" t="s">
        <v>436</v>
      </c>
      <c r="S19" s="209"/>
      <c r="T19" s="181">
        <v>48500</v>
      </c>
      <c r="U19" s="181">
        <f>IF(T19="",0,ROUND((+Q19*T19*(1+S19)),0))</f>
        <v>48500</v>
      </c>
    </row>
    <row r="20" spans="1:21" ht="15" customHeight="1" x14ac:dyDescent="0.25">
      <c r="A20" s="22"/>
      <c r="B20" s="791"/>
      <c r="C20" s="792"/>
      <c r="D20" s="792"/>
      <c r="E20" s="793"/>
      <c r="F20" s="34"/>
      <c r="G20" s="31"/>
      <c r="H20" s="107"/>
      <c r="I20" s="24"/>
      <c r="J20" s="24"/>
      <c r="L20" s="22"/>
      <c r="M20" s="791" t="s">
        <v>263</v>
      </c>
      <c r="N20" s="792"/>
      <c r="O20" s="792"/>
      <c r="P20" s="793"/>
      <c r="Q20" s="211">
        <f>1*1*0.05</f>
        <v>0.05</v>
      </c>
      <c r="R20" s="206" t="s">
        <v>261</v>
      </c>
      <c r="S20" s="272">
        <v>0.05</v>
      </c>
      <c r="T20" s="212">
        <f>'APU BÁSICOS'!J269</f>
        <v>718979</v>
      </c>
      <c r="U20" s="181">
        <f t="shared" ref="U20:U24" si="2">IF(T20="",0,ROUND((+Q20*T20*(1+S20)),0))</f>
        <v>37746</v>
      </c>
    </row>
    <row r="21" spans="1:21" ht="15" customHeight="1" x14ac:dyDescent="0.25">
      <c r="A21" s="22"/>
      <c r="B21" s="764"/>
      <c r="C21" s="764"/>
      <c r="D21" s="764"/>
      <c r="E21" s="764"/>
      <c r="F21" s="34"/>
      <c r="G21" s="31" t="str">
        <f>IF(F21=0,"",VLOOKUP(B21,'LISTADO DE MATERIALES'!$B$6:$D$311,2,FALSE))</f>
        <v/>
      </c>
      <c r="H21" s="107"/>
      <c r="I21" s="24" t="str">
        <f>IF(F21=0,"",VLOOKUP(B21,'LISTADO DE MATERIALES'!$B$6:$D$311,3,FALSE))</f>
        <v/>
      </c>
      <c r="J21" s="24">
        <f t="shared" ref="J21:J24" si="3">IF(I21="",0,ROUND((+F21*I21*(1+H21)),0))</f>
        <v>0</v>
      </c>
      <c r="L21" s="22"/>
      <c r="M21" s="777"/>
      <c r="N21" s="777"/>
      <c r="O21" s="777"/>
      <c r="P21" s="777"/>
      <c r="Q21" s="180"/>
      <c r="R21" s="206" t="s">
        <v>501</v>
      </c>
      <c r="S21" s="209"/>
      <c r="T21" s="181" t="s">
        <v>501</v>
      </c>
      <c r="U21" s="181">
        <f t="shared" si="2"/>
        <v>0</v>
      </c>
    </row>
    <row r="22" spans="1:21" ht="15" customHeight="1" x14ac:dyDescent="0.25">
      <c r="A22" s="22"/>
      <c r="B22" s="794"/>
      <c r="C22" s="795"/>
      <c r="D22" s="795"/>
      <c r="E22" s="796"/>
      <c r="F22" s="34"/>
      <c r="G22" s="31" t="str">
        <f>IF(F22=0,"",VLOOKUP(B22,'LISTADO DE MATERIALES'!$B$6:$D$311,2,FALSE))</f>
        <v/>
      </c>
      <c r="H22" s="107"/>
      <c r="I22" s="24" t="str">
        <f>IF(F22=0,"",VLOOKUP(B22,'LISTADO DE MATERIALES'!$B$6:$D$311,3,FALSE))</f>
        <v/>
      </c>
      <c r="J22" s="24">
        <f t="shared" si="3"/>
        <v>0</v>
      </c>
      <c r="L22" s="22"/>
      <c r="M22" s="791"/>
      <c r="N22" s="792"/>
      <c r="O22" s="792"/>
      <c r="P22" s="793"/>
      <c r="Q22" s="180"/>
      <c r="R22" s="206" t="s">
        <v>501</v>
      </c>
      <c r="S22" s="209"/>
      <c r="T22" s="181" t="s">
        <v>501</v>
      </c>
      <c r="U22" s="181">
        <f t="shared" si="2"/>
        <v>0</v>
      </c>
    </row>
    <row r="23" spans="1:21" ht="15" customHeight="1" x14ac:dyDescent="0.25">
      <c r="A23" s="22"/>
      <c r="B23" s="794"/>
      <c r="C23" s="795"/>
      <c r="D23" s="795"/>
      <c r="E23" s="796"/>
      <c r="F23" s="34"/>
      <c r="G23" s="31" t="str">
        <f>IF(F23=0,"",VLOOKUP(B23,'LISTADO DE MATERIALES'!$B$6:$D$311,2,FALSE))</f>
        <v/>
      </c>
      <c r="H23" s="107"/>
      <c r="I23" s="24" t="str">
        <f>IF(F23=0,"",VLOOKUP(B23,'LISTADO DE MATERIALES'!$B$6:$D$311,3,FALSE))</f>
        <v/>
      </c>
      <c r="J23" s="24">
        <f t="shared" si="3"/>
        <v>0</v>
      </c>
      <c r="L23" s="22"/>
      <c r="M23" s="791"/>
      <c r="N23" s="792"/>
      <c r="O23" s="792"/>
      <c r="P23" s="793"/>
      <c r="Q23" s="180"/>
      <c r="R23" s="206" t="s">
        <v>501</v>
      </c>
      <c r="S23" s="209"/>
      <c r="T23" s="181" t="s">
        <v>501</v>
      </c>
      <c r="U23" s="181">
        <f t="shared" si="2"/>
        <v>0</v>
      </c>
    </row>
    <row r="24" spans="1:21" ht="15" customHeight="1" x14ac:dyDescent="0.25">
      <c r="A24" s="22"/>
      <c r="B24" s="794"/>
      <c r="C24" s="795"/>
      <c r="D24" s="795"/>
      <c r="E24" s="796"/>
      <c r="F24" s="34"/>
      <c r="G24" s="31" t="str">
        <f>IF(F24=0,"",VLOOKUP(B24,'LISTADO DE MATERIALES'!$B$6:$D$311,2,FALSE))</f>
        <v/>
      </c>
      <c r="H24" s="107"/>
      <c r="I24" s="24" t="str">
        <f>IF(F24=0,"",VLOOKUP(B24,'LISTADO DE MATERIALES'!$B$6:$D$311,3,FALSE))</f>
        <v/>
      </c>
      <c r="J24" s="24">
        <f t="shared" si="3"/>
        <v>0</v>
      </c>
      <c r="L24" s="22"/>
      <c r="M24" s="791"/>
      <c r="N24" s="792"/>
      <c r="O24" s="792"/>
      <c r="P24" s="793"/>
      <c r="Q24" s="180"/>
      <c r="R24" s="206" t="s">
        <v>501</v>
      </c>
      <c r="S24" s="209"/>
      <c r="T24" s="181" t="s">
        <v>501</v>
      </c>
      <c r="U24" s="181">
        <f t="shared" si="2"/>
        <v>0</v>
      </c>
    </row>
    <row r="25" spans="1:21" ht="15" customHeight="1" x14ac:dyDescent="0.25">
      <c r="A25" s="22"/>
      <c r="B25" s="761" t="s">
        <v>37</v>
      </c>
      <c r="C25" s="761"/>
      <c r="D25" s="761"/>
      <c r="E25" s="761"/>
      <c r="F25" s="761"/>
      <c r="G25" s="761"/>
      <c r="H25" s="761"/>
      <c r="I25" s="761"/>
      <c r="J25" s="24">
        <f>SUM(J19:J24)</f>
        <v>48500</v>
      </c>
      <c r="L25" s="22"/>
      <c r="M25" s="772" t="s">
        <v>37</v>
      </c>
      <c r="N25" s="772"/>
      <c r="O25" s="772"/>
      <c r="P25" s="772"/>
      <c r="Q25" s="772"/>
      <c r="R25" s="772"/>
      <c r="S25" s="772"/>
      <c r="T25" s="772"/>
      <c r="U25" s="181">
        <f>SUM(U19:U24)</f>
        <v>86246</v>
      </c>
    </row>
    <row r="26" spans="1:21" ht="7.5" customHeight="1" x14ac:dyDescent="0.25">
      <c r="A26" s="22"/>
      <c r="B26" s="25"/>
      <c r="C26" s="25"/>
      <c r="D26" s="25"/>
      <c r="E26" s="25"/>
      <c r="F26" s="25"/>
      <c r="G26" s="25"/>
      <c r="H26" s="25"/>
      <c r="I26" s="25"/>
      <c r="J26" s="26"/>
      <c r="L26" s="22"/>
      <c r="M26" s="25"/>
      <c r="N26" s="25"/>
      <c r="O26" s="25"/>
      <c r="P26" s="25"/>
      <c r="Q26" s="25"/>
      <c r="R26" s="25"/>
      <c r="S26" s="25"/>
      <c r="T26" s="25"/>
      <c r="U26" s="26"/>
    </row>
    <row r="27" spans="1:21"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1"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1" ht="15" customHeight="1" x14ac:dyDescent="0.25">
      <c r="A29" s="22"/>
      <c r="B29" s="760"/>
      <c r="C29" s="760"/>
      <c r="D29" s="760"/>
      <c r="E29" s="760"/>
      <c r="F29" s="760"/>
      <c r="G29" s="34"/>
      <c r="H29" s="34"/>
      <c r="I29" s="24"/>
      <c r="J29" s="24">
        <f>ROUND((I29*H29*G29),0)</f>
        <v>0</v>
      </c>
      <c r="L29" s="22"/>
      <c r="M29" s="771"/>
      <c r="N29" s="771"/>
      <c r="O29" s="771"/>
      <c r="P29" s="771"/>
      <c r="Q29" s="771"/>
      <c r="R29" s="180"/>
      <c r="S29" s="180"/>
      <c r="T29" s="181"/>
      <c r="U29" s="181">
        <f>ROUND((T29*S29*R29),0)</f>
        <v>0</v>
      </c>
    </row>
    <row r="30" spans="1:21"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1"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1"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120</v>
      </c>
      <c r="C37" s="760"/>
      <c r="D37" s="760"/>
      <c r="E37" s="760"/>
      <c r="F37" s="760"/>
      <c r="G37" s="24">
        <f>IF(B37="","",VLOOKUP(B37,CUADRILLAS!$B$87:$C$101,2,FALSE))</f>
        <v>157213.73333333334</v>
      </c>
      <c r="H37" s="31">
        <v>1</v>
      </c>
      <c r="I37" s="34">
        <v>30</v>
      </c>
      <c r="J37" s="24">
        <f>ROUND(+IF(I37=0,0,G37*H37/I37),0)</f>
        <v>5240</v>
      </c>
      <c r="L37" s="22"/>
      <c r="M37" s="771" t="s">
        <v>121</v>
      </c>
      <c r="N37" s="771"/>
      <c r="O37" s="771"/>
      <c r="P37" s="771"/>
      <c r="Q37" s="771"/>
      <c r="R37" s="181">
        <v>78606.866666666669</v>
      </c>
      <c r="S37" s="206">
        <v>2</v>
      </c>
      <c r="T37" s="180">
        <v>11</v>
      </c>
      <c r="U37" s="181">
        <f>ROUND(+IF(T37=0,0,R37*S37/T37),0)</f>
        <v>14292</v>
      </c>
    </row>
    <row r="38" spans="1:21" ht="15" customHeight="1" x14ac:dyDescent="0.25">
      <c r="A38" s="22"/>
      <c r="B38" s="760" t="s">
        <v>121</v>
      </c>
      <c r="C38" s="760"/>
      <c r="D38" s="760"/>
      <c r="E38" s="760"/>
      <c r="F38" s="760"/>
      <c r="G38" s="24">
        <f>IF(B38="","",VLOOKUP(B38,CUADRILLAS!$B$87:$C$101,2,FALSE))</f>
        <v>78606.866666666669</v>
      </c>
      <c r="H38" s="31">
        <v>2</v>
      </c>
      <c r="I38" s="34">
        <v>30</v>
      </c>
      <c r="J38" s="24">
        <f>ROUND(+IF(I38=0,0,G38*H38/I38),0)</f>
        <v>5240</v>
      </c>
      <c r="L38" s="22"/>
      <c r="M38" s="771" t="s">
        <v>120</v>
      </c>
      <c r="N38" s="771"/>
      <c r="O38" s="771"/>
      <c r="P38" s="771"/>
      <c r="Q38" s="771"/>
      <c r="R38" s="181">
        <v>157213.73333333334</v>
      </c>
      <c r="S38" s="206">
        <v>1</v>
      </c>
      <c r="T38" s="180">
        <v>11</v>
      </c>
      <c r="U38" s="181">
        <f>ROUND(+IF(T38=0,0,R38*S38/T38),0)</f>
        <v>14292</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10480</v>
      </c>
      <c r="L41" s="22"/>
      <c r="M41" s="772" t="s">
        <v>42</v>
      </c>
      <c r="N41" s="772"/>
      <c r="O41" s="772"/>
      <c r="P41" s="772"/>
      <c r="Q41" s="772"/>
      <c r="R41" s="772"/>
      <c r="S41" s="772"/>
      <c r="T41" s="772"/>
      <c r="U41" s="181">
        <f>SUM(U37:U40)</f>
        <v>28584</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59504</v>
      </c>
      <c r="L43" s="27"/>
      <c r="M43" s="773" t="s">
        <v>43</v>
      </c>
      <c r="N43" s="773"/>
      <c r="O43" s="773"/>
      <c r="P43" s="773"/>
      <c r="Q43" s="773"/>
      <c r="R43" s="773"/>
      <c r="S43" s="773"/>
      <c r="T43" s="773"/>
      <c r="U43" s="210">
        <f>+U41+U33+U15+U25</f>
        <v>116259</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1:I41"/>
    <mergeCell ref="B43:I43"/>
    <mergeCell ref="B24:E24"/>
    <mergeCell ref="B23:E23"/>
    <mergeCell ref="B22:E22"/>
    <mergeCell ref="B35:J35"/>
    <mergeCell ref="B36:F36"/>
    <mergeCell ref="B37:F37"/>
    <mergeCell ref="B38:F38"/>
    <mergeCell ref="B39:F39"/>
    <mergeCell ref="B40:F40"/>
    <mergeCell ref="B28:F28"/>
    <mergeCell ref="B29:F29"/>
    <mergeCell ref="B30:F30"/>
    <mergeCell ref="B31:F31"/>
    <mergeCell ref="B32:F32"/>
    <mergeCell ref="B33:I33"/>
    <mergeCell ref="B25:I25"/>
    <mergeCell ref="B27:J27"/>
    <mergeCell ref="B20:E20"/>
    <mergeCell ref="B21:E2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105" display="'PPTO HOJA'!A105" xr:uid="{00000000-0004-0000-1D00-000000000000}"/>
    <hyperlink ref="N6" location="'PPTO HOJA'!A15" display="'PPTO HOJA'!A15" xr:uid="{00000000-0004-0000-1D00-000001000000}"/>
  </hyperlinks>
  <pageMargins left="0.7" right="0.7" top="0.75" bottom="0.75" header="0.3" footer="0.3"/>
  <pageSetup paperSize="9" scale="35" orientation="portrait" r:id="rId1"/>
  <ignoredErrors>
    <ignoredError sqref="T20" formula="1"/>
  </ignoredErrors>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1D00-000000000000}">
          <x14:formula1>
            <xm:f>CUADRILLAS!$B$86:$B$101</xm:f>
          </x14:formula1>
          <xm:sqref>B37:F40</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9" tint="0.59999389629810485"/>
  </sheetPr>
  <dimension ref="A1:J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7.109375" style="20" bestFit="1" customWidth="1"/>
    <col min="11" max="16384" width="11.44140625" style="20"/>
  </cols>
  <sheetData>
    <row r="1" spans="1:10" x14ac:dyDescent="0.25">
      <c r="A1" s="765"/>
      <c r="B1" s="765"/>
      <c r="C1" s="765"/>
      <c r="D1" s="766" t="str">
        <f>'PPTO HOJA'!A4</f>
        <v>DEPARTAMENTO DE ANTIOQUIA</v>
      </c>
      <c r="E1" s="766"/>
      <c r="F1" s="766"/>
      <c r="G1" s="766"/>
      <c r="H1" s="766"/>
      <c r="I1" s="766"/>
      <c r="J1" s="766"/>
    </row>
    <row r="2" spans="1:10" x14ac:dyDescent="0.25">
      <c r="A2" s="765"/>
      <c r="B2" s="765"/>
      <c r="C2" s="765"/>
      <c r="D2" s="766" t="str">
        <f>'PPTO HOJA'!A5</f>
        <v>MUNICIPIO DE ARBOLETES</v>
      </c>
      <c r="E2" s="766"/>
      <c r="F2" s="766"/>
      <c r="G2" s="766"/>
      <c r="H2" s="766"/>
      <c r="I2" s="766"/>
      <c r="J2" s="766"/>
    </row>
    <row r="3" spans="1:10" ht="60"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row>
    <row r="4" spans="1:10" x14ac:dyDescent="0.25">
      <c r="A4" s="765"/>
      <c r="B4" s="765"/>
      <c r="C4" s="765"/>
      <c r="D4" s="766" t="s">
        <v>20</v>
      </c>
      <c r="E4" s="766"/>
      <c r="F4" s="766"/>
      <c r="G4" s="766"/>
      <c r="H4" s="766"/>
      <c r="I4" s="766"/>
      <c r="J4" s="766"/>
    </row>
    <row r="5" spans="1:10" ht="9.75" customHeight="1" x14ac:dyDescent="0.25">
      <c r="A5" s="22"/>
      <c r="J5" s="23"/>
    </row>
    <row r="6" spans="1:10" s="21" customFormat="1" ht="40.5" customHeight="1" x14ac:dyDescent="0.3">
      <c r="A6" s="30" t="s">
        <v>366</v>
      </c>
      <c r="B6" s="29" t="s">
        <v>22</v>
      </c>
      <c r="C6" s="154">
        <f>+'PPTO HOJA'!A44</f>
        <v>5.0199999999999996</v>
      </c>
      <c r="D6" s="28"/>
      <c r="E6" s="764" t="str">
        <f>'PPTO HOJA'!B44</f>
        <v>Mortero 1:4 para adherencia de Piedra Coralina</v>
      </c>
      <c r="F6" s="764"/>
      <c r="G6" s="764"/>
      <c r="H6" s="764"/>
      <c r="I6" s="30" t="s">
        <v>23</v>
      </c>
      <c r="J6" s="31" t="str">
        <f>'PPTO HOJA'!C44</f>
        <v>m3</v>
      </c>
    </row>
    <row r="7" spans="1:10" x14ac:dyDescent="0.25">
      <c r="A7" s="22"/>
      <c r="B7" s="761" t="s">
        <v>24</v>
      </c>
      <c r="C7" s="761"/>
      <c r="D7" s="761"/>
      <c r="E7" s="761"/>
      <c r="F7" s="761"/>
      <c r="G7" s="761"/>
      <c r="H7" s="761"/>
      <c r="I7" s="761"/>
      <c r="J7" s="761"/>
    </row>
    <row r="8" spans="1:10" x14ac:dyDescent="0.25">
      <c r="A8" s="22"/>
      <c r="B8" s="763" t="s">
        <v>25</v>
      </c>
      <c r="C8" s="763"/>
      <c r="D8" s="763"/>
      <c r="E8" s="763"/>
      <c r="F8" s="763"/>
      <c r="G8" s="31" t="s">
        <v>26</v>
      </c>
      <c r="H8" s="31" t="s">
        <v>27</v>
      </c>
      <c r="I8" s="31" t="s">
        <v>28</v>
      </c>
      <c r="J8" s="32" t="s">
        <v>29</v>
      </c>
    </row>
    <row r="9" spans="1:10" ht="15" customHeight="1" x14ac:dyDescent="0.25">
      <c r="A9" s="22"/>
      <c r="B9" s="760" t="s">
        <v>30</v>
      </c>
      <c r="C9" s="760"/>
      <c r="D9" s="760"/>
      <c r="E9" s="760"/>
      <c r="F9" s="760"/>
      <c r="G9" s="31"/>
      <c r="H9" s="24"/>
      <c r="I9" s="33">
        <v>0.05</v>
      </c>
      <c r="J9" s="24">
        <f>ROUND(I9*J41,0)</f>
        <v>4913</v>
      </c>
    </row>
    <row r="10" spans="1:10" ht="15" customHeight="1" x14ac:dyDescent="0.25">
      <c r="A10" s="22"/>
      <c r="B10" s="764"/>
      <c r="C10" s="764"/>
      <c r="D10" s="764"/>
      <c r="E10" s="764"/>
      <c r="F10" s="764"/>
      <c r="G10" s="31" t="str">
        <f>IF(B10="","",VLOOKUP(B10,EQUIPOS!$B$7:$F$46,3,FALSE))</f>
        <v/>
      </c>
      <c r="H10" s="24" t="str">
        <f>IF(B10="","",VLOOKUP(B10,EQUIPOS!$B$7:$F$46,5,FALSE))</f>
        <v/>
      </c>
      <c r="I10" s="34"/>
      <c r="J10" s="24">
        <f>IF(B10="",0,ROUND(H10/I10,0))</f>
        <v>0</v>
      </c>
    </row>
    <row r="11" spans="1:10" ht="15" customHeight="1" x14ac:dyDescent="0.25">
      <c r="A11" s="22"/>
      <c r="B11" s="764"/>
      <c r="C11" s="764"/>
      <c r="D11" s="764"/>
      <c r="E11" s="764"/>
      <c r="F11" s="764"/>
      <c r="G11" s="31" t="str">
        <f>IF(B11="","",VLOOKUP(B11,EQUIPOS!$B$7:$F$46,3,FALSE))</f>
        <v/>
      </c>
      <c r="H11" s="24" t="str">
        <f>IF(B11="","",VLOOKUP(B11,EQUIPOS!$B$7:$F$46,5,FALSE))</f>
        <v/>
      </c>
      <c r="I11" s="34"/>
      <c r="J11" s="24">
        <f t="shared" ref="J11:J13" si="0">IF(B11="",0,ROUND(H11/I11,0))</f>
        <v>0</v>
      </c>
    </row>
    <row r="12" spans="1:10" ht="15" customHeight="1" x14ac:dyDescent="0.25">
      <c r="A12" s="22"/>
      <c r="B12" s="764"/>
      <c r="C12" s="764"/>
      <c r="D12" s="764"/>
      <c r="E12" s="764"/>
      <c r="F12" s="764"/>
      <c r="G12" s="31" t="str">
        <f>IF(B12="","",VLOOKUP(B12,EQUIPOS!$B$7:$F$46,3,FALSE))</f>
        <v/>
      </c>
      <c r="H12" s="24" t="str">
        <f>IF(B12="","",VLOOKUP(B12,EQUIPOS!$B$7:$F$46,5,FALSE))</f>
        <v/>
      </c>
      <c r="I12" s="34"/>
      <c r="J12" s="24">
        <f t="shared" si="0"/>
        <v>0</v>
      </c>
    </row>
    <row r="13" spans="1:10" ht="15" customHeight="1" x14ac:dyDescent="0.25">
      <c r="A13" s="22"/>
      <c r="B13" s="760"/>
      <c r="C13" s="760"/>
      <c r="D13" s="760"/>
      <c r="E13" s="760"/>
      <c r="F13" s="760"/>
      <c r="G13" s="31" t="str">
        <f>IF(B13="","",VLOOKUP(B13,EQUIPOS!$B$7:$F$46,3,FALSE))</f>
        <v/>
      </c>
      <c r="H13" s="24" t="str">
        <f>IF(B13="","",VLOOKUP(B13,EQUIPOS!$B$7:$F$46,5,FALSE))</f>
        <v/>
      </c>
      <c r="I13" s="34"/>
      <c r="J13" s="24">
        <f t="shared" si="0"/>
        <v>0</v>
      </c>
    </row>
    <row r="14" spans="1:10" ht="15" customHeight="1" x14ac:dyDescent="0.25">
      <c r="A14" s="22"/>
      <c r="B14" s="760"/>
      <c r="C14" s="760"/>
      <c r="D14" s="760"/>
      <c r="E14" s="760"/>
      <c r="F14" s="760"/>
      <c r="G14" s="31" t="str">
        <f>IF(B14="","",VLOOKUP(B14,EQUIPOS!$B$7:$F$46,3,FALSE))</f>
        <v/>
      </c>
      <c r="H14" s="24" t="str">
        <f>IF(B14="","",VLOOKUP(B14,EQUIPOS!$B$7:$F$46,5,FALSE))</f>
        <v/>
      </c>
      <c r="I14" s="34"/>
      <c r="J14" s="24"/>
    </row>
    <row r="15" spans="1:10" ht="15" customHeight="1" x14ac:dyDescent="0.25">
      <c r="A15" s="22"/>
      <c r="B15" s="761" t="s">
        <v>31</v>
      </c>
      <c r="C15" s="761"/>
      <c r="D15" s="761"/>
      <c r="E15" s="761"/>
      <c r="F15" s="761"/>
      <c r="G15" s="761"/>
      <c r="H15" s="761"/>
      <c r="I15" s="761"/>
      <c r="J15" s="24">
        <f>SUM(J9:J14)</f>
        <v>4913</v>
      </c>
    </row>
    <row r="16" spans="1:10" ht="7.5" customHeight="1" x14ac:dyDescent="0.25">
      <c r="A16" s="22"/>
      <c r="B16" s="25"/>
      <c r="C16" s="25"/>
      <c r="D16" s="25"/>
      <c r="E16" s="25"/>
      <c r="F16" s="25"/>
      <c r="G16" s="25"/>
      <c r="H16" s="25"/>
      <c r="I16" s="25"/>
      <c r="J16" s="26"/>
    </row>
    <row r="17" spans="1:10" ht="15" customHeight="1" x14ac:dyDescent="0.25">
      <c r="A17" s="22"/>
      <c r="B17" s="761" t="s">
        <v>32</v>
      </c>
      <c r="C17" s="761"/>
      <c r="D17" s="761"/>
      <c r="E17" s="761"/>
      <c r="F17" s="761"/>
      <c r="G17" s="761"/>
      <c r="H17" s="761"/>
      <c r="I17" s="761"/>
      <c r="J17" s="761"/>
    </row>
    <row r="18" spans="1:10" ht="26.4" x14ac:dyDescent="0.25">
      <c r="A18" s="22"/>
      <c r="B18" s="763" t="s">
        <v>33</v>
      </c>
      <c r="C18" s="763"/>
      <c r="D18" s="763"/>
      <c r="E18" s="763"/>
      <c r="F18" s="28" t="s">
        <v>19</v>
      </c>
      <c r="G18" s="31" t="s">
        <v>34</v>
      </c>
      <c r="H18" s="32" t="s">
        <v>35</v>
      </c>
      <c r="I18" s="32" t="s">
        <v>36</v>
      </c>
      <c r="J18" s="32" t="s">
        <v>29</v>
      </c>
    </row>
    <row r="19" spans="1:10" x14ac:dyDescent="0.25">
      <c r="A19" s="22"/>
      <c r="B19" s="777" t="str">
        <f>+'APU BÁSICOS'!E232</f>
        <v>Mortero 1:4</v>
      </c>
      <c r="C19" s="777"/>
      <c r="D19" s="777"/>
      <c r="E19" s="777"/>
      <c r="F19" s="180">
        <v>1</v>
      </c>
      <c r="G19" s="31" t="str">
        <f>+'APU BÁSICOS'!J232</f>
        <v>m3</v>
      </c>
      <c r="H19" s="107">
        <v>0.1</v>
      </c>
      <c r="I19" s="24">
        <f>+'APU BÁSICOS'!J269</f>
        <v>718979</v>
      </c>
      <c r="J19" s="24">
        <f>IF(I19="",0,ROUND((+F19*I19*(1+H19)),0))</f>
        <v>790877</v>
      </c>
    </row>
    <row r="20" spans="1:10" ht="15" customHeight="1" x14ac:dyDescent="0.25">
      <c r="A20" s="22"/>
      <c r="B20" s="791"/>
      <c r="C20" s="792"/>
      <c r="D20" s="792"/>
      <c r="E20" s="793"/>
      <c r="F20" s="34"/>
      <c r="G20" s="31"/>
      <c r="H20" s="107"/>
      <c r="I20" s="24"/>
      <c r="J20" s="24">
        <f>IF(I20="",0,ROUND((+F20*I20*(1+H20)),0))</f>
        <v>0</v>
      </c>
    </row>
    <row r="21" spans="1:10" ht="15" customHeight="1" x14ac:dyDescent="0.25">
      <c r="A21" s="22"/>
      <c r="B21" s="764"/>
      <c r="C21" s="764"/>
      <c r="D21" s="764"/>
      <c r="E21" s="764"/>
      <c r="F21" s="34"/>
      <c r="G21" s="31" t="str">
        <f>IF(F21=0,"",VLOOKUP(B21,'LISTADO DE MATERIALES'!$B$6:$D$311,2,FALSE))</f>
        <v/>
      </c>
      <c r="H21" s="107"/>
      <c r="I21" s="24" t="str">
        <f>IF(F21=0,"",VLOOKUP(B21,'LISTADO DE MATERIALES'!$B$6:$D$311,3,FALSE))</f>
        <v/>
      </c>
      <c r="J21" s="24">
        <f t="shared" ref="J21:J24" si="1">IF(I21="",0,ROUND((+F21*I21*(1+H21)),0))</f>
        <v>0</v>
      </c>
    </row>
    <row r="22" spans="1:10" ht="15" customHeight="1" x14ac:dyDescent="0.25">
      <c r="A22" s="22"/>
      <c r="B22" s="794"/>
      <c r="C22" s="795"/>
      <c r="D22" s="795"/>
      <c r="E22" s="796"/>
      <c r="F22" s="34"/>
      <c r="G22" s="31" t="str">
        <f>IF(F22=0,"",VLOOKUP(B22,'LISTADO DE MATERIALES'!$B$6:$D$311,2,FALSE))</f>
        <v/>
      </c>
      <c r="H22" s="107"/>
      <c r="I22" s="24" t="str">
        <f>IF(F22=0,"",VLOOKUP(B22,'LISTADO DE MATERIALES'!$B$6:$D$311,3,FALSE))</f>
        <v/>
      </c>
      <c r="J22" s="24">
        <f t="shared" si="1"/>
        <v>0</v>
      </c>
    </row>
    <row r="23" spans="1:10" ht="15" customHeight="1" x14ac:dyDescent="0.25">
      <c r="A23" s="22"/>
      <c r="B23" s="794"/>
      <c r="C23" s="795"/>
      <c r="D23" s="795"/>
      <c r="E23" s="796"/>
      <c r="F23" s="34"/>
      <c r="G23" s="31" t="str">
        <f>IF(F23=0,"",VLOOKUP(B23,'LISTADO DE MATERIALES'!$B$6:$D$311,2,FALSE))</f>
        <v/>
      </c>
      <c r="H23" s="107"/>
      <c r="I23" s="24" t="str">
        <f>IF(F23=0,"",VLOOKUP(B23,'LISTADO DE MATERIALES'!$B$6:$D$311,3,FALSE))</f>
        <v/>
      </c>
      <c r="J23" s="24">
        <f t="shared" si="1"/>
        <v>0</v>
      </c>
    </row>
    <row r="24" spans="1:10" ht="15" customHeight="1" x14ac:dyDescent="0.25">
      <c r="A24" s="22"/>
      <c r="B24" s="794"/>
      <c r="C24" s="795"/>
      <c r="D24" s="795"/>
      <c r="E24" s="796"/>
      <c r="F24" s="34"/>
      <c r="G24" s="31" t="str">
        <f>IF(F24=0,"",VLOOKUP(B24,'LISTADO DE MATERIALES'!$B$6:$D$311,2,FALSE))</f>
        <v/>
      </c>
      <c r="H24" s="107"/>
      <c r="I24" s="24" t="str">
        <f>IF(F24=0,"",VLOOKUP(B24,'LISTADO DE MATERIALES'!$B$6:$D$311,3,FALSE))</f>
        <v/>
      </c>
      <c r="J24" s="24">
        <f t="shared" si="1"/>
        <v>0</v>
      </c>
    </row>
    <row r="25" spans="1:10" ht="15" customHeight="1" x14ac:dyDescent="0.25">
      <c r="A25" s="22"/>
      <c r="B25" s="761" t="s">
        <v>37</v>
      </c>
      <c r="C25" s="761"/>
      <c r="D25" s="761"/>
      <c r="E25" s="761"/>
      <c r="F25" s="761"/>
      <c r="G25" s="761"/>
      <c r="H25" s="761"/>
      <c r="I25" s="761"/>
      <c r="J25" s="24">
        <f>SUM(J19:J24)</f>
        <v>790877</v>
      </c>
    </row>
    <row r="26" spans="1:10" ht="7.5" customHeight="1" x14ac:dyDescent="0.25">
      <c r="A26" s="22"/>
      <c r="B26" s="25"/>
      <c r="C26" s="25"/>
      <c r="D26" s="25"/>
      <c r="E26" s="25"/>
      <c r="F26" s="25"/>
      <c r="G26" s="25"/>
      <c r="H26" s="25"/>
      <c r="I26" s="25"/>
      <c r="J26" s="26"/>
    </row>
    <row r="27" spans="1:10" ht="15" customHeight="1" x14ac:dyDescent="0.25">
      <c r="A27" s="22"/>
      <c r="B27" s="761" t="s">
        <v>38</v>
      </c>
      <c r="C27" s="761"/>
      <c r="D27" s="761"/>
      <c r="E27" s="761"/>
      <c r="F27" s="761"/>
      <c r="G27" s="761"/>
      <c r="H27" s="761"/>
      <c r="I27" s="761"/>
      <c r="J27" s="761"/>
    </row>
    <row r="28" spans="1:10" x14ac:dyDescent="0.25">
      <c r="A28" s="22"/>
      <c r="B28" s="763" t="s">
        <v>33</v>
      </c>
      <c r="C28" s="763"/>
      <c r="D28" s="763"/>
      <c r="E28" s="763"/>
      <c r="F28" s="763"/>
      <c r="G28" s="31" t="s">
        <v>133</v>
      </c>
      <c r="H28" s="31" t="s">
        <v>132</v>
      </c>
      <c r="I28" s="31" t="s">
        <v>39</v>
      </c>
      <c r="J28" s="32" t="s">
        <v>29</v>
      </c>
    </row>
    <row r="29" spans="1:10" ht="15" customHeight="1" x14ac:dyDescent="0.25">
      <c r="A29" s="22"/>
      <c r="B29" s="760"/>
      <c r="C29" s="760"/>
      <c r="D29" s="760"/>
      <c r="E29" s="760"/>
      <c r="F29" s="760"/>
      <c r="G29" s="34"/>
      <c r="H29" s="34"/>
      <c r="I29" s="24"/>
      <c r="J29" s="24">
        <f>ROUND((I29*H29*G29),0)</f>
        <v>0</v>
      </c>
    </row>
    <row r="30" spans="1:10" ht="15" customHeight="1" x14ac:dyDescent="0.25">
      <c r="A30" s="22"/>
      <c r="B30" s="760"/>
      <c r="C30" s="760"/>
      <c r="D30" s="760"/>
      <c r="E30" s="760"/>
      <c r="F30" s="760"/>
      <c r="G30" s="31"/>
      <c r="H30" s="34"/>
      <c r="I30" s="24"/>
      <c r="J30" s="24">
        <v>0</v>
      </c>
    </row>
    <row r="31" spans="1:10" ht="15" customHeight="1" x14ac:dyDescent="0.25">
      <c r="A31" s="22"/>
      <c r="B31" s="760"/>
      <c r="C31" s="760"/>
      <c r="D31" s="760"/>
      <c r="E31" s="760"/>
      <c r="F31" s="760"/>
      <c r="G31" s="31"/>
      <c r="H31" s="34"/>
      <c r="I31" s="24"/>
      <c r="J31" s="24">
        <v>0</v>
      </c>
    </row>
    <row r="32" spans="1:10" ht="15" customHeight="1" x14ac:dyDescent="0.25">
      <c r="A32" s="22"/>
      <c r="B32" s="760"/>
      <c r="C32" s="760"/>
      <c r="D32" s="760"/>
      <c r="E32" s="760"/>
      <c r="F32" s="760"/>
      <c r="G32" s="31"/>
      <c r="H32" s="31"/>
      <c r="I32" s="24"/>
      <c r="J32" s="24">
        <v>0</v>
      </c>
    </row>
    <row r="33" spans="1:10" ht="15" customHeight="1" x14ac:dyDescent="0.25">
      <c r="A33" s="22"/>
      <c r="B33" s="761" t="s">
        <v>40</v>
      </c>
      <c r="C33" s="761"/>
      <c r="D33" s="761"/>
      <c r="E33" s="761"/>
      <c r="F33" s="761"/>
      <c r="G33" s="761"/>
      <c r="H33" s="761"/>
      <c r="I33" s="761"/>
      <c r="J33" s="24">
        <f>SUM(J29:J32)</f>
        <v>0</v>
      </c>
    </row>
    <row r="34" spans="1:10" ht="7.5" customHeight="1" x14ac:dyDescent="0.25">
      <c r="A34" s="22"/>
      <c r="B34" s="25"/>
      <c r="C34" s="25"/>
      <c r="D34" s="25"/>
      <c r="E34" s="25"/>
      <c r="F34" s="25"/>
      <c r="G34" s="25"/>
      <c r="H34" s="25"/>
      <c r="I34" s="25"/>
      <c r="J34" s="26"/>
    </row>
    <row r="35" spans="1:10" ht="15" customHeight="1" x14ac:dyDescent="0.25">
      <c r="A35" s="22"/>
      <c r="B35" s="761" t="s">
        <v>41</v>
      </c>
      <c r="C35" s="761"/>
      <c r="D35" s="761"/>
      <c r="E35" s="761"/>
      <c r="F35" s="761"/>
      <c r="G35" s="761"/>
      <c r="H35" s="761"/>
      <c r="I35" s="761"/>
      <c r="J35" s="761"/>
    </row>
    <row r="36" spans="1:10" ht="26.4" x14ac:dyDescent="0.25">
      <c r="A36" s="22"/>
      <c r="B36" s="763" t="s">
        <v>4</v>
      </c>
      <c r="C36" s="763"/>
      <c r="D36" s="763"/>
      <c r="E36" s="763"/>
      <c r="F36" s="763"/>
      <c r="G36" s="32" t="s">
        <v>51</v>
      </c>
      <c r="H36" s="32" t="s">
        <v>19</v>
      </c>
      <c r="I36" s="32" t="s">
        <v>28</v>
      </c>
      <c r="J36" s="32" t="s">
        <v>29</v>
      </c>
    </row>
    <row r="37" spans="1:10" ht="15" customHeight="1" x14ac:dyDescent="0.25">
      <c r="A37" s="22"/>
      <c r="B37" s="760" t="s">
        <v>120</v>
      </c>
      <c r="C37" s="760"/>
      <c r="D37" s="760"/>
      <c r="E37" s="760"/>
      <c r="F37" s="760"/>
      <c r="G37" s="24">
        <f>IF(B37="","",VLOOKUP(B37,CUADRILLAS!$B$87:$C$101,2,FALSE))</f>
        <v>157213.73333333334</v>
      </c>
      <c r="H37" s="31">
        <v>1</v>
      </c>
      <c r="I37" s="34">
        <v>4</v>
      </c>
      <c r="J37" s="24">
        <f>+ROUND(IF(I37=0,0,G37*H37/I37),0)</f>
        <v>39303</v>
      </c>
    </row>
    <row r="38" spans="1:10" ht="15" customHeight="1" x14ac:dyDescent="0.25">
      <c r="A38" s="22"/>
      <c r="B38" s="760" t="s">
        <v>121</v>
      </c>
      <c r="C38" s="760"/>
      <c r="D38" s="760"/>
      <c r="E38" s="760"/>
      <c r="F38" s="760"/>
      <c r="G38" s="24">
        <f>IF(B38="","",VLOOKUP(B38,CUADRILLAS!$B$87:$C$101,2,FALSE))</f>
        <v>78606.866666666669</v>
      </c>
      <c r="H38" s="31">
        <v>3</v>
      </c>
      <c r="I38" s="34">
        <f>+I37</f>
        <v>4</v>
      </c>
      <c r="J38" s="24">
        <f>+ROUND(IF(I38=0,0,G38*H38/I38),0)</f>
        <v>58955</v>
      </c>
    </row>
    <row r="39" spans="1:10" ht="15" customHeight="1" x14ac:dyDescent="0.25">
      <c r="A39" s="22"/>
      <c r="B39" s="760"/>
      <c r="C39" s="760"/>
      <c r="D39" s="760"/>
      <c r="E39" s="760"/>
      <c r="F39" s="760"/>
      <c r="G39" s="24" t="str">
        <f>IF(B39="","",VLOOKUP(B39,CUADRILLAS!$B$87:$C$101,2,FALSE))</f>
        <v/>
      </c>
      <c r="H39" s="31"/>
      <c r="I39" s="34"/>
      <c r="J39" s="24">
        <f t="shared" ref="J39:J40" si="2">+IF(I39=0,0,G39*H39/I39)</f>
        <v>0</v>
      </c>
    </row>
    <row r="40" spans="1:10" ht="15" customHeight="1" x14ac:dyDescent="0.25">
      <c r="A40" s="22"/>
      <c r="B40" s="760"/>
      <c r="C40" s="760"/>
      <c r="D40" s="760"/>
      <c r="E40" s="760"/>
      <c r="F40" s="760"/>
      <c r="G40" s="24" t="str">
        <f>IF(B40="","",VLOOKUP(B40,CUADRILLAS!$B$87:$C$101,2,FALSE))</f>
        <v/>
      </c>
      <c r="H40" s="31"/>
      <c r="I40" s="34"/>
      <c r="J40" s="24">
        <f t="shared" si="2"/>
        <v>0</v>
      </c>
    </row>
    <row r="41" spans="1:10" ht="15" customHeight="1" x14ac:dyDescent="0.25">
      <c r="A41" s="22"/>
      <c r="B41" s="761" t="s">
        <v>42</v>
      </c>
      <c r="C41" s="761"/>
      <c r="D41" s="761"/>
      <c r="E41" s="761"/>
      <c r="F41" s="761"/>
      <c r="G41" s="761"/>
      <c r="H41" s="761"/>
      <c r="I41" s="761"/>
      <c r="J41" s="24">
        <f>SUM(J37:J40)</f>
        <v>98258</v>
      </c>
    </row>
    <row r="42" spans="1:10" ht="7.5" customHeight="1" x14ac:dyDescent="0.25">
      <c r="A42" s="22"/>
      <c r="B42" s="25"/>
      <c r="C42" s="25"/>
      <c r="D42" s="25"/>
      <c r="E42" s="25"/>
      <c r="F42" s="25"/>
      <c r="G42" s="25"/>
      <c r="H42" s="25"/>
      <c r="I42" s="25"/>
      <c r="J42" s="26"/>
    </row>
    <row r="43" spans="1:10" ht="15.75" customHeight="1" x14ac:dyDescent="0.25">
      <c r="A43" s="27"/>
      <c r="B43" s="762" t="s">
        <v>43</v>
      </c>
      <c r="C43" s="762"/>
      <c r="D43" s="762"/>
      <c r="E43" s="762"/>
      <c r="F43" s="762"/>
      <c r="G43" s="762"/>
      <c r="H43" s="762"/>
      <c r="I43" s="762"/>
      <c r="J43" s="106">
        <f>+J41+J33+J15+J25</f>
        <v>894048</v>
      </c>
    </row>
    <row r="44" spans="1:10" x14ac:dyDescent="0.25">
      <c r="B44" s="21"/>
      <c r="C44" s="21"/>
      <c r="D44" s="21"/>
      <c r="E44" s="21"/>
      <c r="F44" s="21"/>
      <c r="G44" s="21"/>
      <c r="H44" s="21"/>
      <c r="I44" s="21"/>
      <c r="J44" s="21"/>
    </row>
  </sheetData>
  <mergeCells count="39">
    <mergeCell ref="E6:H6"/>
    <mergeCell ref="B7:J7"/>
    <mergeCell ref="B8:F8"/>
    <mergeCell ref="A1:C4"/>
    <mergeCell ref="D1:J1"/>
    <mergeCell ref="D2:J2"/>
    <mergeCell ref="D3:J3"/>
    <mergeCell ref="D4:J4"/>
    <mergeCell ref="B12:F12"/>
    <mergeCell ref="B13:F13"/>
    <mergeCell ref="B14:F14"/>
    <mergeCell ref="B9:F9"/>
    <mergeCell ref="B10:F10"/>
    <mergeCell ref="B11:F11"/>
    <mergeCell ref="B19:E19"/>
    <mergeCell ref="B20:E20"/>
    <mergeCell ref="B21:E21"/>
    <mergeCell ref="B15:I15"/>
    <mergeCell ref="B17:J17"/>
    <mergeCell ref="B18:E18"/>
    <mergeCell ref="B25:I25"/>
    <mergeCell ref="B27:J27"/>
    <mergeCell ref="B28:F28"/>
    <mergeCell ref="B22:E22"/>
    <mergeCell ref="B23:E23"/>
    <mergeCell ref="B24:E24"/>
    <mergeCell ref="B32:F32"/>
    <mergeCell ref="B33:I33"/>
    <mergeCell ref="B35:J35"/>
    <mergeCell ref="B29:F29"/>
    <mergeCell ref="B30:F30"/>
    <mergeCell ref="B31:F31"/>
    <mergeCell ref="B43:I43"/>
    <mergeCell ref="B39:F39"/>
    <mergeCell ref="B40:F40"/>
    <mergeCell ref="B41:I41"/>
    <mergeCell ref="B36:F36"/>
    <mergeCell ref="B37:F37"/>
    <mergeCell ref="B38:F38"/>
  </mergeCells>
  <hyperlinks>
    <hyperlink ref="C6" location="'PPTO HOJA'!A105" display="'PPTO HOJA'!A105" xr:uid="{00000000-0004-0000-1E00-000000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1E00-000000000000}">
          <x14:formula1>
            <xm:f>CUADRILLAS!$B$86:$B$101</xm:f>
          </x14:formula1>
          <xm:sqref>B37:F40</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9" tint="0.59999389629810485"/>
  </sheetPr>
  <dimension ref="A1:J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7.109375" style="20" bestFit="1" customWidth="1"/>
    <col min="11" max="16384" width="11.44140625" style="20"/>
  </cols>
  <sheetData>
    <row r="1" spans="1:10" x14ac:dyDescent="0.25">
      <c r="A1" s="765"/>
      <c r="B1" s="765"/>
      <c r="C1" s="765"/>
      <c r="D1" s="766" t="str">
        <f>'PPTO HOJA'!A4</f>
        <v>DEPARTAMENTO DE ANTIOQUIA</v>
      </c>
      <c r="E1" s="766"/>
      <c r="F1" s="766"/>
      <c r="G1" s="766"/>
      <c r="H1" s="766"/>
      <c r="I1" s="766"/>
      <c r="J1" s="766"/>
    </row>
    <row r="2" spans="1:10" x14ac:dyDescent="0.25">
      <c r="A2" s="765"/>
      <c r="B2" s="765"/>
      <c r="C2" s="765"/>
      <c r="D2" s="766" t="str">
        <f>'PPTO HOJA'!A5</f>
        <v>MUNICIPIO DE ARBOLETES</v>
      </c>
      <c r="E2" s="766"/>
      <c r="F2" s="766"/>
      <c r="G2" s="766"/>
      <c r="H2" s="766"/>
      <c r="I2" s="766"/>
      <c r="J2" s="766"/>
    </row>
    <row r="3" spans="1:10" ht="60"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row>
    <row r="4" spans="1:10" x14ac:dyDescent="0.25">
      <c r="A4" s="765"/>
      <c r="B4" s="765"/>
      <c r="C4" s="765"/>
      <c r="D4" s="766" t="s">
        <v>20</v>
      </c>
      <c r="E4" s="766"/>
      <c r="F4" s="766"/>
      <c r="G4" s="766"/>
      <c r="H4" s="766"/>
      <c r="I4" s="766"/>
      <c r="J4" s="766"/>
    </row>
    <row r="5" spans="1:10" ht="9.75" customHeight="1" x14ac:dyDescent="0.25">
      <c r="A5" s="22"/>
      <c r="J5" s="23"/>
    </row>
    <row r="6" spans="1:10" s="21" customFormat="1" ht="40.5" customHeight="1" x14ac:dyDescent="0.3">
      <c r="A6" s="30" t="s">
        <v>366</v>
      </c>
      <c r="B6" s="29" t="s">
        <v>22</v>
      </c>
      <c r="C6" s="154">
        <f>+'PPTO HOJA'!A45</f>
        <v>5.03</v>
      </c>
      <c r="D6" s="28"/>
      <c r="E6" s="764" t="str">
        <f>'PPTO HOJA'!B45</f>
        <v>Malla Electrosoldada Ref XX84 o similar 15x15 cm</v>
      </c>
      <c r="F6" s="764"/>
      <c r="G6" s="764"/>
      <c r="H6" s="764"/>
      <c r="I6" s="30" t="s">
        <v>23</v>
      </c>
      <c r="J6" s="31" t="str">
        <f>'PPTO HOJA'!C45</f>
        <v>kg</v>
      </c>
    </row>
    <row r="7" spans="1:10" x14ac:dyDescent="0.25">
      <c r="A7" s="22"/>
      <c r="B7" s="761" t="s">
        <v>24</v>
      </c>
      <c r="C7" s="761"/>
      <c r="D7" s="761"/>
      <c r="E7" s="761"/>
      <c r="F7" s="761"/>
      <c r="G7" s="761"/>
      <c r="H7" s="761"/>
      <c r="I7" s="761"/>
      <c r="J7" s="761"/>
    </row>
    <row r="8" spans="1:10" x14ac:dyDescent="0.25">
      <c r="A8" s="22"/>
      <c r="B8" s="763" t="s">
        <v>25</v>
      </c>
      <c r="C8" s="763"/>
      <c r="D8" s="763"/>
      <c r="E8" s="763"/>
      <c r="F8" s="763"/>
      <c r="G8" s="31" t="s">
        <v>26</v>
      </c>
      <c r="H8" s="31" t="s">
        <v>27</v>
      </c>
      <c r="I8" s="31" t="s">
        <v>28</v>
      </c>
      <c r="J8" s="32" t="s">
        <v>29</v>
      </c>
    </row>
    <row r="9" spans="1:10" ht="15" customHeight="1" x14ac:dyDescent="0.25">
      <c r="A9" s="22"/>
      <c r="B9" s="760" t="s">
        <v>30</v>
      </c>
      <c r="C9" s="760"/>
      <c r="D9" s="760"/>
      <c r="E9" s="760"/>
      <c r="F9" s="760"/>
      <c r="G9" s="31"/>
      <c r="H9" s="24"/>
      <c r="I9" s="33">
        <v>0.05</v>
      </c>
      <c r="J9" s="24">
        <f>ROUND(I9*J41,0)</f>
        <v>167</v>
      </c>
    </row>
    <row r="10" spans="1:10" ht="15" customHeight="1" x14ac:dyDescent="0.25">
      <c r="A10" s="22"/>
      <c r="B10" s="764"/>
      <c r="C10" s="764"/>
      <c r="D10" s="764"/>
      <c r="E10" s="764"/>
      <c r="F10" s="764"/>
      <c r="G10" s="31" t="str">
        <f>IF(B10="","",VLOOKUP(B10,EQUIPOS!$B$7:$F$46,3,FALSE))</f>
        <v/>
      </c>
      <c r="H10" s="24" t="str">
        <f>IF(B10="","",VLOOKUP(B10,EQUIPOS!$B$7:$F$46,5,FALSE))</f>
        <v/>
      </c>
      <c r="I10" s="34"/>
      <c r="J10" s="24">
        <f>IF(B10="",0,ROUND(H10/I10,0))</f>
        <v>0</v>
      </c>
    </row>
    <row r="11" spans="1:10" ht="15" customHeight="1" x14ac:dyDescent="0.25">
      <c r="A11" s="22"/>
      <c r="B11" s="764"/>
      <c r="C11" s="764"/>
      <c r="D11" s="764"/>
      <c r="E11" s="764"/>
      <c r="F11" s="764"/>
      <c r="G11" s="31" t="str">
        <f>IF(B11="","",VLOOKUP(B11,EQUIPOS!$B$7:$F$46,3,FALSE))</f>
        <v/>
      </c>
      <c r="H11" s="24" t="str">
        <f>IF(B11="","",VLOOKUP(B11,EQUIPOS!$B$7:$F$46,5,FALSE))</f>
        <v/>
      </c>
      <c r="I11" s="34"/>
      <c r="J11" s="24">
        <f t="shared" ref="J11:J13" si="0">IF(B11="",0,ROUND(H11/I11,0))</f>
        <v>0</v>
      </c>
    </row>
    <row r="12" spans="1:10" ht="15" customHeight="1" x14ac:dyDescent="0.25">
      <c r="A12" s="22"/>
      <c r="B12" s="764"/>
      <c r="C12" s="764"/>
      <c r="D12" s="764"/>
      <c r="E12" s="764"/>
      <c r="F12" s="764"/>
      <c r="G12" s="31" t="str">
        <f>IF(B12="","",VLOOKUP(B12,EQUIPOS!$B$7:$F$46,3,FALSE))</f>
        <v/>
      </c>
      <c r="H12" s="24" t="str">
        <f>IF(B12="","",VLOOKUP(B12,EQUIPOS!$B$7:$F$46,5,FALSE))</f>
        <v/>
      </c>
      <c r="I12" s="34"/>
      <c r="J12" s="24">
        <f t="shared" si="0"/>
        <v>0</v>
      </c>
    </row>
    <row r="13" spans="1:10" ht="15" customHeight="1" x14ac:dyDescent="0.25">
      <c r="A13" s="22"/>
      <c r="B13" s="760"/>
      <c r="C13" s="760"/>
      <c r="D13" s="760"/>
      <c r="E13" s="760"/>
      <c r="F13" s="760"/>
      <c r="G13" s="31" t="str">
        <f>IF(B13="","",VLOOKUP(B13,EQUIPOS!$B$7:$F$46,3,FALSE))</f>
        <v/>
      </c>
      <c r="H13" s="24" t="str">
        <f>IF(B13="","",VLOOKUP(B13,EQUIPOS!$B$7:$F$46,5,FALSE))</f>
        <v/>
      </c>
      <c r="I13" s="34"/>
      <c r="J13" s="24">
        <f t="shared" si="0"/>
        <v>0</v>
      </c>
    </row>
    <row r="14" spans="1:10" ht="15" customHeight="1" x14ac:dyDescent="0.25">
      <c r="A14" s="22"/>
      <c r="B14" s="760"/>
      <c r="C14" s="760"/>
      <c r="D14" s="760"/>
      <c r="E14" s="760"/>
      <c r="F14" s="760"/>
      <c r="G14" s="31" t="str">
        <f>IF(B14="","",VLOOKUP(B14,EQUIPOS!$B$7:$F$46,3,FALSE))</f>
        <v/>
      </c>
      <c r="H14" s="24" t="str">
        <f>IF(B14="","",VLOOKUP(B14,EQUIPOS!$B$7:$F$46,5,FALSE))</f>
        <v/>
      </c>
      <c r="I14" s="34"/>
      <c r="J14" s="24"/>
    </row>
    <row r="15" spans="1:10" ht="15" customHeight="1" x14ac:dyDescent="0.25">
      <c r="A15" s="22"/>
      <c r="B15" s="761" t="s">
        <v>31</v>
      </c>
      <c r="C15" s="761"/>
      <c r="D15" s="761"/>
      <c r="E15" s="761"/>
      <c r="F15" s="761"/>
      <c r="G15" s="761"/>
      <c r="H15" s="761"/>
      <c r="I15" s="761"/>
      <c r="J15" s="24">
        <f>SUM(J9:J14)</f>
        <v>167</v>
      </c>
    </row>
    <row r="16" spans="1:10" ht="7.5" customHeight="1" x14ac:dyDescent="0.25">
      <c r="A16" s="22"/>
      <c r="B16" s="25"/>
      <c r="C16" s="25"/>
      <c r="D16" s="25"/>
      <c r="E16" s="25"/>
      <c r="F16" s="25"/>
      <c r="G16" s="25"/>
      <c r="H16" s="25"/>
      <c r="I16" s="25"/>
      <c r="J16" s="26"/>
    </row>
    <row r="17" spans="1:10" ht="15" customHeight="1" x14ac:dyDescent="0.25">
      <c r="A17" s="22"/>
      <c r="B17" s="761" t="s">
        <v>32</v>
      </c>
      <c r="C17" s="761"/>
      <c r="D17" s="761"/>
      <c r="E17" s="761"/>
      <c r="F17" s="761"/>
      <c r="G17" s="761"/>
      <c r="H17" s="761"/>
      <c r="I17" s="761"/>
      <c r="J17" s="761"/>
    </row>
    <row r="18" spans="1:10" ht="26.4" x14ac:dyDescent="0.25">
      <c r="A18" s="22"/>
      <c r="B18" s="763" t="s">
        <v>33</v>
      </c>
      <c r="C18" s="763"/>
      <c r="D18" s="763"/>
      <c r="E18" s="763"/>
      <c r="F18" s="28" t="s">
        <v>19</v>
      </c>
      <c r="G18" s="31" t="s">
        <v>34</v>
      </c>
      <c r="H18" s="32" t="s">
        <v>35</v>
      </c>
      <c r="I18" s="32" t="s">
        <v>36</v>
      </c>
      <c r="J18" s="32" t="s">
        <v>29</v>
      </c>
    </row>
    <row r="19" spans="1:10" x14ac:dyDescent="0.25">
      <c r="A19" s="22"/>
      <c r="B19" s="777" t="s">
        <v>506</v>
      </c>
      <c r="C19" s="777"/>
      <c r="D19" s="777"/>
      <c r="E19" s="777"/>
      <c r="F19" s="180">
        <v>1</v>
      </c>
      <c r="G19" s="31" t="str">
        <f>IF(F19=0,"",VLOOKUP(B19,'LISTADO DE MATERIALES'!$B$6:$D$311,2,FALSE))</f>
        <v>kg</v>
      </c>
      <c r="H19" s="278">
        <v>0.05</v>
      </c>
      <c r="I19" s="24">
        <f>IF(F19=0,"",VLOOKUP(B19,'LISTADO DE MATERIALES'!$B$6:$D$311,3,FALSE))</f>
        <v>4332</v>
      </c>
      <c r="J19" s="24">
        <f>IF(I19="",0,ROUND((+F19*I19*(1+H19)),0))</f>
        <v>4549</v>
      </c>
    </row>
    <row r="20" spans="1:10" ht="15" customHeight="1" x14ac:dyDescent="0.25">
      <c r="A20" s="22"/>
      <c r="B20" s="791" t="s">
        <v>251</v>
      </c>
      <c r="C20" s="792"/>
      <c r="D20" s="792"/>
      <c r="E20" s="793"/>
      <c r="F20" s="34">
        <f>+F19*0.05</f>
        <v>0.05</v>
      </c>
      <c r="G20" s="31" t="str">
        <f>IF(F20=0,"",VLOOKUP(B20,'LISTADO DE MATERIALES'!$B$6:$D$311,2,FALSE))</f>
        <v>Kg</v>
      </c>
      <c r="H20" s="107">
        <v>0.05</v>
      </c>
      <c r="I20" s="24">
        <f>IF(F20=0,"",VLOOKUP(B20,'LISTADO DE MATERIALES'!$B$6:$D$311,3,FALSE))</f>
        <v>12450</v>
      </c>
      <c r="J20" s="24">
        <f t="shared" ref="J20:J24" si="1">IF(I20="",0,ROUND((+F20*I20*(1+H20)),0))</f>
        <v>654</v>
      </c>
    </row>
    <row r="21" spans="1:10" ht="15" customHeight="1" x14ac:dyDescent="0.25">
      <c r="A21" s="22"/>
      <c r="B21" s="764"/>
      <c r="C21" s="764"/>
      <c r="D21" s="764"/>
      <c r="E21" s="764"/>
      <c r="F21" s="34"/>
      <c r="G21" s="31" t="str">
        <f>IF(F21=0,"",VLOOKUP(B21,'LISTADO DE MATERIALES'!$B$6:$D$311,2,FALSE))</f>
        <v/>
      </c>
      <c r="H21" s="107"/>
      <c r="I21" s="24" t="str">
        <f>IF(F21=0,"",VLOOKUP(B21,'LISTADO DE MATERIALES'!$B$6:$D$311,3,FALSE))</f>
        <v/>
      </c>
      <c r="J21" s="24">
        <f t="shared" si="1"/>
        <v>0</v>
      </c>
    </row>
    <row r="22" spans="1:10" ht="15" customHeight="1" x14ac:dyDescent="0.25">
      <c r="A22" s="22"/>
      <c r="B22" s="794"/>
      <c r="C22" s="795"/>
      <c r="D22" s="795"/>
      <c r="E22" s="796"/>
      <c r="F22" s="34"/>
      <c r="G22" s="31" t="str">
        <f>IF(F22=0,"",VLOOKUP(B22,'LISTADO DE MATERIALES'!$B$6:$D$311,2,FALSE))</f>
        <v/>
      </c>
      <c r="H22" s="107"/>
      <c r="I22" s="24" t="str">
        <f>IF(F22=0,"",VLOOKUP(B22,'LISTADO DE MATERIALES'!$B$6:$D$311,3,FALSE))</f>
        <v/>
      </c>
      <c r="J22" s="24">
        <f t="shared" si="1"/>
        <v>0</v>
      </c>
    </row>
    <row r="23" spans="1:10" ht="15" customHeight="1" x14ac:dyDescent="0.25">
      <c r="A23" s="22"/>
      <c r="B23" s="794"/>
      <c r="C23" s="795"/>
      <c r="D23" s="795"/>
      <c r="E23" s="796"/>
      <c r="F23" s="34"/>
      <c r="G23" s="31" t="str">
        <f>IF(F23=0,"",VLOOKUP(B23,'LISTADO DE MATERIALES'!$B$6:$D$311,2,FALSE))</f>
        <v/>
      </c>
      <c r="H23" s="107"/>
      <c r="I23" s="24" t="str">
        <f>IF(F23=0,"",VLOOKUP(B23,'LISTADO DE MATERIALES'!$B$6:$D$311,3,FALSE))</f>
        <v/>
      </c>
      <c r="J23" s="24">
        <f t="shared" si="1"/>
        <v>0</v>
      </c>
    </row>
    <row r="24" spans="1:10" ht="15" customHeight="1" x14ac:dyDescent="0.25">
      <c r="A24" s="22"/>
      <c r="B24" s="794"/>
      <c r="C24" s="795"/>
      <c r="D24" s="795"/>
      <c r="E24" s="796"/>
      <c r="F24" s="34"/>
      <c r="G24" s="31" t="str">
        <f>IF(F24=0,"",VLOOKUP(B24,'LISTADO DE MATERIALES'!$B$6:$D$311,2,FALSE))</f>
        <v/>
      </c>
      <c r="H24" s="107"/>
      <c r="I24" s="24" t="str">
        <f>IF(F24=0,"",VLOOKUP(B24,'LISTADO DE MATERIALES'!$B$6:$D$311,3,FALSE))</f>
        <v/>
      </c>
      <c r="J24" s="24">
        <f t="shared" si="1"/>
        <v>0</v>
      </c>
    </row>
    <row r="25" spans="1:10" ht="15" customHeight="1" x14ac:dyDescent="0.25">
      <c r="A25" s="22"/>
      <c r="B25" s="761" t="s">
        <v>37</v>
      </c>
      <c r="C25" s="761"/>
      <c r="D25" s="761"/>
      <c r="E25" s="761"/>
      <c r="F25" s="761"/>
      <c r="G25" s="761"/>
      <c r="H25" s="761"/>
      <c r="I25" s="761"/>
      <c r="J25" s="24">
        <f>SUM(J19:J24)</f>
        <v>5203</v>
      </c>
    </row>
    <row r="26" spans="1:10" ht="7.5" customHeight="1" x14ac:dyDescent="0.25">
      <c r="A26" s="22"/>
      <c r="B26" s="25"/>
      <c r="C26" s="25"/>
      <c r="D26" s="25"/>
      <c r="E26" s="25"/>
      <c r="F26" s="25"/>
      <c r="G26" s="25"/>
      <c r="H26" s="25"/>
      <c r="I26" s="25"/>
      <c r="J26" s="26"/>
    </row>
    <row r="27" spans="1:10" ht="15" customHeight="1" x14ac:dyDescent="0.25">
      <c r="A27" s="22"/>
      <c r="B27" s="761" t="s">
        <v>38</v>
      </c>
      <c r="C27" s="761"/>
      <c r="D27" s="761"/>
      <c r="E27" s="761"/>
      <c r="F27" s="761"/>
      <c r="G27" s="761"/>
      <c r="H27" s="761"/>
      <c r="I27" s="761"/>
      <c r="J27" s="761"/>
    </row>
    <row r="28" spans="1:10" x14ac:dyDescent="0.25">
      <c r="A28" s="22"/>
      <c r="B28" s="763" t="s">
        <v>33</v>
      </c>
      <c r="C28" s="763"/>
      <c r="D28" s="763"/>
      <c r="E28" s="763"/>
      <c r="F28" s="763"/>
      <c r="G28" s="31" t="s">
        <v>133</v>
      </c>
      <c r="H28" s="31" t="s">
        <v>132</v>
      </c>
      <c r="I28" s="31" t="s">
        <v>39</v>
      </c>
      <c r="J28" s="32" t="s">
        <v>29</v>
      </c>
    </row>
    <row r="29" spans="1:10" ht="15" customHeight="1" x14ac:dyDescent="0.25">
      <c r="A29" s="22"/>
      <c r="B29" s="760"/>
      <c r="C29" s="760"/>
      <c r="D29" s="760"/>
      <c r="E29" s="760"/>
      <c r="F29" s="760"/>
      <c r="G29" s="34"/>
      <c r="H29" s="34"/>
      <c r="I29" s="24"/>
      <c r="J29" s="24">
        <f>ROUND((I29*H29*G29),0)</f>
        <v>0</v>
      </c>
    </row>
    <row r="30" spans="1:10" ht="15" customHeight="1" x14ac:dyDescent="0.25">
      <c r="A30" s="22"/>
      <c r="B30" s="760"/>
      <c r="C30" s="760"/>
      <c r="D30" s="760"/>
      <c r="E30" s="760"/>
      <c r="F30" s="760"/>
      <c r="G30" s="31"/>
      <c r="H30" s="34"/>
      <c r="I30" s="24"/>
      <c r="J30" s="24">
        <v>0</v>
      </c>
    </row>
    <row r="31" spans="1:10" ht="15" customHeight="1" x14ac:dyDescent="0.25">
      <c r="A31" s="22"/>
      <c r="B31" s="760"/>
      <c r="C31" s="760"/>
      <c r="D31" s="760"/>
      <c r="E31" s="760"/>
      <c r="F31" s="760"/>
      <c r="G31" s="31"/>
      <c r="H31" s="34"/>
      <c r="I31" s="24"/>
      <c r="J31" s="24">
        <v>0</v>
      </c>
    </row>
    <row r="32" spans="1:10" ht="15" customHeight="1" x14ac:dyDescent="0.25">
      <c r="A32" s="22"/>
      <c r="B32" s="760"/>
      <c r="C32" s="760"/>
      <c r="D32" s="760"/>
      <c r="E32" s="760"/>
      <c r="F32" s="760"/>
      <c r="G32" s="31"/>
      <c r="H32" s="31"/>
      <c r="I32" s="24"/>
      <c r="J32" s="24">
        <v>0</v>
      </c>
    </row>
    <row r="33" spans="1:10" ht="15" customHeight="1" x14ac:dyDescent="0.25">
      <c r="A33" s="22"/>
      <c r="B33" s="761" t="s">
        <v>40</v>
      </c>
      <c r="C33" s="761"/>
      <c r="D33" s="761"/>
      <c r="E33" s="761"/>
      <c r="F33" s="761"/>
      <c r="G33" s="761"/>
      <c r="H33" s="761"/>
      <c r="I33" s="761"/>
      <c r="J33" s="24">
        <f>SUM(J29:J32)</f>
        <v>0</v>
      </c>
    </row>
    <row r="34" spans="1:10" ht="7.5" customHeight="1" x14ac:dyDescent="0.25">
      <c r="A34" s="22"/>
      <c r="B34" s="25"/>
      <c r="C34" s="25"/>
      <c r="D34" s="25"/>
      <c r="E34" s="25"/>
      <c r="F34" s="25"/>
      <c r="G34" s="25"/>
      <c r="H34" s="25"/>
      <c r="I34" s="25"/>
      <c r="J34" s="26"/>
    </row>
    <row r="35" spans="1:10" ht="15" customHeight="1" x14ac:dyDescent="0.25">
      <c r="A35" s="22"/>
      <c r="B35" s="761" t="s">
        <v>41</v>
      </c>
      <c r="C35" s="761"/>
      <c r="D35" s="761"/>
      <c r="E35" s="761"/>
      <c r="F35" s="761"/>
      <c r="G35" s="761"/>
      <c r="H35" s="761"/>
      <c r="I35" s="761"/>
      <c r="J35" s="761"/>
    </row>
    <row r="36" spans="1:10" ht="26.4" x14ac:dyDescent="0.25">
      <c r="A36" s="22"/>
      <c r="B36" s="763" t="s">
        <v>4</v>
      </c>
      <c r="C36" s="763"/>
      <c r="D36" s="763"/>
      <c r="E36" s="763"/>
      <c r="F36" s="763"/>
      <c r="G36" s="32" t="s">
        <v>51</v>
      </c>
      <c r="H36" s="32" t="s">
        <v>19</v>
      </c>
      <c r="I36" s="32" t="s">
        <v>28</v>
      </c>
      <c r="J36" s="32" t="s">
        <v>29</v>
      </c>
    </row>
    <row r="37" spans="1:10" ht="15" customHeight="1" x14ac:dyDescent="0.25">
      <c r="A37" s="22"/>
      <c r="B37" s="760" t="s">
        <v>120</v>
      </c>
      <c r="C37" s="760"/>
      <c r="D37" s="760"/>
      <c r="E37" s="760"/>
      <c r="F37" s="760"/>
      <c r="G37" s="24">
        <f>IF(B37="","",VLOOKUP(B37,CUADRILLAS!$B$87:$C$101,2,FALSE))</f>
        <v>157213.73333333334</v>
      </c>
      <c r="H37" s="31">
        <v>1</v>
      </c>
      <c r="I37" s="34">
        <f>5*18.8</f>
        <v>94</v>
      </c>
      <c r="J37" s="24">
        <f>ROUND(+IF(I37=0,0,G37*H37/I37),0)</f>
        <v>1672</v>
      </c>
    </row>
    <row r="38" spans="1:10" ht="15" customHeight="1" x14ac:dyDescent="0.25">
      <c r="A38" s="22"/>
      <c r="B38" s="760" t="s">
        <v>121</v>
      </c>
      <c r="C38" s="760"/>
      <c r="D38" s="760"/>
      <c r="E38" s="760"/>
      <c r="F38" s="760"/>
      <c r="G38" s="24">
        <f>IF(B38="","",VLOOKUP(B38,CUADRILLAS!$B$87:$C$101,2,FALSE))</f>
        <v>78606.866666666669</v>
      </c>
      <c r="H38" s="31">
        <v>2</v>
      </c>
      <c r="I38" s="34">
        <f>+I37</f>
        <v>94</v>
      </c>
      <c r="J38" s="24">
        <f>ROUND(+IF(I38=0,0,G38*H38/I38),0)</f>
        <v>1672</v>
      </c>
    </row>
    <row r="39" spans="1:10" ht="15" customHeight="1" x14ac:dyDescent="0.25">
      <c r="A39" s="22"/>
      <c r="B39" s="760"/>
      <c r="C39" s="760"/>
      <c r="D39" s="760"/>
      <c r="E39" s="760"/>
      <c r="F39" s="760"/>
      <c r="G39" s="24" t="str">
        <f>IF(B39="","",VLOOKUP(B39,CUADRILLAS!$B$87:$C$101,2,FALSE))</f>
        <v/>
      </c>
      <c r="H39" s="31"/>
      <c r="I39" s="34"/>
      <c r="J39" s="24">
        <f t="shared" ref="J39:J40" si="2">+IF(I39=0,0,G39*H39/I39)</f>
        <v>0</v>
      </c>
    </row>
    <row r="40" spans="1:10" ht="15" customHeight="1" x14ac:dyDescent="0.25">
      <c r="A40" s="22"/>
      <c r="B40" s="760"/>
      <c r="C40" s="760"/>
      <c r="D40" s="760"/>
      <c r="E40" s="760"/>
      <c r="F40" s="760"/>
      <c r="G40" s="24" t="str">
        <f>IF(B40="","",VLOOKUP(B40,CUADRILLAS!$B$87:$C$101,2,FALSE))</f>
        <v/>
      </c>
      <c r="H40" s="31"/>
      <c r="I40" s="34"/>
      <c r="J40" s="24">
        <f t="shared" si="2"/>
        <v>0</v>
      </c>
    </row>
    <row r="41" spans="1:10" ht="15" customHeight="1" x14ac:dyDescent="0.25">
      <c r="A41" s="22"/>
      <c r="B41" s="761" t="s">
        <v>42</v>
      </c>
      <c r="C41" s="761"/>
      <c r="D41" s="761"/>
      <c r="E41" s="761"/>
      <c r="F41" s="761"/>
      <c r="G41" s="761"/>
      <c r="H41" s="761"/>
      <c r="I41" s="761"/>
      <c r="J41" s="24">
        <f>SUM(J37:J40)</f>
        <v>3344</v>
      </c>
    </row>
    <row r="42" spans="1:10" ht="7.5" customHeight="1" x14ac:dyDescent="0.25">
      <c r="A42" s="22"/>
      <c r="B42" s="25"/>
      <c r="C42" s="25"/>
      <c r="D42" s="25"/>
      <c r="E42" s="25"/>
      <c r="F42" s="25"/>
      <c r="G42" s="25"/>
      <c r="H42" s="25"/>
      <c r="I42" s="25"/>
      <c r="J42" s="26"/>
    </row>
    <row r="43" spans="1:10" ht="15.75" customHeight="1" x14ac:dyDescent="0.25">
      <c r="A43" s="27"/>
      <c r="B43" s="762" t="s">
        <v>43</v>
      </c>
      <c r="C43" s="762"/>
      <c r="D43" s="762"/>
      <c r="E43" s="762"/>
      <c r="F43" s="762"/>
      <c r="G43" s="762"/>
      <c r="H43" s="762"/>
      <c r="I43" s="762"/>
      <c r="J43" s="106">
        <f>+J41+J33+J15+J25</f>
        <v>8714</v>
      </c>
    </row>
    <row r="44" spans="1:10" x14ac:dyDescent="0.25">
      <c r="B44" s="21"/>
      <c r="C44" s="21"/>
      <c r="D44" s="21"/>
      <c r="E44" s="21"/>
      <c r="F44" s="21"/>
      <c r="G44" s="21"/>
      <c r="H44" s="21"/>
      <c r="I44" s="21"/>
      <c r="J44" s="21"/>
    </row>
  </sheetData>
  <mergeCells count="39">
    <mergeCell ref="E6:H6"/>
    <mergeCell ref="B7:J7"/>
    <mergeCell ref="B8:F8"/>
    <mergeCell ref="A1:C4"/>
    <mergeCell ref="D1:J1"/>
    <mergeCell ref="D2:J2"/>
    <mergeCell ref="D3:J3"/>
    <mergeCell ref="D4:J4"/>
    <mergeCell ref="B12:F12"/>
    <mergeCell ref="B13:F13"/>
    <mergeCell ref="B14:F14"/>
    <mergeCell ref="B9:F9"/>
    <mergeCell ref="B10:F10"/>
    <mergeCell ref="B11:F11"/>
    <mergeCell ref="B19:E19"/>
    <mergeCell ref="B20:E20"/>
    <mergeCell ref="B21:E21"/>
    <mergeCell ref="B15:I15"/>
    <mergeCell ref="B17:J17"/>
    <mergeCell ref="B18:E18"/>
    <mergeCell ref="B25:I25"/>
    <mergeCell ref="B27:J27"/>
    <mergeCell ref="B28:F28"/>
    <mergeCell ref="B22:E22"/>
    <mergeCell ref="B23:E23"/>
    <mergeCell ref="B24:E24"/>
    <mergeCell ref="B32:F32"/>
    <mergeCell ref="B33:I33"/>
    <mergeCell ref="B35:J35"/>
    <mergeCell ref="B29:F29"/>
    <mergeCell ref="B30:F30"/>
    <mergeCell ref="B31:F31"/>
    <mergeCell ref="B43:I43"/>
    <mergeCell ref="B39:F39"/>
    <mergeCell ref="B40:F40"/>
    <mergeCell ref="B41:I41"/>
    <mergeCell ref="B36:F36"/>
    <mergeCell ref="B37:F37"/>
    <mergeCell ref="B38:F38"/>
  </mergeCells>
  <hyperlinks>
    <hyperlink ref="C6" location="'PPTO HOJA'!A105" display="'PPTO HOJA'!A105" xr:uid="{00000000-0004-0000-1F00-000000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1F00-000000000000}">
          <x14:formula1>
            <xm:f>CUADRILLAS!$B$86:$B$101</xm:f>
          </x14:formula1>
          <xm:sqref>B37:F40</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9" tint="0.59999389629810485"/>
  </sheetPr>
  <dimension ref="A1:U44"/>
  <sheetViews>
    <sheetView topLeftCell="C1"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8" width="14.33203125" style="20" customWidth="1"/>
    <col min="9" max="9" width="14.6640625" style="20" bestFit="1" customWidth="1"/>
    <col min="10" max="10" width="17.5546875" style="20" bestFit="1" customWidth="1"/>
    <col min="11" max="11" width="4.33203125" style="20" customWidth="1"/>
    <col min="12" max="13" width="11.44140625" style="20"/>
    <col min="14" max="14" width="11.5546875" style="20" bestFit="1" customWidth="1"/>
    <col min="15" max="16" width="11.44140625" style="20"/>
    <col min="17" max="17" width="11.5546875" style="20" bestFit="1" customWidth="1"/>
    <col min="18" max="18" width="13.44140625" style="20" bestFit="1" customWidth="1"/>
    <col min="19" max="19" width="11.5546875" style="20" bestFit="1" customWidth="1"/>
    <col min="20" max="20" width="13.44140625" style="20" bestFit="1" customWidth="1"/>
    <col min="21" max="21" width="17.5546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61.2"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48" customHeight="1" x14ac:dyDescent="0.3">
      <c r="A6" s="30" t="s">
        <v>366</v>
      </c>
      <c r="B6" s="29" t="s">
        <v>22</v>
      </c>
      <c r="C6" s="154">
        <f>+'PPTO HOJA'!A46</f>
        <v>5.04</v>
      </c>
      <c r="D6" s="28"/>
      <c r="E6" s="764" t="str">
        <f>'PPTO HOJA'!B46</f>
        <v>Levante en mampostería estructural en bloque de concreto de 20 cm x 20 cm x 40 cm (Incluye mortero 1:4 y relleno tipo Grouting)</v>
      </c>
      <c r="F6" s="764"/>
      <c r="G6" s="764"/>
      <c r="H6" s="764"/>
      <c r="I6" s="30" t="s">
        <v>23</v>
      </c>
      <c r="J6" s="31" t="str">
        <f>'PPTO HOJA'!C46</f>
        <v>m2</v>
      </c>
      <c r="L6" s="30" t="str">
        <f>A6</f>
        <v>V</v>
      </c>
      <c r="M6" s="29" t="s">
        <v>22</v>
      </c>
      <c r="N6" s="238">
        <f>C6</f>
        <v>5.04</v>
      </c>
      <c r="O6" s="28"/>
      <c r="P6" s="764" t="str">
        <f>E6</f>
        <v>Levante en mampostería estructural en bloque de concreto de 20 cm x 20 cm x 40 cm (Incluye mortero 1:4 y relleno tipo Grouting)</v>
      </c>
      <c r="Q6" s="764"/>
      <c r="R6" s="764"/>
      <c r="S6" s="764"/>
      <c r="T6" s="30" t="s">
        <v>23</v>
      </c>
      <c r="U6" s="31" t="str">
        <f>J6</f>
        <v>m2</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1179</v>
      </c>
      <c r="L9" s="22"/>
      <c r="M9" s="771" t="s">
        <v>30</v>
      </c>
      <c r="N9" s="771"/>
      <c r="O9" s="771"/>
      <c r="P9" s="771"/>
      <c r="Q9" s="771"/>
      <c r="R9" s="206"/>
      <c r="S9" s="181"/>
      <c r="T9" s="208">
        <v>0.05</v>
      </c>
      <c r="U9" s="181">
        <f>ROUND(T9*U41,0)</f>
        <v>1179</v>
      </c>
    </row>
    <row r="10" spans="1:21" ht="15" customHeight="1" x14ac:dyDescent="0.25">
      <c r="A10" s="22"/>
      <c r="B10" s="794"/>
      <c r="C10" s="795"/>
      <c r="D10" s="795"/>
      <c r="E10" s="795"/>
      <c r="F10" s="796"/>
      <c r="G10" s="31" t="str">
        <f>IF(B10="","",VLOOKUP(B10,EQUIPOS!$B$7:$F$46,3,FALSE))</f>
        <v/>
      </c>
      <c r="H10" s="24" t="str">
        <f>IF(B10="","",VLOOKUP(B10,EQUIPOS!$B$7:$F$46,5,FALSE))</f>
        <v/>
      </c>
      <c r="I10" s="34"/>
      <c r="J10" s="24">
        <f>IF(B10="",0,ROUND(H10/I10,0))</f>
        <v>0</v>
      </c>
      <c r="L10" s="22"/>
      <c r="M10" s="791"/>
      <c r="N10" s="792"/>
      <c r="O10" s="792"/>
      <c r="P10" s="792"/>
      <c r="Q10" s="793"/>
      <c r="R10" s="206" t="s">
        <v>501</v>
      </c>
      <c r="S10" s="181" t="s">
        <v>501</v>
      </c>
      <c r="T10" s="180"/>
      <c r="U10" s="181">
        <f>IF(M10="",0,ROUND(S10/T10,0))</f>
        <v>0</v>
      </c>
    </row>
    <row r="11" spans="1:21" ht="15" customHeight="1" x14ac:dyDescent="0.25">
      <c r="A11" s="22"/>
      <c r="B11" s="764"/>
      <c r="C11" s="764"/>
      <c r="D11" s="764"/>
      <c r="E11" s="764"/>
      <c r="F11" s="764"/>
      <c r="G11" s="31" t="str">
        <f>IF(B11="","",VLOOKUP(B11,EQUIPOS!$B$7:$F$46,3,FALSE))</f>
        <v/>
      </c>
      <c r="H11" s="24" t="str">
        <f>IF(B11="","",VLOOKUP(B11,EQUIPOS!$B$7:$F$46,5,FALSE))</f>
        <v/>
      </c>
      <c r="I11" s="34"/>
      <c r="J11" s="24">
        <f t="shared" ref="J11:J13" si="0">IF(B11="",0,ROUND(H11/I11,0))</f>
        <v>0</v>
      </c>
      <c r="L11" s="22"/>
      <c r="M11" s="777"/>
      <c r="N11" s="777"/>
      <c r="O11" s="777"/>
      <c r="P11" s="777"/>
      <c r="Q11" s="777"/>
      <c r="R11" s="206" t="s">
        <v>501</v>
      </c>
      <c r="S11" s="181" t="s">
        <v>501</v>
      </c>
      <c r="T11" s="180"/>
      <c r="U11" s="181">
        <f t="shared" ref="U11:U13" si="1">IF(M11="",0,ROUND(S11/T11,0))</f>
        <v>0</v>
      </c>
    </row>
    <row r="12" spans="1:21" ht="15" customHeight="1" x14ac:dyDescent="0.25">
      <c r="A12" s="22"/>
      <c r="B12" s="764"/>
      <c r="C12" s="764"/>
      <c r="D12" s="764"/>
      <c r="E12" s="764"/>
      <c r="F12" s="764"/>
      <c r="G12" s="31" t="str">
        <f>IF(B12="","",VLOOKUP(B12,EQUIPOS!$B$7:$F$46,3,FALSE))</f>
        <v/>
      </c>
      <c r="H12" s="24" t="str">
        <f>IF(B12="","",VLOOKUP(B12,EQUIPOS!$B$7:$F$46,5,FALSE))</f>
        <v/>
      </c>
      <c r="I12" s="34"/>
      <c r="J12" s="24">
        <f t="shared" si="0"/>
        <v>0</v>
      </c>
      <c r="L12" s="22"/>
      <c r="M12" s="777"/>
      <c r="N12" s="777"/>
      <c r="O12" s="777"/>
      <c r="P12" s="777"/>
      <c r="Q12" s="777"/>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1179</v>
      </c>
      <c r="L15" s="22"/>
      <c r="M15" s="772" t="s">
        <v>31</v>
      </c>
      <c r="N15" s="772"/>
      <c r="O15" s="772"/>
      <c r="P15" s="772"/>
      <c r="Q15" s="772"/>
      <c r="R15" s="772"/>
      <c r="S15" s="772"/>
      <c r="T15" s="772"/>
      <c r="U15" s="181">
        <f>SUM(U9:U14)</f>
        <v>1179</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1"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1" ht="14.25" customHeight="1" x14ac:dyDescent="0.25">
      <c r="A19" s="22"/>
      <c r="B19" s="777" t="s">
        <v>351</v>
      </c>
      <c r="C19" s="777"/>
      <c r="D19" s="777"/>
      <c r="E19" s="777"/>
      <c r="F19" s="34">
        <v>12.5</v>
      </c>
      <c r="G19" s="31" t="str">
        <f>IF(F19=0,"",VLOOKUP(B19,'LISTADO DE MATERIALES'!$B$6:$D$311,2,FALSE))</f>
        <v>und</v>
      </c>
      <c r="H19" s="107"/>
      <c r="I19" s="24">
        <f>IF(F19=0,"",VLOOKUP(B19,'LISTADO DE MATERIALES'!$B$6:$D$311,3,FALSE))</f>
        <v>5600</v>
      </c>
      <c r="J19" s="24">
        <f>IF(I19="",0,ROUND((+F19*I19*(1+H19)),0))</f>
        <v>70000</v>
      </c>
      <c r="L19" s="22"/>
      <c r="M19" s="777" t="s">
        <v>351</v>
      </c>
      <c r="N19" s="777"/>
      <c r="O19" s="777"/>
      <c r="P19" s="777"/>
      <c r="Q19" s="180">
        <v>12.5</v>
      </c>
      <c r="R19" s="206" t="s">
        <v>9</v>
      </c>
      <c r="S19" s="209"/>
      <c r="T19" s="212">
        <v>5600</v>
      </c>
      <c r="U19" s="181">
        <f>IF(T19="",0,ROUND((+Q19*T19*(1+S19)),0))</f>
        <v>70000</v>
      </c>
    </row>
    <row r="20" spans="1:21" ht="15" customHeight="1" x14ac:dyDescent="0.25">
      <c r="A20" s="22"/>
      <c r="B20" s="764" t="s">
        <v>263</v>
      </c>
      <c r="C20" s="764"/>
      <c r="D20" s="764"/>
      <c r="E20" s="764"/>
      <c r="F20" s="34">
        <v>0.15</v>
      </c>
      <c r="G20" s="31" t="s">
        <v>261</v>
      </c>
      <c r="H20" s="107">
        <v>0.1</v>
      </c>
      <c r="I20" s="24">
        <f>+'APU BÁSICOS'!J269</f>
        <v>718979</v>
      </c>
      <c r="J20" s="24">
        <f t="shared" ref="J20:J24" si="2">IF(I20="",0,ROUND((+F20*I20*(1+H20)),0))</f>
        <v>118632</v>
      </c>
      <c r="L20" s="22"/>
      <c r="M20" s="777" t="s">
        <v>263</v>
      </c>
      <c r="N20" s="777"/>
      <c r="O20" s="777"/>
      <c r="P20" s="777"/>
      <c r="Q20" s="211">
        <v>0.15</v>
      </c>
      <c r="R20" s="206" t="s">
        <v>261</v>
      </c>
      <c r="S20" s="209">
        <v>0.05</v>
      </c>
      <c r="T20" s="271">
        <v>719577</v>
      </c>
      <c r="U20" s="181">
        <f t="shared" ref="U20:U24" si="3">IF(T20="",0,ROUND((+Q20*T20*(1+S20)),0))</f>
        <v>113333</v>
      </c>
    </row>
    <row r="21" spans="1:21" ht="15" customHeight="1" x14ac:dyDescent="0.25">
      <c r="A21" s="22"/>
      <c r="B21" s="764" t="s">
        <v>250</v>
      </c>
      <c r="C21" s="764"/>
      <c r="D21" s="764"/>
      <c r="E21" s="764"/>
      <c r="F21" s="34">
        <f>1.2*2*0.994</f>
        <v>2.3855999999999997</v>
      </c>
      <c r="G21" s="31" t="str">
        <f>IF(F21=0,"",VLOOKUP(B21,'LISTADO DE MATERIALES'!$B$6:$D$311,2,FALSE))</f>
        <v>Kg</v>
      </c>
      <c r="H21" s="107">
        <v>0.05</v>
      </c>
      <c r="I21" s="24">
        <f>IF(F21=0,"",VLOOKUP(B21,'LISTADO DE MATERIALES'!$B$6:$D$311,3,FALSE))</f>
        <v>6225</v>
      </c>
      <c r="J21" s="24">
        <f t="shared" si="2"/>
        <v>15593</v>
      </c>
      <c r="L21" s="22"/>
      <c r="M21" s="777" t="s">
        <v>250</v>
      </c>
      <c r="N21" s="777"/>
      <c r="O21" s="777"/>
      <c r="P21" s="777"/>
      <c r="Q21" s="211">
        <f>1.2*2*0.994</f>
        <v>2.3855999999999997</v>
      </c>
      <c r="R21" s="206" t="s">
        <v>49</v>
      </c>
      <c r="S21" s="209">
        <v>0.05</v>
      </c>
      <c r="T21" s="181">
        <v>6225</v>
      </c>
      <c r="U21" s="181">
        <f t="shared" si="3"/>
        <v>15593</v>
      </c>
    </row>
    <row r="22" spans="1:21" ht="15" customHeight="1" x14ac:dyDescent="0.25">
      <c r="A22" s="22"/>
      <c r="B22" s="794" t="s">
        <v>251</v>
      </c>
      <c r="C22" s="795"/>
      <c r="D22" s="795"/>
      <c r="E22" s="796"/>
      <c r="F22" s="34">
        <f>+F21*0.05</f>
        <v>0.11928</v>
      </c>
      <c r="G22" s="31" t="str">
        <f>IF(F22=0,"",VLOOKUP(B22,'LISTADO DE MATERIALES'!$B$6:$D$311,2,FALSE))</f>
        <v>Kg</v>
      </c>
      <c r="H22" s="107">
        <v>0.05</v>
      </c>
      <c r="I22" s="24">
        <f>IF(F22=0,"",VLOOKUP(B22,'LISTADO DE MATERIALES'!$B$6:$D$311,3,FALSE))</f>
        <v>12450</v>
      </c>
      <c r="J22" s="24">
        <f t="shared" si="2"/>
        <v>1559</v>
      </c>
      <c r="L22" s="22"/>
      <c r="M22" s="791" t="s">
        <v>251</v>
      </c>
      <c r="N22" s="792"/>
      <c r="O22" s="792"/>
      <c r="P22" s="793"/>
      <c r="Q22" s="180">
        <f>+Q21*0.05</f>
        <v>0.11928</v>
      </c>
      <c r="R22" s="206" t="s">
        <v>49</v>
      </c>
      <c r="S22" s="209"/>
      <c r="T22" s="181">
        <v>12450</v>
      </c>
      <c r="U22" s="181">
        <f t="shared" si="3"/>
        <v>1485</v>
      </c>
    </row>
    <row r="23" spans="1:21" ht="15" customHeight="1" x14ac:dyDescent="0.25">
      <c r="A23" s="22"/>
      <c r="B23" s="794"/>
      <c r="C23" s="795"/>
      <c r="D23" s="795"/>
      <c r="E23" s="796"/>
      <c r="F23" s="34"/>
      <c r="G23" s="31" t="str">
        <f>IF(F23=0,"",VLOOKUP(B23,'LISTADO DE MATERIALES'!$B$6:$D$311,2,FALSE))</f>
        <v/>
      </c>
      <c r="H23" s="107"/>
      <c r="I23" s="24" t="str">
        <f>IF(F23=0,"",VLOOKUP(B23,'LISTADO DE MATERIALES'!$B$6:$D$311,3,FALSE))</f>
        <v/>
      </c>
      <c r="J23" s="24">
        <f t="shared" si="2"/>
        <v>0</v>
      </c>
      <c r="L23" s="22"/>
      <c r="M23" s="791"/>
      <c r="N23" s="792"/>
      <c r="O23" s="792"/>
      <c r="P23" s="793"/>
      <c r="Q23" s="180"/>
      <c r="R23" s="206" t="s">
        <v>501</v>
      </c>
      <c r="S23" s="209"/>
      <c r="T23" s="181" t="s">
        <v>501</v>
      </c>
      <c r="U23" s="181">
        <f t="shared" si="3"/>
        <v>0</v>
      </c>
    </row>
    <row r="24" spans="1:21" ht="15" customHeight="1" x14ac:dyDescent="0.25">
      <c r="A24" s="22"/>
      <c r="B24" s="794"/>
      <c r="C24" s="795"/>
      <c r="D24" s="795"/>
      <c r="E24" s="796"/>
      <c r="F24" s="34"/>
      <c r="G24" s="31" t="str">
        <f>IF(F24=0,"",VLOOKUP(B24,'LISTADO DE MATERIALES'!$B$6:$D$311,2,FALSE))</f>
        <v/>
      </c>
      <c r="H24" s="107"/>
      <c r="I24" s="24" t="str">
        <f>IF(F24=0,"",VLOOKUP(B24,'LISTADO DE MATERIALES'!$B$6:$D$311,3,FALSE))</f>
        <v/>
      </c>
      <c r="J24" s="24">
        <f t="shared" si="2"/>
        <v>0</v>
      </c>
      <c r="L24" s="22"/>
      <c r="M24" s="791"/>
      <c r="N24" s="792"/>
      <c r="O24" s="792"/>
      <c r="P24" s="793"/>
      <c r="Q24" s="180"/>
      <c r="R24" s="206" t="s">
        <v>501</v>
      </c>
      <c r="S24" s="209"/>
      <c r="T24" s="181" t="s">
        <v>501</v>
      </c>
      <c r="U24" s="181">
        <f t="shared" si="3"/>
        <v>0</v>
      </c>
    </row>
    <row r="25" spans="1:21" ht="15" customHeight="1" x14ac:dyDescent="0.25">
      <c r="A25" s="22"/>
      <c r="B25" s="761" t="s">
        <v>37</v>
      </c>
      <c r="C25" s="761"/>
      <c r="D25" s="761"/>
      <c r="E25" s="761"/>
      <c r="F25" s="761"/>
      <c r="G25" s="761"/>
      <c r="H25" s="761"/>
      <c r="I25" s="761"/>
      <c r="J25" s="24">
        <f>SUM(J19:J24)</f>
        <v>205784</v>
      </c>
      <c r="L25" s="22"/>
      <c r="M25" s="772" t="s">
        <v>37</v>
      </c>
      <c r="N25" s="772"/>
      <c r="O25" s="772"/>
      <c r="P25" s="772"/>
      <c r="Q25" s="772"/>
      <c r="R25" s="772"/>
      <c r="S25" s="772"/>
      <c r="T25" s="772"/>
      <c r="U25" s="181">
        <f>SUM(U19:U24)</f>
        <v>200411</v>
      </c>
    </row>
    <row r="26" spans="1:21" ht="7.5" customHeight="1" x14ac:dyDescent="0.25">
      <c r="A26" s="22"/>
      <c r="B26" s="25"/>
      <c r="C26" s="25"/>
      <c r="D26" s="25"/>
      <c r="E26" s="25"/>
      <c r="F26" s="25"/>
      <c r="G26" s="25"/>
      <c r="H26" s="25"/>
      <c r="I26" s="25"/>
      <c r="J26" s="26"/>
      <c r="L26" s="22"/>
      <c r="M26" s="25"/>
      <c r="N26" s="25"/>
      <c r="O26" s="25"/>
      <c r="P26" s="25"/>
      <c r="Q26" s="25"/>
      <c r="R26" s="25"/>
      <c r="S26" s="25"/>
      <c r="T26" s="25"/>
      <c r="U26" s="26"/>
    </row>
    <row r="27" spans="1:21"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1"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1" ht="15" customHeight="1" x14ac:dyDescent="0.25">
      <c r="A29" s="22"/>
      <c r="B29" s="760"/>
      <c r="C29" s="760"/>
      <c r="D29" s="760"/>
      <c r="E29" s="760"/>
      <c r="F29" s="760"/>
      <c r="G29" s="34"/>
      <c r="H29" s="34"/>
      <c r="I29" s="24"/>
      <c r="J29" s="24">
        <f>ROUND((I29*H29*G29),0)</f>
        <v>0</v>
      </c>
      <c r="L29" s="22"/>
      <c r="M29" s="771"/>
      <c r="N29" s="771"/>
      <c r="O29" s="771"/>
      <c r="P29" s="771"/>
      <c r="Q29" s="771"/>
      <c r="R29" s="180"/>
      <c r="S29" s="180"/>
      <c r="T29" s="181"/>
      <c r="U29" s="181">
        <f>ROUND((T29*S29*R29),0)</f>
        <v>0</v>
      </c>
    </row>
    <row r="30" spans="1:21"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1"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1"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68</v>
      </c>
      <c r="C37" s="760"/>
      <c r="D37" s="760"/>
      <c r="E37" s="760"/>
      <c r="F37" s="760"/>
      <c r="G37" s="24">
        <f>IF(B37="","",VLOOKUP(B37,CUADRILLAS!$B$87:$C$101,2,FALSE))</f>
        <v>235820.59999999998</v>
      </c>
      <c r="H37" s="31">
        <v>1</v>
      </c>
      <c r="I37" s="34">
        <v>20</v>
      </c>
      <c r="J37" s="24">
        <f>ROUND(+IF(I37=0,0,G37*H37/I37),0)</f>
        <v>11791</v>
      </c>
      <c r="L37" s="22"/>
      <c r="M37" s="771" t="s">
        <v>68</v>
      </c>
      <c r="N37" s="771"/>
      <c r="O37" s="771"/>
      <c r="P37" s="771"/>
      <c r="Q37" s="771"/>
      <c r="R37" s="181">
        <v>235820.59999999998</v>
      </c>
      <c r="S37" s="206">
        <v>1</v>
      </c>
      <c r="T37" s="180">
        <v>20</v>
      </c>
      <c r="U37" s="181">
        <f>ROUND(+IF(T37=0,0,R37*S37/T37),0)</f>
        <v>11791</v>
      </c>
    </row>
    <row r="38" spans="1:21" ht="15" customHeight="1" x14ac:dyDescent="0.25">
      <c r="A38" s="22"/>
      <c r="B38" s="760" t="s">
        <v>120</v>
      </c>
      <c r="C38" s="760"/>
      <c r="D38" s="760"/>
      <c r="E38" s="760"/>
      <c r="F38" s="760"/>
      <c r="G38" s="24">
        <f>IF(B38="","",VLOOKUP(B38,CUADRILLAS!$B$87:$C$101,2,FALSE))</f>
        <v>157213.73333333334</v>
      </c>
      <c r="H38" s="31">
        <v>1</v>
      </c>
      <c r="I38" s="34">
        <f>+I37</f>
        <v>20</v>
      </c>
      <c r="J38" s="24">
        <f>ROUND(+IF(I38=0,0,G38*H38/I38),0)</f>
        <v>7861</v>
      </c>
      <c r="L38" s="22"/>
      <c r="M38" s="771" t="s">
        <v>120</v>
      </c>
      <c r="N38" s="771"/>
      <c r="O38" s="771"/>
      <c r="P38" s="771"/>
      <c r="Q38" s="771"/>
      <c r="R38" s="181">
        <v>157213.73333333334</v>
      </c>
      <c r="S38" s="206">
        <v>1</v>
      </c>
      <c r="T38" s="180">
        <f>+T37</f>
        <v>20</v>
      </c>
      <c r="U38" s="181">
        <f>ROUND(+IF(T38=0,0,R38*S38/T38),0)</f>
        <v>7861</v>
      </c>
    </row>
    <row r="39" spans="1:21" ht="15" customHeight="1" x14ac:dyDescent="0.25">
      <c r="A39" s="22"/>
      <c r="B39" s="760" t="s">
        <v>121</v>
      </c>
      <c r="C39" s="760"/>
      <c r="D39" s="760"/>
      <c r="E39" s="760"/>
      <c r="F39" s="760"/>
      <c r="G39" s="24">
        <f>IF(B39="","",VLOOKUP(B39,CUADRILLAS!$B$87:$C$101,2,FALSE))</f>
        <v>78606.866666666669</v>
      </c>
      <c r="H39" s="31">
        <v>1</v>
      </c>
      <c r="I39" s="34">
        <f>+I38</f>
        <v>20</v>
      </c>
      <c r="J39" s="24">
        <f>ROUND(+IF(I39=0,0,G39*H39/I39),0)</f>
        <v>3930</v>
      </c>
      <c r="L39" s="22"/>
      <c r="M39" s="771" t="s">
        <v>121</v>
      </c>
      <c r="N39" s="771"/>
      <c r="O39" s="771"/>
      <c r="P39" s="771"/>
      <c r="Q39" s="771"/>
      <c r="R39" s="181">
        <v>78606.866666666669</v>
      </c>
      <c r="S39" s="206">
        <v>1</v>
      </c>
      <c r="T39" s="180">
        <f>+T38</f>
        <v>20</v>
      </c>
      <c r="U39" s="181">
        <f>ROUND(+IF(T39=0,0,R39*S39/T39),0)</f>
        <v>3930</v>
      </c>
    </row>
    <row r="40" spans="1:21" ht="15" customHeight="1" x14ac:dyDescent="0.25">
      <c r="A40" s="22"/>
      <c r="B40" s="760"/>
      <c r="C40" s="760"/>
      <c r="D40" s="760"/>
      <c r="E40" s="760"/>
      <c r="F40" s="760"/>
      <c r="G40" s="24" t="str">
        <f>IF(B40="","",VLOOKUP(B40,CUADRILLAS!$B$87:$C$101,2,FALSE))</f>
        <v/>
      </c>
      <c r="H40" s="31"/>
      <c r="I40" s="34"/>
      <c r="J40" s="24">
        <f t="shared" ref="J40" si="4">+IF(I40=0,0,G40*H40/I40)</f>
        <v>0</v>
      </c>
      <c r="L40" s="22"/>
      <c r="M40" s="771"/>
      <c r="N40" s="771"/>
      <c r="O40" s="771"/>
      <c r="P40" s="771"/>
      <c r="Q40" s="771"/>
      <c r="R40" s="181" t="s">
        <v>501</v>
      </c>
      <c r="S40" s="206"/>
      <c r="T40" s="180"/>
      <c r="U40" s="181">
        <f t="shared" ref="U40" si="5">+IF(T40=0,0,R40*S40/T40)</f>
        <v>0</v>
      </c>
    </row>
    <row r="41" spans="1:21" ht="15" customHeight="1" x14ac:dyDescent="0.25">
      <c r="A41" s="22"/>
      <c r="B41" s="761" t="s">
        <v>42</v>
      </c>
      <c r="C41" s="761"/>
      <c r="D41" s="761"/>
      <c r="E41" s="761"/>
      <c r="F41" s="761"/>
      <c r="G41" s="761"/>
      <c r="H41" s="761"/>
      <c r="I41" s="761"/>
      <c r="J41" s="24">
        <f>SUM(J37:J40)</f>
        <v>23582</v>
      </c>
      <c r="L41" s="22"/>
      <c r="M41" s="772" t="s">
        <v>42</v>
      </c>
      <c r="N41" s="772"/>
      <c r="O41" s="772"/>
      <c r="P41" s="772"/>
      <c r="Q41" s="772"/>
      <c r="R41" s="772"/>
      <c r="S41" s="772"/>
      <c r="T41" s="772"/>
      <c r="U41" s="181">
        <f>SUM(U37:U40)</f>
        <v>23582</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230545</v>
      </c>
      <c r="L43" s="27"/>
      <c r="M43" s="773" t="s">
        <v>43</v>
      </c>
      <c r="N43" s="773"/>
      <c r="O43" s="773"/>
      <c r="P43" s="773"/>
      <c r="Q43" s="773"/>
      <c r="R43" s="773"/>
      <c r="S43" s="773"/>
      <c r="T43" s="773"/>
      <c r="U43" s="210">
        <f>+U41+U33+U15+U25</f>
        <v>225172</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E6:H6"/>
    <mergeCell ref="A1:C4"/>
    <mergeCell ref="D1:J1"/>
    <mergeCell ref="D2:J2"/>
    <mergeCell ref="D3:J3"/>
    <mergeCell ref="D4:J4"/>
    <mergeCell ref="B19:E19"/>
    <mergeCell ref="B7:J7"/>
    <mergeCell ref="B8:F8"/>
    <mergeCell ref="B9:F9"/>
    <mergeCell ref="B10:F10"/>
    <mergeCell ref="B11:F11"/>
    <mergeCell ref="B12:F12"/>
    <mergeCell ref="B13:F13"/>
    <mergeCell ref="B14:F14"/>
    <mergeCell ref="B15:I15"/>
    <mergeCell ref="B17:J17"/>
    <mergeCell ref="B18:E18"/>
    <mergeCell ref="B32:F32"/>
    <mergeCell ref="B20:E20"/>
    <mergeCell ref="B21:E21"/>
    <mergeCell ref="B22:E22"/>
    <mergeCell ref="B23:E23"/>
    <mergeCell ref="B24:E24"/>
    <mergeCell ref="B25:I25"/>
    <mergeCell ref="B27:J27"/>
    <mergeCell ref="B28:F28"/>
    <mergeCell ref="B29:F29"/>
    <mergeCell ref="B30:F30"/>
    <mergeCell ref="B31:F31"/>
    <mergeCell ref="B40:F40"/>
    <mergeCell ref="B41:I41"/>
    <mergeCell ref="B43:I43"/>
    <mergeCell ref="B33:I33"/>
    <mergeCell ref="B35:J35"/>
    <mergeCell ref="B36:F36"/>
    <mergeCell ref="B37:F37"/>
    <mergeCell ref="B38:F38"/>
    <mergeCell ref="B39:F39"/>
  </mergeCells>
  <hyperlinks>
    <hyperlink ref="C6" location="'PPTO HOJA'!A106" display="'PPTO HOJA'!A106" xr:uid="{00000000-0004-0000-2000-000000000000}"/>
    <hyperlink ref="N6" location="'PPTO HOJA'!A15" display="'PPTO HOJA'!A15" xr:uid="{00000000-0004-0000-2000-000001000000}"/>
  </hyperlinks>
  <pageMargins left="0.7" right="0.7" top="0.75" bottom="0.75" header="0.3" footer="0.3"/>
  <pageSetup paperSize="9" scale="36"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2000-000000000000}">
          <x14:formula1>
            <xm:f>CUADRILLAS!$B$86:$B$101</xm:f>
          </x14:formula1>
          <xm:sqref>B37:F40</xm:sqref>
        </x14:dataValidation>
      </x14:dataValidations>
    </ext>
  </extLs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Hoja97">
    <tabColor theme="9" tint="0.59999389629810485"/>
  </sheetPr>
  <dimension ref="A1:U44"/>
  <sheetViews>
    <sheetView topLeftCell="C1"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7.5546875" style="20" bestFit="1" customWidth="1"/>
    <col min="11" max="11" width="5.109375" style="20" customWidth="1"/>
    <col min="12" max="17" width="11.44140625" style="20"/>
    <col min="18" max="18" width="12.6640625" style="20" bestFit="1" customWidth="1"/>
    <col min="19" max="19" width="12.33203125" style="20" bestFit="1" customWidth="1"/>
    <col min="20" max="20" width="13.5546875" style="20" bestFit="1" customWidth="1"/>
    <col min="21" max="21" width="17.5546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366</v>
      </c>
      <c r="B6" s="29" t="s">
        <v>22</v>
      </c>
      <c r="C6" s="154">
        <f>+'PPTO HOJA'!A47</f>
        <v>5.05</v>
      </c>
      <c r="D6" s="28"/>
      <c r="E6" s="764" t="str">
        <f>'PPTO HOJA'!B47</f>
        <v>Relleno con subbase granular</v>
      </c>
      <c r="F6" s="764"/>
      <c r="G6" s="764"/>
      <c r="H6" s="764"/>
      <c r="I6" s="30" t="s">
        <v>23</v>
      </c>
      <c r="J6" s="31" t="str">
        <f>'PPTO HOJA'!C47</f>
        <v>m3</v>
      </c>
      <c r="L6" s="30" t="str">
        <f>A6</f>
        <v>V</v>
      </c>
      <c r="M6" s="29" t="s">
        <v>22</v>
      </c>
      <c r="N6" s="238">
        <f>C6</f>
        <v>5.05</v>
      </c>
      <c r="O6" s="28"/>
      <c r="P6" s="764" t="str">
        <f>E6</f>
        <v>Relleno con subbase granular</v>
      </c>
      <c r="Q6" s="764"/>
      <c r="R6" s="764"/>
      <c r="S6" s="764"/>
      <c r="T6" s="30" t="s">
        <v>23</v>
      </c>
      <c r="U6" s="31" t="str">
        <f>J6</f>
        <v>m3</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3930</v>
      </c>
      <c r="L9" s="22"/>
      <c r="M9" s="771" t="s">
        <v>30</v>
      </c>
      <c r="N9" s="771"/>
      <c r="O9" s="771"/>
      <c r="P9" s="771"/>
      <c r="Q9" s="771"/>
      <c r="R9" s="206"/>
      <c r="S9" s="181"/>
      <c r="T9" s="208">
        <v>0.05</v>
      </c>
      <c r="U9" s="181">
        <f>ROUND(T9*U41,0)</f>
        <v>983</v>
      </c>
    </row>
    <row r="10" spans="1:21" ht="34.950000000000003" customHeight="1" x14ac:dyDescent="0.25">
      <c r="A10" s="22"/>
      <c r="B10" s="764" t="s">
        <v>110</v>
      </c>
      <c r="C10" s="764"/>
      <c r="D10" s="764"/>
      <c r="E10" s="764"/>
      <c r="F10" s="764"/>
      <c r="G10" s="31" t="str">
        <f>IF(B10="","",VLOOKUP(B10,EQUIPOS!$B$7:$F$46,3,FALSE))</f>
        <v>GASOLINA</v>
      </c>
      <c r="H10" s="24">
        <f>IF(B10="","",VLOOKUP(B10,EQUIPOS!$B$7:$F$46,5,FALSE))</f>
        <v>95840</v>
      </c>
      <c r="I10" s="34">
        <f>+I37</f>
        <v>4</v>
      </c>
      <c r="J10" s="24">
        <f>IF(B10="",0,ROUND(H10/I10,0))</f>
        <v>23960</v>
      </c>
      <c r="L10" s="22"/>
      <c r="M10" s="777" t="s">
        <v>110</v>
      </c>
      <c r="N10" s="777"/>
      <c r="O10" s="777"/>
      <c r="P10" s="777"/>
      <c r="Q10" s="777"/>
      <c r="R10" s="206" t="s">
        <v>108</v>
      </c>
      <c r="S10" s="212">
        <v>95840</v>
      </c>
      <c r="T10" s="180">
        <f>+T37</f>
        <v>12</v>
      </c>
      <c r="U10" s="181">
        <f>IF(M10="",0,ROUND(S10/T10,0))</f>
        <v>7987</v>
      </c>
    </row>
    <row r="11" spans="1:21" ht="15" customHeight="1" x14ac:dyDescent="0.25">
      <c r="A11" s="22"/>
      <c r="B11" s="764"/>
      <c r="C11" s="764"/>
      <c r="D11" s="764"/>
      <c r="E11" s="764"/>
      <c r="F11" s="764"/>
      <c r="G11" s="31" t="str">
        <f>IF(B11="","",VLOOKUP(B11,EQUIPOS!$B$7:$F$46,3,FALSE))</f>
        <v/>
      </c>
      <c r="H11" s="24" t="str">
        <f>IF(B11="","",VLOOKUP(B11,EQUIPOS!$B$7:$F$46,5,FALSE))</f>
        <v/>
      </c>
      <c r="I11" s="34"/>
      <c r="J11" s="24">
        <f t="shared" ref="J11:J13" si="0">IF(B11="",0,ROUND(H11/I11,0))</f>
        <v>0</v>
      </c>
      <c r="L11" s="22"/>
      <c r="M11" s="777"/>
      <c r="N11" s="777"/>
      <c r="O11" s="777"/>
      <c r="P11" s="777"/>
      <c r="Q11" s="777"/>
      <c r="R11" s="206" t="s">
        <v>501</v>
      </c>
      <c r="S11" s="181" t="s">
        <v>501</v>
      </c>
      <c r="T11" s="180"/>
      <c r="U11" s="181">
        <f t="shared" ref="U11:U13" si="1">IF(M11="",0,ROUND(S11/T11,0))</f>
        <v>0</v>
      </c>
    </row>
    <row r="12" spans="1:21" ht="15" customHeight="1" x14ac:dyDescent="0.25">
      <c r="A12" s="22"/>
      <c r="B12" s="764"/>
      <c r="C12" s="764"/>
      <c r="D12" s="764"/>
      <c r="E12" s="764"/>
      <c r="F12" s="764"/>
      <c r="G12" s="31" t="str">
        <f>IF(B12="","",VLOOKUP(B12,EQUIPOS!$B$7:$F$46,3,FALSE))</f>
        <v/>
      </c>
      <c r="H12" s="24" t="str">
        <f>IF(B12="","",VLOOKUP(B12,EQUIPOS!$B$7:$F$46,5,FALSE))</f>
        <v/>
      </c>
      <c r="I12" s="34"/>
      <c r="J12" s="24">
        <f t="shared" si="0"/>
        <v>0</v>
      </c>
      <c r="L12" s="22"/>
      <c r="M12" s="777"/>
      <c r="N12" s="777"/>
      <c r="O12" s="777"/>
      <c r="P12" s="777"/>
      <c r="Q12" s="777"/>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27890</v>
      </c>
      <c r="L15" s="22"/>
      <c r="M15" s="772" t="s">
        <v>31</v>
      </c>
      <c r="N15" s="772"/>
      <c r="O15" s="772"/>
      <c r="P15" s="772"/>
      <c r="Q15" s="772"/>
      <c r="R15" s="772"/>
      <c r="S15" s="772"/>
      <c r="T15" s="772"/>
      <c r="U15" s="181">
        <f>SUM(U9:U14)</f>
        <v>8970</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1"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1" ht="14.25" customHeight="1" x14ac:dyDescent="0.25">
      <c r="A19" s="22"/>
      <c r="B19" s="764" t="s">
        <v>149</v>
      </c>
      <c r="C19" s="764"/>
      <c r="D19" s="764"/>
      <c r="E19" s="764"/>
      <c r="F19" s="34">
        <v>1.3</v>
      </c>
      <c r="G19" s="31" t="str">
        <f>IF(F19=0,"",VLOOKUP(B19,'LISTADO DE MATERIALES'!$B$6:$D$311,2,FALSE))</f>
        <v>m3</v>
      </c>
      <c r="H19" s="107">
        <v>0.1</v>
      </c>
      <c r="I19" s="24">
        <f>IF(F19=0,"",VLOOKUP(B19,'LISTADO DE MATERIALES'!$B$6:$D$311,3,FALSE))</f>
        <v>75864.22</v>
      </c>
      <c r="J19" s="24">
        <f t="shared" ref="J19" si="2">IF(I19="",0,ROUND((+F19*I19*(1+H19)),0))</f>
        <v>108486</v>
      </c>
      <c r="L19" s="22"/>
      <c r="M19" s="778"/>
      <c r="N19" s="778"/>
      <c r="O19" s="778"/>
      <c r="P19" s="778"/>
      <c r="Q19" s="211"/>
      <c r="R19" s="214"/>
      <c r="S19" s="272"/>
      <c r="T19" s="212"/>
      <c r="U19" s="212"/>
    </row>
    <row r="20" spans="1:21" x14ac:dyDescent="0.25">
      <c r="A20" s="22"/>
      <c r="B20" s="764"/>
      <c r="C20" s="764"/>
      <c r="D20" s="764"/>
      <c r="E20" s="764"/>
      <c r="F20" s="34"/>
      <c r="G20" s="31" t="str">
        <f>IF(F20=0,"",VLOOKUP(B20,'LISTADO DE MATERIALES'!$B$6:$D$311,2,FALSE))</f>
        <v/>
      </c>
      <c r="H20" s="107"/>
      <c r="I20" s="24" t="str">
        <f>IF(F20=0,"",VLOOKUP(B20,'LISTADO DE MATERIALES'!$B$6:$D$311,3,FALSE))</f>
        <v/>
      </c>
      <c r="J20" s="24">
        <f t="shared" ref="J20:J24" si="3">IF(I20="",0,ROUND((+F20*I20*(1+H20)),0))</f>
        <v>0</v>
      </c>
      <c r="L20" s="22"/>
      <c r="M20" s="777" t="s">
        <v>149</v>
      </c>
      <c r="N20" s="777"/>
      <c r="O20" s="777"/>
      <c r="P20" s="777"/>
      <c r="Q20" s="211">
        <v>1.3</v>
      </c>
      <c r="R20" s="206" t="s">
        <v>261</v>
      </c>
      <c r="S20" s="209"/>
      <c r="T20" s="181">
        <v>75864.22</v>
      </c>
      <c r="U20" s="181">
        <f t="shared" ref="U20:U24" si="4">IF(T20="",0,ROUND((+Q20*T20*(1+S20)),0))</f>
        <v>98623</v>
      </c>
    </row>
    <row r="21" spans="1:21" ht="15" customHeight="1" x14ac:dyDescent="0.25">
      <c r="A21" s="22"/>
      <c r="B21" s="764"/>
      <c r="C21" s="764"/>
      <c r="D21" s="764"/>
      <c r="E21" s="764"/>
      <c r="F21" s="34"/>
      <c r="G21" s="31" t="str">
        <f>IF(F21=0,"",VLOOKUP(B21,'LISTADO DE MATERIALES'!$B$6:$D$311,2,FALSE))</f>
        <v/>
      </c>
      <c r="H21" s="107"/>
      <c r="I21" s="24" t="str">
        <f>IF(F21=0,"",VLOOKUP(B21,'LISTADO DE MATERIALES'!$B$6:$D$311,3,FALSE))</f>
        <v/>
      </c>
      <c r="J21" s="24">
        <f t="shared" si="3"/>
        <v>0</v>
      </c>
      <c r="L21" s="22"/>
      <c r="M21" s="777"/>
      <c r="N21" s="777"/>
      <c r="O21" s="777"/>
      <c r="P21" s="777"/>
      <c r="Q21" s="180"/>
      <c r="R21" s="206" t="s">
        <v>501</v>
      </c>
      <c r="S21" s="209"/>
      <c r="T21" s="181" t="s">
        <v>501</v>
      </c>
      <c r="U21" s="181">
        <f t="shared" si="4"/>
        <v>0</v>
      </c>
    </row>
    <row r="22" spans="1:21" ht="15" customHeight="1" x14ac:dyDescent="0.25">
      <c r="A22" s="22"/>
      <c r="B22" s="794"/>
      <c r="C22" s="795"/>
      <c r="D22" s="795"/>
      <c r="E22" s="796"/>
      <c r="F22" s="34"/>
      <c r="G22" s="31" t="str">
        <f>IF(F22=0,"",VLOOKUP(B22,'LISTADO DE MATERIALES'!$B$6:$D$311,2,FALSE))</f>
        <v/>
      </c>
      <c r="H22" s="107"/>
      <c r="I22" s="24" t="str">
        <f>IF(F22=0,"",VLOOKUP(B22,'LISTADO DE MATERIALES'!$B$6:$D$311,3,FALSE))</f>
        <v/>
      </c>
      <c r="J22" s="24">
        <f t="shared" si="3"/>
        <v>0</v>
      </c>
      <c r="L22" s="22"/>
      <c r="M22" s="791"/>
      <c r="N22" s="792"/>
      <c r="O22" s="792"/>
      <c r="P22" s="793"/>
      <c r="Q22" s="180"/>
      <c r="R22" s="206" t="s">
        <v>501</v>
      </c>
      <c r="S22" s="209"/>
      <c r="T22" s="181" t="s">
        <v>501</v>
      </c>
      <c r="U22" s="181">
        <f t="shared" si="4"/>
        <v>0</v>
      </c>
    </row>
    <row r="23" spans="1:21" ht="15" customHeight="1" x14ac:dyDescent="0.25">
      <c r="A23" s="22"/>
      <c r="B23" s="794"/>
      <c r="C23" s="795"/>
      <c r="D23" s="795"/>
      <c r="E23" s="796"/>
      <c r="F23" s="34"/>
      <c r="G23" s="31" t="str">
        <f>IF(F23=0,"",VLOOKUP(B23,'LISTADO DE MATERIALES'!$B$6:$D$311,2,FALSE))</f>
        <v/>
      </c>
      <c r="H23" s="107"/>
      <c r="I23" s="24" t="str">
        <f>IF(F23=0,"",VLOOKUP(B23,'LISTADO DE MATERIALES'!$B$6:$D$311,3,FALSE))</f>
        <v/>
      </c>
      <c r="J23" s="24">
        <f t="shared" si="3"/>
        <v>0</v>
      </c>
      <c r="L23" s="22"/>
      <c r="M23" s="791"/>
      <c r="N23" s="792"/>
      <c r="O23" s="792"/>
      <c r="P23" s="793"/>
      <c r="Q23" s="180"/>
      <c r="R23" s="206" t="s">
        <v>501</v>
      </c>
      <c r="S23" s="209"/>
      <c r="T23" s="181" t="s">
        <v>501</v>
      </c>
      <c r="U23" s="181">
        <f t="shared" si="4"/>
        <v>0</v>
      </c>
    </row>
    <row r="24" spans="1:21" ht="15" customHeight="1" x14ac:dyDescent="0.25">
      <c r="A24" s="22"/>
      <c r="B24" s="794"/>
      <c r="C24" s="795"/>
      <c r="D24" s="795"/>
      <c r="E24" s="796"/>
      <c r="F24" s="34"/>
      <c r="G24" s="31" t="str">
        <f>IF(F24=0,"",VLOOKUP(B24,'LISTADO DE MATERIALES'!$B$6:$D$311,2,FALSE))</f>
        <v/>
      </c>
      <c r="H24" s="107"/>
      <c r="I24" s="24" t="str">
        <f>IF(F24=0,"",VLOOKUP(B24,'LISTADO DE MATERIALES'!$B$6:$D$311,3,FALSE))</f>
        <v/>
      </c>
      <c r="J24" s="24">
        <f t="shared" si="3"/>
        <v>0</v>
      </c>
      <c r="L24" s="22"/>
      <c r="M24" s="791"/>
      <c r="N24" s="792"/>
      <c r="O24" s="792"/>
      <c r="P24" s="793"/>
      <c r="Q24" s="180"/>
      <c r="R24" s="206" t="s">
        <v>501</v>
      </c>
      <c r="S24" s="209"/>
      <c r="T24" s="181" t="s">
        <v>501</v>
      </c>
      <c r="U24" s="181">
        <f t="shared" si="4"/>
        <v>0</v>
      </c>
    </row>
    <row r="25" spans="1:21" ht="15" customHeight="1" x14ac:dyDescent="0.25">
      <c r="A25" s="22"/>
      <c r="B25" s="761" t="s">
        <v>37</v>
      </c>
      <c r="C25" s="761"/>
      <c r="D25" s="761"/>
      <c r="E25" s="761"/>
      <c r="F25" s="761"/>
      <c r="G25" s="761"/>
      <c r="H25" s="761"/>
      <c r="I25" s="761"/>
      <c r="J25" s="24">
        <f>SUM(J19:J24)</f>
        <v>108486</v>
      </c>
      <c r="L25" s="22"/>
      <c r="M25" s="772" t="s">
        <v>37</v>
      </c>
      <c r="N25" s="772"/>
      <c r="O25" s="772"/>
      <c r="P25" s="772"/>
      <c r="Q25" s="772"/>
      <c r="R25" s="772"/>
      <c r="S25" s="772"/>
      <c r="T25" s="772"/>
      <c r="U25" s="181">
        <f>SUM(U19:U24)</f>
        <v>98623</v>
      </c>
    </row>
    <row r="26" spans="1:21" ht="7.5" customHeight="1" x14ac:dyDescent="0.25">
      <c r="A26" s="22"/>
      <c r="B26" s="25"/>
      <c r="C26" s="25"/>
      <c r="D26" s="25"/>
      <c r="E26" s="25"/>
      <c r="F26" s="25"/>
      <c r="G26" s="25"/>
      <c r="H26" s="25"/>
      <c r="I26" s="25"/>
      <c r="J26" s="26"/>
      <c r="L26" s="22"/>
      <c r="M26" s="25"/>
      <c r="N26" s="25"/>
      <c r="O26" s="25"/>
      <c r="P26" s="25"/>
      <c r="Q26" s="25"/>
      <c r="R26" s="25"/>
      <c r="S26" s="25"/>
      <c r="T26" s="25"/>
      <c r="U26" s="26"/>
    </row>
    <row r="27" spans="1:21"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1"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1" ht="15" customHeight="1" x14ac:dyDescent="0.25">
      <c r="A29" s="22"/>
      <c r="B29" s="760" t="s">
        <v>352</v>
      </c>
      <c r="C29" s="760"/>
      <c r="D29" s="760"/>
      <c r="E29" s="760"/>
      <c r="F29" s="760"/>
      <c r="G29" s="34">
        <v>1.3</v>
      </c>
      <c r="H29" s="34">
        <f>+TRANSPORTE!B6</f>
        <v>70</v>
      </c>
      <c r="I29" s="319">
        <f>+TRANSPORTE!C6</f>
        <v>1241.46</v>
      </c>
      <c r="J29" s="24">
        <f>ROUND((I29*H29*G29),0)</f>
        <v>112973</v>
      </c>
      <c r="L29" s="22"/>
      <c r="M29" s="771" t="s">
        <v>352</v>
      </c>
      <c r="N29" s="771"/>
      <c r="O29" s="771"/>
      <c r="P29" s="771"/>
      <c r="Q29" s="771"/>
      <c r="R29" s="180">
        <v>1.3</v>
      </c>
      <c r="S29" s="180">
        <v>20</v>
      </c>
      <c r="T29" s="212">
        <v>1019.43</v>
      </c>
      <c r="U29" s="181">
        <f>ROUND((T29*S29*R29),0)</f>
        <v>26505</v>
      </c>
    </row>
    <row r="30" spans="1:21"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1"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1"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112973</v>
      </c>
      <c r="L33" s="22"/>
      <c r="M33" s="772" t="s">
        <v>40</v>
      </c>
      <c r="N33" s="772"/>
      <c r="O33" s="772"/>
      <c r="P33" s="772"/>
      <c r="Q33" s="772"/>
      <c r="R33" s="772"/>
      <c r="S33" s="772"/>
      <c r="T33" s="772"/>
      <c r="U33" s="181">
        <f>SUM(U29:U32)</f>
        <v>26505</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120</v>
      </c>
      <c r="C37" s="760"/>
      <c r="D37" s="760"/>
      <c r="E37" s="760"/>
      <c r="F37" s="760"/>
      <c r="G37" s="24">
        <f>IF(B37="","",VLOOKUP(B37,CUADRILLAS!$B$87:$C$101,2,FALSE))</f>
        <v>157213.73333333334</v>
      </c>
      <c r="H37" s="31">
        <v>1</v>
      </c>
      <c r="I37" s="34">
        <v>4</v>
      </c>
      <c r="J37" s="24">
        <f>ROUND(+IF(I37=0,0,G37*H37/I37),0)</f>
        <v>39303</v>
      </c>
      <c r="L37" s="22"/>
      <c r="M37" s="771" t="s">
        <v>120</v>
      </c>
      <c r="N37" s="771"/>
      <c r="O37" s="771"/>
      <c r="P37" s="771"/>
      <c r="Q37" s="771"/>
      <c r="R37" s="181">
        <v>157213.73333333334</v>
      </c>
      <c r="S37" s="206">
        <v>1</v>
      </c>
      <c r="T37" s="211">
        <v>12</v>
      </c>
      <c r="U37" s="181">
        <f>ROUND(+IF(T37=0,0,R37*S37/T37),0)</f>
        <v>13101</v>
      </c>
    </row>
    <row r="38" spans="1:21" ht="15" customHeight="1" x14ac:dyDescent="0.25">
      <c r="A38" s="22"/>
      <c r="B38" s="760" t="s">
        <v>121</v>
      </c>
      <c r="C38" s="760"/>
      <c r="D38" s="760"/>
      <c r="E38" s="760"/>
      <c r="F38" s="760"/>
      <c r="G38" s="24">
        <f>IF(B38="","",VLOOKUP(B38,CUADRILLAS!$B$87:$C$101,2,FALSE))</f>
        <v>78606.866666666669</v>
      </c>
      <c r="H38" s="31">
        <v>2</v>
      </c>
      <c r="I38" s="34">
        <f>+I37</f>
        <v>4</v>
      </c>
      <c r="J38" s="24">
        <f>ROUND(+IF(I38=0,0,G38*H38/I38),0)</f>
        <v>39303</v>
      </c>
      <c r="L38" s="22"/>
      <c r="M38" s="771" t="s">
        <v>121</v>
      </c>
      <c r="N38" s="771"/>
      <c r="O38" s="771"/>
      <c r="P38" s="771"/>
      <c r="Q38" s="771"/>
      <c r="R38" s="181">
        <v>78606.866666666669</v>
      </c>
      <c r="S38" s="206">
        <v>1</v>
      </c>
      <c r="T38" s="211">
        <f>+T37</f>
        <v>12</v>
      </c>
      <c r="U38" s="181">
        <f>ROUND(+IF(T38=0,0,R38*S38/T38),0)</f>
        <v>6551</v>
      </c>
    </row>
    <row r="39" spans="1:21" ht="15" customHeight="1" x14ac:dyDescent="0.25">
      <c r="A39" s="22"/>
      <c r="B39" s="760"/>
      <c r="C39" s="760"/>
      <c r="D39" s="760"/>
      <c r="E39" s="760"/>
      <c r="F39" s="760"/>
      <c r="G39" s="24" t="str">
        <f>IF(B39="","",VLOOKUP(B39,CUADRILLAS!$B$87:$C$101,2,FALSE))</f>
        <v/>
      </c>
      <c r="H39" s="31"/>
      <c r="I39" s="34"/>
      <c r="J39" s="24">
        <f t="shared" ref="J39:J40" si="5">+IF(I39=0,0,G39*H39/I39)</f>
        <v>0</v>
      </c>
      <c r="L39" s="22"/>
      <c r="M39" s="771"/>
      <c r="N39" s="771"/>
      <c r="O39" s="771"/>
      <c r="P39" s="771"/>
      <c r="Q39" s="771"/>
      <c r="R39" s="181" t="s">
        <v>501</v>
      </c>
      <c r="S39" s="206"/>
      <c r="T39" s="180"/>
      <c r="U39" s="181">
        <f t="shared" ref="U39:U40" si="6">+IF(T39=0,0,R39*S39/T39)</f>
        <v>0</v>
      </c>
    </row>
    <row r="40" spans="1:21" ht="15" customHeight="1" x14ac:dyDescent="0.25">
      <c r="A40" s="22"/>
      <c r="B40" s="760"/>
      <c r="C40" s="760"/>
      <c r="D40" s="760"/>
      <c r="E40" s="760"/>
      <c r="F40" s="760"/>
      <c r="G40" s="24" t="str">
        <f>IF(B40="","",VLOOKUP(B40,CUADRILLAS!$B$87:$C$101,2,FALSE))</f>
        <v/>
      </c>
      <c r="H40" s="31"/>
      <c r="I40" s="34"/>
      <c r="J40" s="24">
        <f t="shared" si="5"/>
        <v>0</v>
      </c>
      <c r="L40" s="22"/>
      <c r="M40" s="771"/>
      <c r="N40" s="771"/>
      <c r="O40" s="771"/>
      <c r="P40" s="771"/>
      <c r="Q40" s="771"/>
      <c r="R40" s="181" t="s">
        <v>501</v>
      </c>
      <c r="S40" s="206"/>
      <c r="T40" s="180"/>
      <c r="U40" s="181">
        <f t="shared" si="6"/>
        <v>0</v>
      </c>
    </row>
    <row r="41" spans="1:21" ht="15" customHeight="1" x14ac:dyDescent="0.25">
      <c r="A41" s="22"/>
      <c r="B41" s="761" t="s">
        <v>42</v>
      </c>
      <c r="C41" s="761"/>
      <c r="D41" s="761"/>
      <c r="E41" s="761"/>
      <c r="F41" s="761"/>
      <c r="G41" s="761"/>
      <c r="H41" s="761"/>
      <c r="I41" s="761"/>
      <c r="J41" s="24">
        <f>SUM(J37:J40)</f>
        <v>78606</v>
      </c>
      <c r="L41" s="22"/>
      <c r="M41" s="772" t="s">
        <v>42</v>
      </c>
      <c r="N41" s="772"/>
      <c r="O41" s="772"/>
      <c r="P41" s="772"/>
      <c r="Q41" s="772"/>
      <c r="R41" s="772"/>
      <c r="S41" s="772"/>
      <c r="T41" s="772"/>
      <c r="U41" s="181">
        <f>SUM(U37:U40)</f>
        <v>19652</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327955</v>
      </c>
      <c r="L43" s="27"/>
      <c r="M43" s="773" t="s">
        <v>43</v>
      </c>
      <c r="N43" s="773"/>
      <c r="O43" s="773"/>
      <c r="P43" s="773"/>
      <c r="Q43" s="773"/>
      <c r="R43" s="773"/>
      <c r="S43" s="773"/>
      <c r="T43" s="773"/>
      <c r="U43" s="210">
        <f>+U41+U33+U15+U25</f>
        <v>153750</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107" display="'PPTO HOJA'!A107" xr:uid="{00000000-0004-0000-2100-000000000000}"/>
    <hyperlink ref="N6" location="'PPTO HOJA'!A15" display="'PPTO HOJA'!A15" xr:uid="{00000000-0004-0000-2100-000001000000}"/>
  </hyperlinks>
  <pageMargins left="0.7" right="0.7" top="0.75" bottom="0.75" header="0.3" footer="0.3"/>
  <pageSetup paperSize="9" scale="35" orientation="portrait" r:id="rId1"/>
  <drawing r:id="rId2"/>
  <legacyDrawing r:id="rId3"/>
  <extLst>
    <ext xmlns:x14="http://schemas.microsoft.com/office/spreadsheetml/2009/9/main" uri="{CCE6A557-97BC-4b89-ADB6-D9C93CAAB3DF}">
      <x14:dataValidations xmlns:xm="http://schemas.microsoft.com/office/excel/2006/main" count="1">
        <x14:dataValidation type="list" showInputMessage="1" showErrorMessage="1" xr:uid="{00000000-0002-0000-2100-000000000000}">
          <x14:formula1>
            <xm:f>CUADRILLAS!$B$86:$B$101</xm:f>
          </x14:formula1>
          <xm:sqref>B37:F40</xm:sqref>
        </x14:dataValidation>
      </x14:dataValidations>
    </ext>
  </extLs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9" tint="0.59999389629810485"/>
  </sheetPr>
  <dimension ref="A1:U44"/>
  <sheetViews>
    <sheetView topLeftCell="C1"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7.5546875" style="20" bestFit="1" customWidth="1"/>
    <col min="11" max="11" width="6.6640625" style="20" customWidth="1"/>
    <col min="12" max="17" width="11.44140625" style="20"/>
    <col min="18" max="18" width="12.6640625" style="20" customWidth="1"/>
    <col min="19" max="19" width="11.44140625" style="20"/>
    <col min="20" max="20" width="13.5546875" style="20" bestFit="1" customWidth="1"/>
    <col min="21" max="21" width="17.5546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70.2"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366</v>
      </c>
      <c r="B6" s="29" t="s">
        <v>22</v>
      </c>
      <c r="C6" s="116">
        <f>+'PPTO HOJA'!A48</f>
        <v>5.0599999999999996</v>
      </c>
      <c r="D6" s="28"/>
      <c r="E6" s="764" t="str">
        <f>'PPTO HOJA'!B48</f>
        <v>Relleno con material triturado para cimentación</v>
      </c>
      <c r="F6" s="764"/>
      <c r="G6" s="764"/>
      <c r="H6" s="764"/>
      <c r="I6" s="30" t="s">
        <v>23</v>
      </c>
      <c r="J6" s="31" t="str">
        <f>'PPTO HOJA'!C39</f>
        <v>m3</v>
      </c>
      <c r="L6" s="30" t="str">
        <f>A6</f>
        <v>V</v>
      </c>
      <c r="M6" s="29" t="s">
        <v>22</v>
      </c>
      <c r="N6" s="238">
        <f>C6</f>
        <v>5.0599999999999996</v>
      </c>
      <c r="O6" s="28"/>
      <c r="P6" s="764" t="str">
        <f>E6</f>
        <v>Relleno con material triturado para cimentación</v>
      </c>
      <c r="Q6" s="764"/>
      <c r="R6" s="764"/>
      <c r="S6" s="764"/>
      <c r="T6" s="30" t="s">
        <v>23</v>
      </c>
      <c r="U6" s="31" t="str">
        <f>J6</f>
        <v>m3</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ht="26.4" customHeight="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1965</v>
      </c>
      <c r="L9" s="22"/>
      <c r="M9" s="771" t="s">
        <v>30</v>
      </c>
      <c r="N9" s="771"/>
      <c r="O9" s="771"/>
      <c r="P9" s="771"/>
      <c r="Q9" s="771"/>
      <c r="R9" s="206"/>
      <c r="S9" s="181"/>
      <c r="T9" s="208">
        <v>0.05</v>
      </c>
      <c r="U9" s="181">
        <f>ROUND(T9*U41,0)</f>
        <v>655</v>
      </c>
    </row>
    <row r="10" spans="1:21"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1965</v>
      </c>
      <c r="L15" s="22"/>
      <c r="M15" s="772" t="s">
        <v>31</v>
      </c>
      <c r="N15" s="772"/>
      <c r="O15" s="772"/>
      <c r="P15" s="772"/>
      <c r="Q15" s="772"/>
      <c r="R15" s="772"/>
      <c r="S15" s="772"/>
      <c r="T15" s="772"/>
      <c r="U15" s="181">
        <f>SUM(U9:U14)</f>
        <v>655</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1"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1" ht="14.25" customHeight="1" x14ac:dyDescent="0.25">
      <c r="A19" s="22"/>
      <c r="B19" s="764" t="s">
        <v>160</v>
      </c>
      <c r="C19" s="764"/>
      <c r="D19" s="764"/>
      <c r="E19" s="764"/>
      <c r="F19" s="34">
        <v>1.1000000000000001</v>
      </c>
      <c r="G19" s="31" t="str">
        <f>IF(F19=0,"",VLOOKUP(B19,'LISTADO DE MATERIALES'!$B$6:$D$311,2,FALSE))</f>
        <v>m3</v>
      </c>
      <c r="H19" s="107">
        <v>0.05</v>
      </c>
      <c r="I19" s="24">
        <f>IF(F19=0,"",VLOOKUP(B19,'LISTADO DE MATERIALES'!$B$6:$D$311,3,FALSE))</f>
        <v>144000</v>
      </c>
      <c r="J19" s="24">
        <f>IF(I19="",0,ROUND((+F19*I19*(1+H19)),0))</f>
        <v>166320</v>
      </c>
      <c r="L19" s="22"/>
      <c r="M19" s="777" t="s">
        <v>160</v>
      </c>
      <c r="N19" s="777"/>
      <c r="O19" s="777"/>
      <c r="P19" s="777"/>
      <c r="Q19" s="211">
        <v>1</v>
      </c>
      <c r="R19" s="206" t="s">
        <v>261</v>
      </c>
      <c r="S19" s="209">
        <v>0.05</v>
      </c>
      <c r="T19" s="181">
        <f>+I19</f>
        <v>144000</v>
      </c>
      <c r="U19" s="181">
        <f>IF(T19="",0,ROUND((+Q19*T19*(1+S19)),0))</f>
        <v>151200</v>
      </c>
    </row>
    <row r="20" spans="1:21" ht="15" customHeight="1" x14ac:dyDescent="0.25">
      <c r="A20" s="22"/>
      <c r="B20" s="760"/>
      <c r="C20" s="760"/>
      <c r="D20" s="760"/>
      <c r="E20" s="760"/>
      <c r="F20" s="34"/>
      <c r="G20" s="31" t="str">
        <f>IF(F20=0,"",VLOOKUP(B20,'LISTADO DE MATERIALES'!$B$6:$D$311,2,FALSE))</f>
        <v/>
      </c>
      <c r="H20" s="107"/>
      <c r="I20" s="24" t="str">
        <f>IF(F20=0,"",VLOOKUP(B20,'LISTADO DE MATERIALES'!$B$6:$D$311,3,FALSE))</f>
        <v/>
      </c>
      <c r="J20" s="24">
        <f t="shared" ref="J20:J24" si="2">IF(I20="",0,ROUND((+F20*I20*(1+H20)),0))</f>
        <v>0</v>
      </c>
      <c r="L20" s="22"/>
      <c r="M20" s="771"/>
      <c r="N20" s="771"/>
      <c r="O20" s="771"/>
      <c r="P20" s="771"/>
      <c r="Q20" s="180"/>
      <c r="R20" s="206" t="s">
        <v>501</v>
      </c>
      <c r="S20" s="209"/>
      <c r="T20" s="181" t="s">
        <v>501</v>
      </c>
      <c r="U20" s="181">
        <f t="shared" ref="U20:U24" si="3">IF(T20="",0,ROUND((+Q20*T20*(1+S20)),0))</f>
        <v>0</v>
      </c>
    </row>
    <row r="21" spans="1:21" ht="15" customHeight="1" x14ac:dyDescent="0.25">
      <c r="A21" s="22"/>
      <c r="B21" s="760"/>
      <c r="C21" s="760"/>
      <c r="D21" s="760"/>
      <c r="E21" s="760"/>
      <c r="F21" s="34"/>
      <c r="G21" s="31" t="str">
        <f>IF(F21=0,"",VLOOKUP(B21,'LISTADO DE MATERIALES'!$B$6:$D$311,2,FALSE))</f>
        <v/>
      </c>
      <c r="H21" s="107"/>
      <c r="I21" s="24" t="str">
        <f>IF(F21=0,"",VLOOKUP(B21,'LISTADO DE MATERIALES'!$B$6:$D$311,3,FALSE))</f>
        <v/>
      </c>
      <c r="J21" s="24">
        <f t="shared" si="2"/>
        <v>0</v>
      </c>
      <c r="L21" s="22"/>
      <c r="M21" s="771"/>
      <c r="N21" s="771"/>
      <c r="O21" s="771"/>
      <c r="P21" s="771"/>
      <c r="Q21" s="180"/>
      <c r="R21" s="206" t="s">
        <v>501</v>
      </c>
      <c r="S21" s="209"/>
      <c r="T21" s="181" t="s">
        <v>501</v>
      </c>
      <c r="U21" s="181">
        <f t="shared" si="3"/>
        <v>0</v>
      </c>
    </row>
    <row r="22" spans="1:21"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1"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1"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1" ht="15" customHeight="1" x14ac:dyDescent="0.25">
      <c r="A25" s="22"/>
      <c r="B25" s="761" t="s">
        <v>37</v>
      </c>
      <c r="C25" s="761"/>
      <c r="D25" s="761"/>
      <c r="E25" s="761"/>
      <c r="F25" s="761"/>
      <c r="G25" s="761"/>
      <c r="H25" s="761"/>
      <c r="I25" s="761"/>
      <c r="J25" s="24">
        <f>SUM(J19:J24)</f>
        <v>166320</v>
      </c>
      <c r="L25" s="22"/>
      <c r="M25" s="772" t="s">
        <v>37</v>
      </c>
      <c r="N25" s="772"/>
      <c r="O25" s="772"/>
      <c r="P25" s="772"/>
      <c r="Q25" s="772"/>
      <c r="R25" s="772"/>
      <c r="S25" s="772"/>
      <c r="T25" s="772"/>
      <c r="U25" s="181">
        <f>SUM(U19:U24)</f>
        <v>151200</v>
      </c>
    </row>
    <row r="26" spans="1:21" ht="7.5" customHeight="1" x14ac:dyDescent="0.25">
      <c r="A26" s="22"/>
      <c r="B26" s="25"/>
      <c r="C26" s="25"/>
      <c r="D26" s="25"/>
      <c r="E26" s="25"/>
      <c r="F26" s="25"/>
      <c r="G26" s="25"/>
      <c r="H26" s="25"/>
      <c r="I26" s="25"/>
      <c r="J26" s="26"/>
      <c r="L26" s="22"/>
      <c r="M26" s="25"/>
      <c r="N26" s="25"/>
      <c r="O26" s="25"/>
      <c r="P26" s="25"/>
      <c r="Q26" s="25"/>
      <c r="R26" s="25"/>
      <c r="S26" s="25"/>
      <c r="T26" s="25"/>
      <c r="U26" s="26"/>
    </row>
    <row r="27" spans="1:21"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1" ht="26.4" customHeight="1"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1" ht="15" customHeight="1" x14ac:dyDescent="0.25">
      <c r="A29" s="22"/>
      <c r="B29" s="760" t="s">
        <v>347</v>
      </c>
      <c r="C29" s="760"/>
      <c r="D29" s="760"/>
      <c r="E29" s="760"/>
      <c r="F29" s="760"/>
      <c r="G29" s="34">
        <f>+F19</f>
        <v>1.1000000000000001</v>
      </c>
      <c r="H29" s="34">
        <f>+TRANSPORTE!B6</f>
        <v>70</v>
      </c>
      <c r="I29" s="319">
        <f>+TRANSPORTE!C6</f>
        <v>1241.46</v>
      </c>
      <c r="J29" s="24">
        <f>ROUND((I29*H29*G29),0)</f>
        <v>95592</v>
      </c>
      <c r="L29" s="22"/>
      <c r="M29" s="771" t="s">
        <v>347</v>
      </c>
      <c r="N29" s="771"/>
      <c r="O29" s="771"/>
      <c r="P29" s="771"/>
      <c r="Q29" s="771"/>
      <c r="R29" s="180">
        <f>+Q19</f>
        <v>1</v>
      </c>
      <c r="S29" s="180">
        <v>32</v>
      </c>
      <c r="T29" s="212">
        <v>1200</v>
      </c>
      <c r="U29" s="181">
        <f>ROUND((T29*S29*R29),0)</f>
        <v>38400</v>
      </c>
    </row>
    <row r="30" spans="1:21"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1"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1"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95592</v>
      </c>
      <c r="L33" s="22"/>
      <c r="M33" s="772" t="s">
        <v>40</v>
      </c>
      <c r="N33" s="772"/>
      <c r="O33" s="772"/>
      <c r="P33" s="772"/>
      <c r="Q33" s="772"/>
      <c r="R33" s="772"/>
      <c r="S33" s="772"/>
      <c r="T33" s="772"/>
      <c r="U33" s="181">
        <f>SUM(U29:U32)</f>
        <v>38400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120</v>
      </c>
      <c r="C37" s="760"/>
      <c r="D37" s="760"/>
      <c r="E37" s="760"/>
      <c r="F37" s="760"/>
      <c r="G37" s="24">
        <f>IF(B37="","",VLOOKUP(B37,CUADRILLAS!$B$87:$C$101,2,FALSE))</f>
        <v>157213.73333333334</v>
      </c>
      <c r="H37" s="31">
        <v>1</v>
      </c>
      <c r="I37" s="34">
        <v>8</v>
      </c>
      <c r="J37" s="24">
        <f>ROUND(+IF(I37=0,0,G37*H37/I37),0)</f>
        <v>19652</v>
      </c>
      <c r="L37" s="22"/>
      <c r="M37" s="771" t="s">
        <v>120</v>
      </c>
      <c r="N37" s="771"/>
      <c r="O37" s="771"/>
      <c r="P37" s="771"/>
      <c r="Q37" s="771"/>
      <c r="R37" s="181">
        <v>157213.73333333334</v>
      </c>
      <c r="S37" s="206">
        <v>1</v>
      </c>
      <c r="T37" s="211">
        <v>18</v>
      </c>
      <c r="U37" s="181">
        <f>ROUND(+IF(T37=0,0,R37*S37/T37),0)</f>
        <v>8734</v>
      </c>
    </row>
    <row r="38" spans="1:21" ht="15" customHeight="1" x14ac:dyDescent="0.25">
      <c r="A38" s="22"/>
      <c r="B38" s="760" t="s">
        <v>121</v>
      </c>
      <c r="C38" s="760"/>
      <c r="D38" s="760"/>
      <c r="E38" s="760"/>
      <c r="F38" s="760"/>
      <c r="G38" s="24">
        <f>IF(B38="","",VLOOKUP(B38,CUADRILLAS!$B$87:$C$101,2,FALSE))</f>
        <v>78606.866666666669</v>
      </c>
      <c r="H38" s="31">
        <v>2</v>
      </c>
      <c r="I38" s="34">
        <f>+I37</f>
        <v>8</v>
      </c>
      <c r="J38" s="24">
        <f>ROUND(+IF(I38=0,0,G38*H38/I38),0)</f>
        <v>19652</v>
      </c>
      <c r="L38" s="22"/>
      <c r="M38" s="771" t="s">
        <v>121</v>
      </c>
      <c r="N38" s="771"/>
      <c r="O38" s="771"/>
      <c r="P38" s="771"/>
      <c r="Q38" s="771"/>
      <c r="R38" s="181">
        <v>78606.866666666669</v>
      </c>
      <c r="S38" s="206">
        <v>1</v>
      </c>
      <c r="T38" s="211">
        <v>18</v>
      </c>
      <c r="U38" s="181">
        <f>ROUND(+IF(T38=0,0,R38*S38/T38),0)</f>
        <v>4367</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39304</v>
      </c>
      <c r="L41" s="22"/>
      <c r="M41" s="772" t="s">
        <v>42</v>
      </c>
      <c r="N41" s="772"/>
      <c r="O41" s="772"/>
      <c r="P41" s="772"/>
      <c r="Q41" s="772"/>
      <c r="R41" s="772"/>
      <c r="S41" s="772"/>
      <c r="T41" s="772"/>
      <c r="U41" s="181">
        <f>SUM(U37:U40)</f>
        <v>13101</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303181</v>
      </c>
      <c r="L43" s="27"/>
      <c r="M43" s="773" t="s">
        <v>43</v>
      </c>
      <c r="N43" s="773"/>
      <c r="O43" s="773"/>
      <c r="P43" s="773"/>
      <c r="Q43" s="773"/>
      <c r="R43" s="773"/>
      <c r="S43" s="773"/>
      <c r="T43" s="773"/>
      <c r="U43" s="210">
        <f>+U41+U33+U15+U25</f>
        <v>203356</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98" display="'PPTO HOJA'!A98" xr:uid="{00000000-0004-0000-2200-000000000000}"/>
    <hyperlink ref="N6" location="'PPTO HOJA'!A15" display="'PPTO HOJA'!A15" xr:uid="{00000000-0004-0000-2200-000001000000}"/>
  </hyperlinks>
  <pageMargins left="0.7" right="0.7" top="0.75" bottom="0.75" header="0.3" footer="0.3"/>
  <pageSetup paperSize="9" scale="33" orientation="portrait" r:id="rId1"/>
  <drawing r:id="rId2"/>
  <legacyDrawing r:id="rId3"/>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2200-000000000000}">
          <x14:formula1>
            <xm:f>CUADRILLAS!$B$86:$B$101</xm:f>
          </x14:formula1>
          <xm:sqref>B37:F40</xm:sqref>
        </x14:dataValidation>
      </x14:dataValidations>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Hoja99">
    <tabColor theme="9" tint="0.59999389629810485"/>
  </sheetPr>
  <dimension ref="A1:U46"/>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6.33203125" style="20" customWidth="1"/>
    <col min="6" max="6" width="10.5546875" style="20" customWidth="1"/>
    <col min="7" max="7" width="15.88671875" style="20" customWidth="1"/>
    <col min="8" max="9" width="14.33203125" style="20" customWidth="1"/>
    <col min="10" max="10" width="19.33203125" style="20" bestFit="1" customWidth="1"/>
    <col min="11" max="11" width="4.6640625" style="20" customWidth="1"/>
    <col min="12" max="13" width="11.44140625" style="20"/>
    <col min="14" max="14" width="11.5546875" style="20" bestFit="1" customWidth="1"/>
    <col min="15" max="16" width="11.44140625" style="20"/>
    <col min="17" max="17" width="11.5546875" style="20" bestFit="1" customWidth="1"/>
    <col min="18" max="18" width="13.44140625" style="20" bestFit="1" customWidth="1"/>
    <col min="19" max="19" width="12.6640625" style="20" bestFit="1" customWidth="1"/>
    <col min="20" max="20" width="14.6640625" style="20" bestFit="1" customWidth="1"/>
    <col min="21" max="21" width="19.3320312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366</v>
      </c>
      <c r="B6" s="29" t="s">
        <v>22</v>
      </c>
      <c r="C6" s="154">
        <f>+'PPTO HOJA'!A49</f>
        <v>5.07</v>
      </c>
      <c r="D6" s="28"/>
      <c r="E6" s="764" t="str">
        <f>'PPTO HOJA'!B49</f>
        <v>Concreto de Resistencia 5000 PSI para cimentación</v>
      </c>
      <c r="F6" s="764"/>
      <c r="G6" s="764"/>
      <c r="H6" s="764"/>
      <c r="I6" s="30" t="s">
        <v>23</v>
      </c>
      <c r="J6" s="31" t="str">
        <f>'PPTO HOJA'!C49</f>
        <v>m3</v>
      </c>
      <c r="L6" s="30" t="s">
        <v>366</v>
      </c>
      <c r="M6" s="29" t="s">
        <v>22</v>
      </c>
      <c r="N6" s="154">
        <f>+'PPTO HOJA'!I49</f>
        <v>0</v>
      </c>
      <c r="O6" s="28"/>
      <c r="P6" s="764" t="str">
        <f>E6</f>
        <v>Concreto de Resistencia 5000 PSI para cimentación</v>
      </c>
      <c r="Q6" s="764"/>
      <c r="R6" s="764"/>
      <c r="S6" s="764"/>
      <c r="T6" s="30" t="s">
        <v>23</v>
      </c>
      <c r="U6" s="31" t="str">
        <f>J6</f>
        <v>m3</v>
      </c>
    </row>
    <row r="7" spans="1:21" ht="15" customHeight="1" x14ac:dyDescent="0.25">
      <c r="A7" s="22"/>
      <c r="B7" s="761" t="s">
        <v>24</v>
      </c>
      <c r="C7" s="761"/>
      <c r="D7" s="761"/>
      <c r="E7" s="761"/>
      <c r="F7" s="761"/>
      <c r="G7" s="761"/>
      <c r="H7" s="761"/>
      <c r="I7" s="761"/>
      <c r="J7" s="761"/>
      <c r="L7" s="22"/>
      <c r="M7" s="761" t="s">
        <v>24</v>
      </c>
      <c r="N7" s="761"/>
      <c r="O7" s="761"/>
      <c r="P7" s="761"/>
      <c r="Q7" s="761"/>
      <c r="R7" s="761"/>
      <c r="S7" s="761"/>
      <c r="T7" s="761"/>
      <c r="U7" s="761"/>
    </row>
    <row r="8" spans="1:21" ht="26.4" customHeight="1" x14ac:dyDescent="0.25">
      <c r="A8" s="22"/>
      <c r="B8" s="763" t="s">
        <v>25</v>
      </c>
      <c r="C8" s="763"/>
      <c r="D8" s="763"/>
      <c r="E8" s="763"/>
      <c r="F8" s="763"/>
      <c r="G8" s="31" t="s">
        <v>26</v>
      </c>
      <c r="H8" s="31" t="s">
        <v>27</v>
      </c>
      <c r="I8" s="31" t="s">
        <v>28</v>
      </c>
      <c r="J8" s="32" t="s">
        <v>29</v>
      </c>
      <c r="L8" s="22"/>
      <c r="M8" s="763" t="s">
        <v>25</v>
      </c>
      <c r="N8" s="763"/>
      <c r="O8" s="763"/>
      <c r="P8" s="763"/>
      <c r="Q8" s="763"/>
      <c r="R8" s="31" t="s">
        <v>26</v>
      </c>
      <c r="S8" s="31" t="s">
        <v>27</v>
      </c>
      <c r="T8" s="31" t="s">
        <v>28</v>
      </c>
      <c r="U8" s="32" t="s">
        <v>29</v>
      </c>
    </row>
    <row r="9" spans="1:21" ht="15" customHeight="1" x14ac:dyDescent="0.25">
      <c r="A9" s="22"/>
      <c r="B9" s="760" t="s">
        <v>30</v>
      </c>
      <c r="C9" s="760"/>
      <c r="D9" s="760"/>
      <c r="E9" s="760"/>
      <c r="F9" s="760"/>
      <c r="G9" s="31"/>
      <c r="H9" s="24"/>
      <c r="I9" s="33">
        <v>0.05</v>
      </c>
      <c r="J9" s="24">
        <f>ROUND(I9*J41,0)</f>
        <v>1310</v>
      </c>
      <c r="L9" s="22"/>
      <c r="M9" s="760" t="s">
        <v>30</v>
      </c>
      <c r="N9" s="760"/>
      <c r="O9" s="760"/>
      <c r="P9" s="760"/>
      <c r="Q9" s="760"/>
      <c r="R9" s="31"/>
      <c r="S9" s="24"/>
      <c r="T9" s="33">
        <v>0.05</v>
      </c>
      <c r="U9" s="24">
        <f>ROUND(T9*U41,0)</f>
        <v>1310</v>
      </c>
    </row>
    <row r="10" spans="1:21" ht="15" customHeight="1" x14ac:dyDescent="0.25">
      <c r="A10" s="22"/>
      <c r="B10" s="764"/>
      <c r="C10" s="764"/>
      <c r="D10" s="764"/>
      <c r="E10" s="764"/>
      <c r="F10" s="764"/>
      <c r="G10" s="31" t="str">
        <f>IF(B10="","",VLOOKUP(B10,EQUIPOS!$B$7:$F$46,3,FALSE))</f>
        <v/>
      </c>
      <c r="H10" s="24" t="str">
        <f>IF(B10="","",VLOOKUP(B10,EQUIPOS!$B$7:$F$46,5,FALSE))</f>
        <v/>
      </c>
      <c r="I10" s="34"/>
      <c r="J10" s="24">
        <f t="shared" ref="J10:J13" si="0">IF(B10="",0,ROUND(H10/I10,0))</f>
        <v>0</v>
      </c>
      <c r="L10" s="22"/>
      <c r="M10" s="776" t="s">
        <v>113</v>
      </c>
      <c r="N10" s="776"/>
      <c r="O10" s="776"/>
      <c r="P10" s="776"/>
      <c r="Q10" s="776"/>
      <c r="R10" s="269" t="str">
        <f>IF(M10="","",VLOOKUP(M10,EQUIPOS!$B$7:$F$46,3,FALSE))</f>
        <v>GASOLINA</v>
      </c>
      <c r="S10" s="271">
        <f>IF(M10="","",VLOOKUP(M10,EQUIPOS!$B$7:$F$46,5,FALSE))</f>
        <v>116000</v>
      </c>
      <c r="T10" s="241">
        <f>+T39</f>
        <v>6</v>
      </c>
      <c r="U10" s="271">
        <f t="shared" ref="U10:U13" si="1">IF(M10="",0,ROUND(S10/T10,0))</f>
        <v>19333</v>
      </c>
    </row>
    <row r="11" spans="1:21" ht="15" customHeight="1" x14ac:dyDescent="0.25">
      <c r="A11" s="22"/>
      <c r="B11" s="764"/>
      <c r="C11" s="764"/>
      <c r="D11" s="764"/>
      <c r="E11" s="764"/>
      <c r="F11" s="764"/>
      <c r="G11" s="31" t="str">
        <f>IF(B11="","",VLOOKUP(B11,EQUIPOS!$B$7:$F$46,3,FALSE))</f>
        <v/>
      </c>
      <c r="H11" s="24" t="str">
        <f>IF(B11="","",VLOOKUP(B11,EQUIPOS!$B$7:$F$46,5,FALSE))</f>
        <v/>
      </c>
      <c r="I11" s="34"/>
      <c r="J11" s="24">
        <f t="shared" si="0"/>
        <v>0</v>
      </c>
      <c r="L11" s="22"/>
      <c r="M11" s="764"/>
      <c r="N11" s="764"/>
      <c r="O11" s="764"/>
      <c r="P11" s="764"/>
      <c r="Q11" s="764"/>
      <c r="R11" s="31" t="str">
        <f>IF(M11="","",VLOOKUP(M11,EQUIPOS!$B$7:$F$46,3,FALSE))</f>
        <v/>
      </c>
      <c r="S11" s="24" t="str">
        <f>IF(M11="","",VLOOKUP(M11,EQUIPOS!$B$7:$F$46,5,FALSE))</f>
        <v/>
      </c>
      <c r="T11" s="34"/>
      <c r="U11" s="24">
        <f t="shared" si="1"/>
        <v>0</v>
      </c>
    </row>
    <row r="12" spans="1:21" ht="15" customHeight="1" x14ac:dyDescent="0.25">
      <c r="A12" s="22"/>
      <c r="B12" s="764"/>
      <c r="C12" s="764"/>
      <c r="D12" s="764"/>
      <c r="E12" s="764"/>
      <c r="F12" s="764"/>
      <c r="G12" s="31" t="str">
        <f>IF(B12="","",VLOOKUP(B12,EQUIPOS!$B$7:$F$46,3,FALSE))</f>
        <v/>
      </c>
      <c r="H12" s="24" t="str">
        <f>IF(B12="","",VLOOKUP(B12,EQUIPOS!$B$7:$F$46,5,FALSE))</f>
        <v/>
      </c>
      <c r="I12" s="34"/>
      <c r="J12" s="24">
        <f t="shared" si="0"/>
        <v>0</v>
      </c>
      <c r="L12" s="22"/>
      <c r="M12" s="764"/>
      <c r="N12" s="764"/>
      <c r="O12" s="764"/>
      <c r="P12" s="764"/>
      <c r="Q12" s="764"/>
      <c r="R12" s="31" t="str">
        <f>IF(M12="","",VLOOKUP(M12,EQUIPOS!$B$7:$F$46,3,FALSE))</f>
        <v/>
      </c>
      <c r="S12" s="24" t="str">
        <f>IF(M12="","",VLOOKUP(M12,EQUIPOS!$B$7:$F$46,5,FALSE))</f>
        <v/>
      </c>
      <c r="T12" s="34"/>
      <c r="U12" s="24">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60"/>
      <c r="N13" s="760"/>
      <c r="O13" s="760"/>
      <c r="P13" s="760"/>
      <c r="Q13" s="760"/>
      <c r="R13" s="31" t="str">
        <f>IF(M13="","",VLOOKUP(M13,EQUIPOS!$B$7:$F$46,3,FALSE))</f>
        <v/>
      </c>
      <c r="S13" s="24" t="str">
        <f>IF(M13="","",VLOOKUP(M13,EQUIPOS!$B$7:$F$46,5,FALSE))</f>
        <v/>
      </c>
      <c r="T13" s="34"/>
      <c r="U13" s="24">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60"/>
      <c r="N14" s="760"/>
      <c r="O14" s="760"/>
      <c r="P14" s="760"/>
      <c r="Q14" s="760"/>
      <c r="R14" s="31" t="str">
        <f>IF(M14="","",VLOOKUP(M14,EQUIPOS!$B$7:$F$46,3,FALSE))</f>
        <v/>
      </c>
      <c r="S14" s="24" t="str">
        <f>IF(M14="","",VLOOKUP(M14,EQUIPOS!$B$7:$F$46,5,FALSE))</f>
        <v/>
      </c>
      <c r="T14" s="34"/>
      <c r="U14" s="24"/>
    </row>
    <row r="15" spans="1:21" ht="15" customHeight="1" x14ac:dyDescent="0.25">
      <c r="A15" s="22"/>
      <c r="B15" s="761" t="s">
        <v>31</v>
      </c>
      <c r="C15" s="761"/>
      <c r="D15" s="761"/>
      <c r="E15" s="761"/>
      <c r="F15" s="761"/>
      <c r="G15" s="761"/>
      <c r="H15" s="761"/>
      <c r="I15" s="761"/>
      <c r="J15" s="24">
        <f>SUM(J9:J14)</f>
        <v>1310</v>
      </c>
      <c r="L15" s="22"/>
      <c r="M15" s="761" t="s">
        <v>31</v>
      </c>
      <c r="N15" s="761"/>
      <c r="O15" s="761"/>
      <c r="P15" s="761"/>
      <c r="Q15" s="761"/>
      <c r="R15" s="761"/>
      <c r="S15" s="761"/>
      <c r="T15" s="761"/>
      <c r="U15" s="24">
        <f>SUM(U9:U14)</f>
        <v>20643</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61" t="s">
        <v>32</v>
      </c>
      <c r="N17" s="761"/>
      <c r="O17" s="761"/>
      <c r="P17" s="761"/>
      <c r="Q17" s="761"/>
      <c r="R17" s="761"/>
      <c r="S17" s="761"/>
      <c r="T17" s="761"/>
      <c r="U17" s="761"/>
    </row>
    <row r="18" spans="1:21" ht="26.4" x14ac:dyDescent="0.25">
      <c r="A18" s="22"/>
      <c r="B18" s="763" t="s">
        <v>33</v>
      </c>
      <c r="C18" s="763"/>
      <c r="D18" s="763"/>
      <c r="E18" s="763"/>
      <c r="F18" s="28" t="s">
        <v>19</v>
      </c>
      <c r="G18" s="31" t="s">
        <v>34</v>
      </c>
      <c r="H18" s="32" t="s">
        <v>35</v>
      </c>
      <c r="I18" s="32" t="s">
        <v>36</v>
      </c>
      <c r="J18" s="32" t="s">
        <v>29</v>
      </c>
      <c r="L18" s="22"/>
      <c r="M18" s="763" t="s">
        <v>33</v>
      </c>
      <c r="N18" s="763"/>
      <c r="O18" s="763"/>
      <c r="P18" s="763"/>
      <c r="Q18" s="28" t="s">
        <v>19</v>
      </c>
      <c r="R18" s="31" t="s">
        <v>34</v>
      </c>
      <c r="S18" s="32" t="s">
        <v>35</v>
      </c>
      <c r="T18" s="32" t="s">
        <v>36</v>
      </c>
      <c r="U18" s="32" t="s">
        <v>29</v>
      </c>
    </row>
    <row r="19" spans="1:21" ht="14.25" customHeight="1" x14ac:dyDescent="0.25">
      <c r="A19" s="22"/>
      <c r="B19" s="794" t="str">
        <f>+'LISTADO DE MATERIALES'!B132</f>
        <v>Madera para Formaleta - Tabla Caracolí cepillada 0.30 m x 3.00 m</v>
      </c>
      <c r="C19" s="795"/>
      <c r="D19" s="795"/>
      <c r="E19" s="796"/>
      <c r="F19" s="34">
        <v>4</v>
      </c>
      <c r="G19" s="31" t="str">
        <f>IF(F19=0,"",VLOOKUP(B19,'LISTADO DE MATERIALES'!$B$6:$D$311,2,FALSE))</f>
        <v>und</v>
      </c>
      <c r="H19" s="107">
        <v>0.05</v>
      </c>
      <c r="I19" s="24">
        <f>IF(F19=0,"",VLOOKUP(B19,'LISTADO DE MATERIALES'!$B$6:$D$311,3,FALSE))</f>
        <v>25000</v>
      </c>
      <c r="J19" s="24">
        <f t="shared" ref="J19:J22" si="2">IF(I19="",0,ROUND((+F19*I19*(1+H19)),0))</f>
        <v>105000</v>
      </c>
      <c r="L19" s="22"/>
      <c r="M19" s="798" t="s">
        <v>147</v>
      </c>
      <c r="N19" s="799"/>
      <c r="O19" s="799"/>
      <c r="P19" s="800"/>
      <c r="Q19" s="241">
        <v>248.8</v>
      </c>
      <c r="R19" s="269" t="str">
        <f>IF(Q19=0,"",VLOOKUP(M19,'LISTADO DE MATERIALES'!$B$6:$D$311,2,FALSE))</f>
        <v>Lt</v>
      </c>
      <c r="S19" s="270"/>
      <c r="T19" s="271">
        <f>IF(Q19=0,"",VLOOKUP(M19,'LISTADO DE MATERIALES'!$B$6:$D$311,3,FALSE))</f>
        <v>105</v>
      </c>
      <c r="U19" s="271">
        <f>IF(T19="",0,ROUND((+Q19*T19*(1+S19)),0))</f>
        <v>26124</v>
      </c>
    </row>
    <row r="20" spans="1:21" ht="15" customHeight="1" x14ac:dyDescent="0.25">
      <c r="A20" s="22"/>
      <c r="B20" s="794" t="s">
        <v>354</v>
      </c>
      <c r="C20" s="795"/>
      <c r="D20" s="795"/>
      <c r="E20" s="796"/>
      <c r="F20" s="34">
        <v>3</v>
      </c>
      <c r="G20" s="31" t="str">
        <f>IF(F20=0,"",VLOOKUP(B20,'LISTADO DE MATERIALES'!$B$6:$D$311,2,FALSE))</f>
        <v>und</v>
      </c>
      <c r="H20" s="107">
        <v>0.05</v>
      </c>
      <c r="I20" s="24">
        <f>IF(F20=0,"",VLOOKUP(B20,'LISTADO DE MATERIALES'!$B$6:$D$311,3,FALSE))</f>
        <v>18000</v>
      </c>
      <c r="J20" s="24">
        <f t="shared" si="2"/>
        <v>56700</v>
      </c>
      <c r="L20" s="22"/>
      <c r="M20" s="776" t="s">
        <v>161</v>
      </c>
      <c r="N20" s="776"/>
      <c r="O20" s="776"/>
      <c r="P20" s="776"/>
      <c r="Q20" s="241">
        <v>0.67</v>
      </c>
      <c r="R20" s="269" t="str">
        <f>IF(Q20=0,"",VLOOKUP(M20,'LISTADO DE MATERIALES'!$B$6:$D$311,2,FALSE))</f>
        <v>m3</v>
      </c>
      <c r="S20" s="270"/>
      <c r="T20" s="271">
        <f>IF(Q20=0,"",VLOOKUP(M20,'LISTADO DE MATERIALES'!$B$6:$D$311,3,FALSE))</f>
        <v>89250</v>
      </c>
      <c r="U20" s="271">
        <f t="shared" ref="U20:U26" si="3">IF(T20="",0,ROUND((+Q20*T20*(1+S20)),0))</f>
        <v>59798</v>
      </c>
    </row>
    <row r="21" spans="1:21" x14ac:dyDescent="0.25">
      <c r="A21" s="22"/>
      <c r="B21" s="797" t="str">
        <f>+'APU BÁSICOS'!E6</f>
        <v>Concreto de Resistencia 5000 PSI para cimentación</v>
      </c>
      <c r="C21" s="786"/>
      <c r="D21" s="786"/>
      <c r="E21" s="787"/>
      <c r="F21" s="34">
        <v>1</v>
      </c>
      <c r="G21" s="31" t="s">
        <v>261</v>
      </c>
      <c r="H21" s="107">
        <v>0.1</v>
      </c>
      <c r="I21" s="24">
        <f>+'APU BÁSICOS'!J45</f>
        <v>1024596</v>
      </c>
      <c r="J21" s="24">
        <f t="shared" si="2"/>
        <v>1127056</v>
      </c>
      <c r="L21" s="22"/>
      <c r="M21" s="798" t="s">
        <v>160</v>
      </c>
      <c r="N21" s="799"/>
      <c r="O21" s="799"/>
      <c r="P21" s="800"/>
      <c r="Q21" s="241">
        <v>0.67</v>
      </c>
      <c r="R21" s="269" t="str">
        <f>IF(Q21=0,"",VLOOKUP(M21,'LISTADO DE MATERIALES'!$B$6:$D$311,2,FALSE))</f>
        <v>m3</v>
      </c>
      <c r="S21" s="270"/>
      <c r="T21" s="271">
        <f>IF(Q21=0,"",VLOOKUP(M21,'LISTADO DE MATERIALES'!$B$6:$D$311,3,FALSE))</f>
        <v>144000</v>
      </c>
      <c r="U21" s="271">
        <f t="shared" si="3"/>
        <v>96480</v>
      </c>
    </row>
    <row r="22" spans="1:21" ht="15" customHeight="1" x14ac:dyDescent="0.25">
      <c r="A22" s="22"/>
      <c r="B22" s="791"/>
      <c r="C22" s="792"/>
      <c r="D22" s="792"/>
      <c r="E22" s="793"/>
      <c r="F22" s="34"/>
      <c r="G22" s="31"/>
      <c r="H22" s="107"/>
      <c r="I22" s="24"/>
      <c r="J22" s="24">
        <f t="shared" si="2"/>
        <v>0</v>
      </c>
      <c r="L22" s="22"/>
      <c r="M22" s="798" t="s">
        <v>162</v>
      </c>
      <c r="N22" s="799"/>
      <c r="O22" s="799"/>
      <c r="P22" s="800"/>
      <c r="Q22" s="241">
        <v>625</v>
      </c>
      <c r="R22" s="269" t="str">
        <f>IF(Q22=0,"",VLOOKUP(M22,'LISTADO DE MATERIALES'!$B$6:$D$311,2,FALSE))</f>
        <v>Kg</v>
      </c>
      <c r="S22" s="270"/>
      <c r="T22" s="271">
        <f>IF(Q22=0,"",VLOOKUP(M22,'LISTADO DE MATERIALES'!$B$6:$D$311,3,FALSE))</f>
        <v>977.2</v>
      </c>
      <c r="U22" s="271">
        <f t="shared" si="3"/>
        <v>610750</v>
      </c>
    </row>
    <row r="23" spans="1:21" ht="24" customHeight="1" x14ac:dyDescent="0.25">
      <c r="A23" s="22"/>
      <c r="B23" s="794"/>
      <c r="C23" s="795"/>
      <c r="D23" s="795"/>
      <c r="E23" s="796"/>
      <c r="F23" s="34"/>
      <c r="G23" s="31"/>
      <c r="H23" s="107"/>
      <c r="I23" s="24"/>
      <c r="J23" s="24">
        <f t="shared" ref="J23:J24" si="4">IF(I23="",0,ROUND((+F23*I23*(1+H23)),0))</f>
        <v>0</v>
      </c>
      <c r="L23" s="22"/>
      <c r="M23" s="794" t="s">
        <v>508</v>
      </c>
      <c r="N23" s="795"/>
      <c r="O23" s="795"/>
      <c r="P23" s="796"/>
      <c r="Q23" s="34">
        <v>4</v>
      </c>
      <c r="R23" s="31" t="str">
        <f>IF(Q23=0,"",VLOOKUP(M23,'LISTADO DE MATERIALES'!$B$6:$D$311,2,FALSE))</f>
        <v>und</v>
      </c>
      <c r="S23" s="270"/>
      <c r="T23" s="24">
        <f>IF(Q23=0,"",VLOOKUP(M23,'LISTADO DE MATERIALES'!$B$6:$D$311,3,FALSE))</f>
        <v>25000</v>
      </c>
      <c r="U23" s="24">
        <f t="shared" si="3"/>
        <v>100000</v>
      </c>
    </row>
    <row r="24" spans="1:21" ht="15" customHeight="1" x14ac:dyDescent="0.25">
      <c r="A24" s="22"/>
      <c r="B24" s="794"/>
      <c r="C24" s="795"/>
      <c r="D24" s="795"/>
      <c r="E24" s="796"/>
      <c r="F24" s="34"/>
      <c r="G24" s="31"/>
      <c r="H24" s="107"/>
      <c r="I24" s="24"/>
      <c r="J24" s="24">
        <f t="shared" si="4"/>
        <v>0</v>
      </c>
      <c r="L24" s="22"/>
      <c r="M24" s="794" t="s">
        <v>354</v>
      </c>
      <c r="N24" s="795"/>
      <c r="O24" s="795"/>
      <c r="P24" s="796"/>
      <c r="Q24" s="34">
        <v>3</v>
      </c>
      <c r="R24" s="31" t="str">
        <f>IF(Q24=0,"",VLOOKUP(M24,'LISTADO DE MATERIALES'!$B$6:$D$311,2,FALSE))</f>
        <v>und</v>
      </c>
      <c r="S24" s="270"/>
      <c r="T24" s="24">
        <f>IF(Q24=0,"",VLOOKUP(M24,'LISTADO DE MATERIALES'!$B$6:$D$311,3,FALSE))</f>
        <v>18000</v>
      </c>
      <c r="U24" s="24">
        <f t="shared" si="3"/>
        <v>54000</v>
      </c>
    </row>
    <row r="25" spans="1:21" ht="15" customHeight="1" x14ac:dyDescent="0.25">
      <c r="A25" s="22"/>
      <c r="B25" s="794"/>
      <c r="C25" s="795"/>
      <c r="D25" s="795"/>
      <c r="E25" s="796"/>
      <c r="F25" s="34"/>
      <c r="G25" s="31" t="str">
        <f>IF(F25=0,"",VLOOKUP(B25,'LISTADO DE MATERIALES'!$B$6:$D$311,2,FALSE))</f>
        <v/>
      </c>
      <c r="H25" s="107"/>
      <c r="I25" s="24" t="str">
        <f>IF(F25=0,"",VLOOKUP(B25,'LISTADO DE MATERIALES'!$B$6:$D$311,3,FALSE))</f>
        <v/>
      </c>
      <c r="J25" s="24">
        <f t="shared" ref="J25:J26" si="5">IF(I25="",0,ROUND((+F25*I25*(1+H25)),0))</f>
        <v>0</v>
      </c>
      <c r="L25" s="22"/>
      <c r="M25" s="794" t="s">
        <v>494</v>
      </c>
      <c r="N25" s="795"/>
      <c r="O25" s="795"/>
      <c r="P25" s="796"/>
      <c r="Q25" s="34">
        <v>1</v>
      </c>
      <c r="R25" s="31" t="s">
        <v>9</v>
      </c>
      <c r="S25" s="107">
        <v>0.05</v>
      </c>
      <c r="T25" s="271"/>
      <c r="U25" s="24">
        <f t="shared" si="3"/>
        <v>0</v>
      </c>
    </row>
    <row r="26" spans="1:21" ht="15" customHeight="1" x14ac:dyDescent="0.25">
      <c r="A26" s="22"/>
      <c r="B26" s="794"/>
      <c r="C26" s="795"/>
      <c r="D26" s="795"/>
      <c r="E26" s="796"/>
      <c r="F26" s="34"/>
      <c r="G26" s="31" t="str">
        <f>IF(F26=0,"",VLOOKUP(B26,'LISTADO DE MATERIALES'!$B$6:$D$311,2,FALSE))</f>
        <v/>
      </c>
      <c r="H26" s="107"/>
      <c r="I26" s="24" t="str">
        <f>IF(F26=0,"",VLOOKUP(B26,'LISTADO DE MATERIALES'!$B$6:$D$311,3,FALSE))</f>
        <v/>
      </c>
      <c r="J26" s="24">
        <f t="shared" si="5"/>
        <v>0</v>
      </c>
      <c r="L26" s="22"/>
      <c r="M26" s="794"/>
      <c r="N26" s="795"/>
      <c r="O26" s="795"/>
      <c r="P26" s="796"/>
      <c r="Q26" s="34"/>
      <c r="R26" s="31" t="str">
        <f>IF(Q26=0,"",VLOOKUP(M26,'LISTADO DE MATERIALES'!$B$6:$D$311,2,FALSE))</f>
        <v/>
      </c>
      <c r="S26" s="107"/>
      <c r="T26" s="24" t="str">
        <f>IF(Q26=0,"",VLOOKUP(M26,'LISTADO DE MATERIALES'!$B$6:$D$311,3,FALSE))</f>
        <v/>
      </c>
      <c r="U26" s="24">
        <f t="shared" si="3"/>
        <v>0</v>
      </c>
    </row>
    <row r="27" spans="1:21" ht="15" customHeight="1" x14ac:dyDescent="0.25">
      <c r="A27" s="22"/>
      <c r="B27" s="761" t="s">
        <v>37</v>
      </c>
      <c r="C27" s="761"/>
      <c r="D27" s="761"/>
      <c r="E27" s="761"/>
      <c r="F27" s="761"/>
      <c r="G27" s="761"/>
      <c r="H27" s="761"/>
      <c r="I27" s="761"/>
      <c r="J27" s="24">
        <f>SUM(J19:J26)</f>
        <v>1288756</v>
      </c>
      <c r="L27" s="22"/>
      <c r="M27" s="761" t="s">
        <v>37</v>
      </c>
      <c r="N27" s="761"/>
      <c r="O27" s="761"/>
      <c r="P27" s="761"/>
      <c r="Q27" s="761"/>
      <c r="R27" s="761"/>
      <c r="S27" s="761"/>
      <c r="T27" s="761"/>
      <c r="U27" s="24">
        <f>SUM(U19:U26)</f>
        <v>947152</v>
      </c>
    </row>
    <row r="28" spans="1:21" ht="7.5" customHeight="1" x14ac:dyDescent="0.25">
      <c r="A28" s="22"/>
      <c r="B28" s="25"/>
      <c r="C28" s="25"/>
      <c r="D28" s="25"/>
      <c r="E28" s="25"/>
      <c r="F28" s="25"/>
      <c r="G28" s="25"/>
      <c r="H28" s="25"/>
      <c r="I28" s="25"/>
      <c r="J28" s="26"/>
      <c r="L28" s="22"/>
      <c r="M28" s="25"/>
      <c r="N28" s="25"/>
      <c r="O28" s="25"/>
      <c r="P28" s="25"/>
      <c r="Q28" s="25"/>
      <c r="R28" s="25"/>
      <c r="S28" s="25"/>
      <c r="T28" s="25"/>
      <c r="U28" s="26"/>
    </row>
    <row r="29" spans="1:21" ht="15" customHeight="1" x14ac:dyDescent="0.25">
      <c r="A29" s="22"/>
      <c r="B29" s="761" t="s">
        <v>38</v>
      </c>
      <c r="C29" s="761"/>
      <c r="D29" s="761"/>
      <c r="E29" s="761"/>
      <c r="F29" s="761"/>
      <c r="G29" s="761"/>
      <c r="H29" s="761"/>
      <c r="I29" s="761"/>
      <c r="J29" s="761"/>
      <c r="L29" s="22"/>
      <c r="M29" s="761" t="s">
        <v>38</v>
      </c>
      <c r="N29" s="761"/>
      <c r="O29" s="761"/>
      <c r="P29" s="761"/>
      <c r="Q29" s="761"/>
      <c r="R29" s="761"/>
      <c r="S29" s="761"/>
      <c r="T29" s="761"/>
      <c r="U29" s="761"/>
    </row>
    <row r="30" spans="1:21" ht="26.4" customHeight="1" x14ac:dyDescent="0.25">
      <c r="A30" s="22"/>
      <c r="B30" s="763" t="s">
        <v>33</v>
      </c>
      <c r="C30" s="763"/>
      <c r="D30" s="763"/>
      <c r="E30" s="763"/>
      <c r="F30" s="763"/>
      <c r="G30" s="31" t="s">
        <v>133</v>
      </c>
      <c r="H30" s="31" t="s">
        <v>132</v>
      </c>
      <c r="I30" s="31" t="s">
        <v>39</v>
      </c>
      <c r="J30" s="32" t="s">
        <v>29</v>
      </c>
      <c r="L30" s="22"/>
      <c r="M30" s="763" t="s">
        <v>33</v>
      </c>
      <c r="N30" s="763"/>
      <c r="O30" s="763"/>
      <c r="P30" s="763"/>
      <c r="Q30" s="763"/>
      <c r="R30" s="31" t="s">
        <v>133</v>
      </c>
      <c r="S30" s="31" t="s">
        <v>132</v>
      </c>
      <c r="T30" s="31" t="s">
        <v>39</v>
      </c>
      <c r="U30" s="32" t="s">
        <v>29</v>
      </c>
    </row>
    <row r="31" spans="1:21" ht="15" customHeight="1" x14ac:dyDescent="0.25">
      <c r="A31" s="22"/>
      <c r="B31" s="760"/>
      <c r="C31" s="760"/>
      <c r="D31" s="760"/>
      <c r="E31" s="760"/>
      <c r="F31" s="760"/>
      <c r="G31" s="34"/>
      <c r="H31" s="34"/>
      <c r="I31" s="24"/>
      <c r="J31" s="24">
        <f>ROUND((I31*H31*G31),0)</f>
        <v>0</v>
      </c>
      <c r="L31" s="22"/>
      <c r="M31" s="775" t="s">
        <v>262</v>
      </c>
      <c r="N31" s="775"/>
      <c r="O31" s="775"/>
      <c r="P31" s="775"/>
      <c r="Q31" s="775"/>
      <c r="R31" s="241">
        <f>SUM(Q20:Q21)</f>
        <v>1.34</v>
      </c>
      <c r="S31" s="241">
        <v>60</v>
      </c>
      <c r="T31" s="271">
        <v>1241.46</v>
      </c>
      <c r="U31" s="271">
        <f>ROUND((T31*S31*R31),0)</f>
        <v>99813</v>
      </c>
    </row>
    <row r="32" spans="1:21" ht="15" customHeight="1" x14ac:dyDescent="0.25">
      <c r="A32" s="22"/>
      <c r="B32" s="760"/>
      <c r="C32" s="760"/>
      <c r="D32" s="760"/>
      <c r="E32" s="760"/>
      <c r="F32" s="760"/>
      <c r="G32" s="31"/>
      <c r="H32" s="34"/>
      <c r="I32" s="24"/>
      <c r="J32" s="24">
        <v>0</v>
      </c>
      <c r="L32" s="22"/>
      <c r="M32" s="760"/>
      <c r="N32" s="760"/>
      <c r="O32" s="760"/>
      <c r="P32" s="760"/>
      <c r="Q32" s="760"/>
      <c r="R32" s="31"/>
      <c r="S32" s="34"/>
      <c r="T32" s="24"/>
      <c r="U32" s="24">
        <v>0</v>
      </c>
    </row>
    <row r="33" spans="1:21" ht="15" customHeight="1" x14ac:dyDescent="0.25">
      <c r="A33" s="22"/>
      <c r="B33" s="760"/>
      <c r="C33" s="760"/>
      <c r="D33" s="760"/>
      <c r="E33" s="760"/>
      <c r="F33" s="760"/>
      <c r="G33" s="31"/>
      <c r="H33" s="34"/>
      <c r="I33" s="24"/>
      <c r="J33" s="24">
        <v>0</v>
      </c>
      <c r="L33" s="22"/>
      <c r="M33" s="760"/>
      <c r="N33" s="760"/>
      <c r="O33" s="760"/>
      <c r="P33" s="760"/>
      <c r="Q33" s="760"/>
      <c r="R33" s="31"/>
      <c r="S33" s="34"/>
      <c r="T33" s="24"/>
      <c r="U33" s="24">
        <v>0</v>
      </c>
    </row>
    <row r="34" spans="1:21" ht="15" customHeight="1" x14ac:dyDescent="0.25">
      <c r="A34" s="22"/>
      <c r="B34" s="760"/>
      <c r="C34" s="760"/>
      <c r="D34" s="760"/>
      <c r="E34" s="760"/>
      <c r="F34" s="760"/>
      <c r="G34" s="31"/>
      <c r="H34" s="31"/>
      <c r="I34" s="24"/>
      <c r="J34" s="24">
        <v>0</v>
      </c>
      <c r="L34" s="22"/>
      <c r="M34" s="760"/>
      <c r="N34" s="760"/>
      <c r="O34" s="760"/>
      <c r="P34" s="760"/>
      <c r="Q34" s="760"/>
      <c r="R34" s="31"/>
      <c r="S34" s="31"/>
      <c r="T34" s="24"/>
      <c r="U34" s="24">
        <v>0</v>
      </c>
    </row>
    <row r="35" spans="1:21" ht="15" customHeight="1" x14ac:dyDescent="0.25">
      <c r="A35" s="22"/>
      <c r="B35" s="761" t="s">
        <v>40</v>
      </c>
      <c r="C35" s="761"/>
      <c r="D35" s="761"/>
      <c r="E35" s="761"/>
      <c r="F35" s="761"/>
      <c r="G35" s="761"/>
      <c r="H35" s="761"/>
      <c r="I35" s="761"/>
      <c r="J35" s="24">
        <f>SUM(J31:J34)</f>
        <v>0</v>
      </c>
      <c r="L35" s="22"/>
      <c r="M35" s="761" t="s">
        <v>40</v>
      </c>
      <c r="N35" s="761"/>
      <c r="O35" s="761"/>
      <c r="P35" s="761"/>
      <c r="Q35" s="761"/>
      <c r="R35" s="761"/>
      <c r="S35" s="761"/>
      <c r="T35" s="761"/>
      <c r="U35" s="24">
        <f>SUM(U31:U34)</f>
        <v>99813</v>
      </c>
    </row>
    <row r="36" spans="1:21" ht="7.5" customHeight="1" x14ac:dyDescent="0.25">
      <c r="A36" s="22"/>
      <c r="B36" s="25"/>
      <c r="C36" s="25"/>
      <c r="D36" s="25"/>
      <c r="E36" s="25"/>
      <c r="F36" s="25"/>
      <c r="G36" s="25"/>
      <c r="H36" s="25"/>
      <c r="I36" s="25"/>
      <c r="J36" s="26"/>
      <c r="L36" s="22"/>
      <c r="M36" s="25"/>
      <c r="N36" s="25"/>
      <c r="O36" s="25"/>
      <c r="P36" s="25"/>
      <c r="Q36" s="25"/>
      <c r="R36" s="25"/>
      <c r="S36" s="25"/>
      <c r="T36" s="25"/>
      <c r="U36" s="26"/>
    </row>
    <row r="37" spans="1:21" ht="15" customHeight="1" x14ac:dyDescent="0.25">
      <c r="A37" s="22"/>
      <c r="B37" s="761" t="s">
        <v>41</v>
      </c>
      <c r="C37" s="761"/>
      <c r="D37" s="761"/>
      <c r="E37" s="761"/>
      <c r="F37" s="761"/>
      <c r="G37" s="761"/>
      <c r="H37" s="761"/>
      <c r="I37" s="761"/>
      <c r="J37" s="761"/>
      <c r="L37" s="22"/>
      <c r="M37" s="761" t="s">
        <v>41</v>
      </c>
      <c r="N37" s="761"/>
      <c r="O37" s="761"/>
      <c r="P37" s="761"/>
      <c r="Q37" s="761"/>
      <c r="R37" s="761"/>
      <c r="S37" s="761"/>
      <c r="T37" s="761"/>
      <c r="U37" s="761"/>
    </row>
    <row r="38" spans="1:21" ht="39.6" x14ac:dyDescent="0.25">
      <c r="A38" s="22"/>
      <c r="B38" s="763" t="s">
        <v>4</v>
      </c>
      <c r="C38" s="763"/>
      <c r="D38" s="763"/>
      <c r="E38" s="763"/>
      <c r="F38" s="763"/>
      <c r="G38" s="32" t="s">
        <v>51</v>
      </c>
      <c r="H38" s="32" t="s">
        <v>19</v>
      </c>
      <c r="I38" s="32" t="s">
        <v>28</v>
      </c>
      <c r="J38" s="32" t="s">
        <v>29</v>
      </c>
      <c r="L38" s="22"/>
      <c r="M38" s="763" t="s">
        <v>4</v>
      </c>
      <c r="N38" s="763"/>
      <c r="O38" s="763"/>
      <c r="P38" s="763"/>
      <c r="Q38" s="763"/>
      <c r="R38" s="32" t="s">
        <v>51</v>
      </c>
      <c r="S38" s="32" t="s">
        <v>19</v>
      </c>
      <c r="T38" s="32" t="s">
        <v>28</v>
      </c>
      <c r="U38" s="32" t="s">
        <v>29</v>
      </c>
    </row>
    <row r="39" spans="1:21" ht="15" customHeight="1" x14ac:dyDescent="0.25">
      <c r="A39" s="22"/>
      <c r="B39" s="760" t="s">
        <v>68</v>
      </c>
      <c r="C39" s="760"/>
      <c r="D39" s="760"/>
      <c r="E39" s="760"/>
      <c r="F39" s="760"/>
      <c r="G39" s="24">
        <f>IF(B39="","",VLOOKUP(B39,CUADRILLAS!$B$87:$C$101,2,FALSE))</f>
        <v>235820.59999999998</v>
      </c>
      <c r="H39" s="31">
        <v>1</v>
      </c>
      <c r="I39" s="34">
        <v>6</v>
      </c>
      <c r="J39" s="24">
        <f>ROUND(+IF(I39=0,0,G39*H39/I39),0)</f>
        <v>39303</v>
      </c>
      <c r="L39" s="22"/>
      <c r="M39" s="760" t="s">
        <v>68</v>
      </c>
      <c r="N39" s="760"/>
      <c r="O39" s="760"/>
      <c r="P39" s="760"/>
      <c r="Q39" s="760"/>
      <c r="R39" s="24">
        <f>IF(M39="","",VLOOKUP(M39,CUADRILLAS!$B$87:$C$101,2,FALSE))</f>
        <v>235820.59999999998</v>
      </c>
      <c r="S39" s="31">
        <v>1</v>
      </c>
      <c r="T39" s="34">
        <v>6</v>
      </c>
      <c r="U39" s="24">
        <f>ROUND(+IF(T39=0,0,R39*S39/T39),0)</f>
        <v>39303</v>
      </c>
    </row>
    <row r="40" spans="1:21" ht="15" customHeight="1" x14ac:dyDescent="0.25">
      <c r="A40" s="22"/>
      <c r="B40" s="760" t="s">
        <v>120</v>
      </c>
      <c r="C40" s="760"/>
      <c r="D40" s="760"/>
      <c r="E40" s="760"/>
      <c r="F40" s="760"/>
      <c r="G40" s="24">
        <f>IF(B40="","",VLOOKUP(B40,CUADRILLAS!$B$87:$C$101,2,FALSE))</f>
        <v>157213.73333333334</v>
      </c>
      <c r="H40" s="31">
        <v>1</v>
      </c>
      <c r="I40" s="34">
        <f>+I39</f>
        <v>6</v>
      </c>
      <c r="J40" s="24">
        <f t="shared" ref="J40:J41" si="6">ROUND(+IF(I40=0,0,G40*H40/I40),0)</f>
        <v>26202</v>
      </c>
      <c r="L40" s="22"/>
      <c r="M40" s="760" t="s">
        <v>120</v>
      </c>
      <c r="N40" s="760"/>
      <c r="O40" s="760"/>
      <c r="P40" s="760"/>
      <c r="Q40" s="760"/>
      <c r="R40" s="24">
        <f>IF(M40="","",VLOOKUP(M40,CUADRILLAS!$B$87:$C$101,2,FALSE))</f>
        <v>157213.73333333334</v>
      </c>
      <c r="S40" s="31">
        <v>1</v>
      </c>
      <c r="T40" s="34">
        <f>+T39</f>
        <v>6</v>
      </c>
      <c r="U40" s="24">
        <f t="shared" ref="U40:U41" si="7">ROUND(+IF(T40=0,0,R40*S40/T40),0)</f>
        <v>26202</v>
      </c>
    </row>
    <row r="41" spans="1:21" ht="15" customHeight="1" x14ac:dyDescent="0.25">
      <c r="A41" s="22"/>
      <c r="B41" s="760" t="s">
        <v>121</v>
      </c>
      <c r="C41" s="760"/>
      <c r="D41" s="760"/>
      <c r="E41" s="760"/>
      <c r="F41" s="760"/>
      <c r="G41" s="24">
        <f>IF(B41="","",VLOOKUP(B41,CUADRILLAS!$B$87:$C$101,2,FALSE))</f>
        <v>78606.866666666669</v>
      </c>
      <c r="H41" s="31">
        <v>2</v>
      </c>
      <c r="I41" s="34">
        <f>+I40</f>
        <v>6</v>
      </c>
      <c r="J41" s="24">
        <f t="shared" si="6"/>
        <v>26202</v>
      </c>
      <c r="L41" s="22"/>
      <c r="M41" s="760" t="s">
        <v>121</v>
      </c>
      <c r="N41" s="760"/>
      <c r="O41" s="760"/>
      <c r="P41" s="760"/>
      <c r="Q41" s="760"/>
      <c r="R41" s="24">
        <f>IF(M41="","",VLOOKUP(M41,CUADRILLAS!$B$87:$C$101,2,FALSE))</f>
        <v>78606.866666666669</v>
      </c>
      <c r="S41" s="31">
        <v>2</v>
      </c>
      <c r="T41" s="34">
        <f>+T40</f>
        <v>6</v>
      </c>
      <c r="U41" s="24">
        <f t="shared" si="7"/>
        <v>26202</v>
      </c>
    </row>
    <row r="42" spans="1:21" ht="15" customHeight="1" x14ac:dyDescent="0.25">
      <c r="A42" s="22"/>
      <c r="B42" s="760"/>
      <c r="C42" s="760"/>
      <c r="D42" s="760"/>
      <c r="E42" s="760"/>
      <c r="F42" s="760"/>
      <c r="G42" s="24" t="str">
        <f>IF(B42="","",VLOOKUP(B42,CUADRILLAS!$B$87:$C$101,2,FALSE))</f>
        <v/>
      </c>
      <c r="H42" s="31"/>
      <c r="I42" s="34"/>
      <c r="J42" s="24">
        <f t="shared" ref="J42" si="8">+IF(I42=0,0,G42*H42/I42)</f>
        <v>0</v>
      </c>
      <c r="L42" s="22"/>
      <c r="M42" s="760"/>
      <c r="N42" s="760"/>
      <c r="O42" s="760"/>
      <c r="P42" s="760"/>
      <c r="Q42" s="760"/>
      <c r="R42" s="24" t="str">
        <f>IF(M42="","",VLOOKUP(M42,CUADRILLAS!$B$87:$C$101,2,FALSE))</f>
        <v/>
      </c>
      <c r="S42" s="31"/>
      <c r="T42" s="34"/>
      <c r="U42" s="24">
        <f t="shared" ref="U42" si="9">+IF(T42=0,0,R42*S42/T42)</f>
        <v>0</v>
      </c>
    </row>
    <row r="43" spans="1:21" ht="15" customHeight="1" x14ac:dyDescent="0.25">
      <c r="A43" s="22"/>
      <c r="B43" s="761" t="s">
        <v>42</v>
      </c>
      <c r="C43" s="761"/>
      <c r="D43" s="761"/>
      <c r="E43" s="761"/>
      <c r="F43" s="761"/>
      <c r="G43" s="761"/>
      <c r="H43" s="761"/>
      <c r="I43" s="761"/>
      <c r="J43" s="24">
        <f>SUM(J39:J42)</f>
        <v>91707</v>
      </c>
      <c r="L43" s="22"/>
      <c r="M43" s="761" t="s">
        <v>42</v>
      </c>
      <c r="N43" s="761"/>
      <c r="O43" s="761"/>
      <c r="P43" s="761"/>
      <c r="Q43" s="761"/>
      <c r="R43" s="761"/>
      <c r="S43" s="761"/>
      <c r="T43" s="761"/>
      <c r="U43" s="24">
        <f>SUM(U39:U42)</f>
        <v>91707</v>
      </c>
    </row>
    <row r="44" spans="1:21" ht="7.5" customHeight="1" x14ac:dyDescent="0.25">
      <c r="A44" s="22"/>
      <c r="B44" s="25"/>
      <c r="C44" s="25"/>
      <c r="D44" s="25"/>
      <c r="E44" s="25"/>
      <c r="F44" s="25"/>
      <c r="G44" s="25"/>
      <c r="H44" s="25"/>
      <c r="I44" s="25"/>
      <c r="J44" s="26"/>
      <c r="L44" s="22"/>
      <c r="M44" s="25"/>
      <c r="N44" s="25"/>
      <c r="O44" s="25"/>
      <c r="P44" s="25"/>
      <c r="Q44" s="25"/>
      <c r="R44" s="25"/>
      <c r="S44" s="25"/>
      <c r="T44" s="25"/>
      <c r="U44" s="26"/>
    </row>
    <row r="45" spans="1:21" ht="15.75" customHeight="1" x14ac:dyDescent="0.25">
      <c r="A45" s="27"/>
      <c r="B45" s="762" t="s">
        <v>43</v>
      </c>
      <c r="C45" s="762"/>
      <c r="D45" s="762"/>
      <c r="E45" s="762"/>
      <c r="F45" s="762"/>
      <c r="G45" s="762"/>
      <c r="H45" s="762"/>
      <c r="I45" s="762"/>
      <c r="J45" s="106">
        <f>+J43+J35+J15+J27</f>
        <v>1381773</v>
      </c>
      <c r="L45" s="27"/>
      <c r="M45" s="762" t="s">
        <v>43</v>
      </c>
      <c r="N45" s="762"/>
      <c r="O45" s="762"/>
      <c r="P45" s="762"/>
      <c r="Q45" s="762"/>
      <c r="R45" s="762"/>
      <c r="S45" s="762"/>
      <c r="T45" s="762"/>
      <c r="U45" s="106">
        <f>+U43+U35+U15+U27</f>
        <v>1159315</v>
      </c>
    </row>
    <row r="46" spans="1:21" x14ac:dyDescent="0.25">
      <c r="B46" s="21"/>
      <c r="C46" s="21"/>
      <c r="D46" s="21"/>
      <c r="E46" s="21"/>
      <c r="F46" s="21"/>
      <c r="G46" s="21"/>
      <c r="H46" s="21"/>
      <c r="I46" s="21"/>
      <c r="J46" s="21"/>
    </row>
  </sheetData>
  <mergeCells count="82">
    <mergeCell ref="M45:T45"/>
    <mergeCell ref="M39:Q39"/>
    <mergeCell ref="M40:Q40"/>
    <mergeCell ref="M43:T43"/>
    <mergeCell ref="M25:P25"/>
    <mergeCell ref="M26:P26"/>
    <mergeCell ref="M27:T27"/>
    <mergeCell ref="M29:U29"/>
    <mergeCell ref="M33:Q33"/>
    <mergeCell ref="M34:Q34"/>
    <mergeCell ref="M35:T35"/>
    <mergeCell ref="M37:U37"/>
    <mergeCell ref="M41:Q41"/>
    <mergeCell ref="M42:Q42"/>
    <mergeCell ref="M38:Q38"/>
    <mergeCell ref="M30:Q30"/>
    <mergeCell ref="M31:Q31"/>
    <mergeCell ref="M32:Q32"/>
    <mergeCell ref="M22:P22"/>
    <mergeCell ref="M23:P23"/>
    <mergeCell ref="M24:P24"/>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2:F42"/>
    <mergeCell ref="B43:I43"/>
    <mergeCell ref="B45:I45"/>
    <mergeCell ref="B35:I35"/>
    <mergeCell ref="B37:J37"/>
    <mergeCell ref="B38:F38"/>
    <mergeCell ref="B39:F39"/>
    <mergeCell ref="B40:F40"/>
    <mergeCell ref="B41:F41"/>
    <mergeCell ref="B34:F34"/>
    <mergeCell ref="B20:E20"/>
    <mergeCell ref="B21:E21"/>
    <mergeCell ref="B22:E22"/>
    <mergeCell ref="B25:E25"/>
    <mergeCell ref="B26:E26"/>
    <mergeCell ref="B27:I27"/>
    <mergeCell ref="B29:J29"/>
    <mergeCell ref="B30:F30"/>
    <mergeCell ref="B31:F31"/>
    <mergeCell ref="B32:F32"/>
    <mergeCell ref="B33:F33"/>
    <mergeCell ref="B23:E23"/>
    <mergeCell ref="B24:E24"/>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114" display="'PPTO HOJA'!A114" xr:uid="{00000000-0004-0000-2300-000000000000}"/>
    <hyperlink ref="N6" location="'PPTO HOJA'!A114" display="'PPTO HOJA'!A114" xr:uid="{00000000-0004-0000-23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2300-000000000000}">
          <x14:formula1>
            <xm:f>CUADRILLAS!$B$86:$B$101</xm:f>
          </x14:formula1>
          <xm:sqref>B39:F42 M39:Q42</xm:sqref>
        </x14:dataValidation>
      </x14:dataValidations>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Hoja100">
    <tabColor theme="9" tint="0.59999389629810485"/>
  </sheetPr>
  <dimension ref="A1:U43"/>
  <sheetViews>
    <sheetView topLeftCell="C1"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8" width="14.33203125" style="20" customWidth="1"/>
    <col min="9" max="9" width="14.6640625" style="20" bestFit="1" customWidth="1"/>
    <col min="10" max="10" width="18.6640625" style="20" bestFit="1" customWidth="1"/>
    <col min="11" max="11" width="2.109375" style="20" customWidth="1"/>
    <col min="12" max="13" width="11.44140625" style="20"/>
    <col min="14" max="14" width="11.5546875" style="20" bestFit="1" customWidth="1"/>
    <col min="15" max="16" width="11.44140625" style="20"/>
    <col min="17" max="17" width="11.5546875" style="20" bestFit="1" customWidth="1"/>
    <col min="18" max="18" width="13.44140625" style="20" bestFit="1" customWidth="1"/>
    <col min="19" max="19" width="12.6640625" style="20" bestFit="1" customWidth="1"/>
    <col min="20" max="20" width="14.6640625" style="20" bestFit="1" customWidth="1"/>
    <col min="21" max="21" width="18.664062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61.2"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366</v>
      </c>
      <c r="B6" s="29" t="s">
        <v>22</v>
      </c>
      <c r="C6" s="154">
        <f>+'PPTO HOJA'!A50</f>
        <v>5.08</v>
      </c>
      <c r="D6" s="28"/>
      <c r="E6" s="764" t="str">
        <f>'PPTO HOJA'!B50</f>
        <v>Concreto Ciclopeo de Resistencia de 3000 PSI para cimentación</v>
      </c>
      <c r="F6" s="764"/>
      <c r="G6" s="764"/>
      <c r="H6" s="764"/>
      <c r="I6" s="30" t="s">
        <v>23</v>
      </c>
      <c r="J6" s="31" t="str">
        <f>'PPTO HOJA'!C50</f>
        <v>m3</v>
      </c>
      <c r="L6" s="30" t="str">
        <f>A6</f>
        <v>V</v>
      </c>
      <c r="M6" s="29" t="s">
        <v>22</v>
      </c>
      <c r="N6" s="238">
        <f>C6</f>
        <v>5.08</v>
      </c>
      <c r="O6" s="28"/>
      <c r="P6" s="764" t="str">
        <f>E6</f>
        <v>Concreto Ciclopeo de Resistencia de 3000 PSI para cimentación</v>
      </c>
      <c r="Q6" s="764"/>
      <c r="R6" s="764"/>
      <c r="S6" s="764"/>
      <c r="T6" s="30" t="s">
        <v>23</v>
      </c>
      <c r="U6" s="31" t="str">
        <f>J6</f>
        <v>m3</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ROUND(I9*J40,0)</f>
        <v>4585</v>
      </c>
      <c r="L9" s="22"/>
      <c r="M9" s="771" t="s">
        <v>30</v>
      </c>
      <c r="N9" s="771"/>
      <c r="O9" s="771"/>
      <c r="P9" s="771"/>
      <c r="Q9" s="771"/>
      <c r="R9" s="206"/>
      <c r="S9" s="181"/>
      <c r="T9" s="208">
        <v>0.05</v>
      </c>
      <c r="U9" s="181">
        <f>ROUND(T9*U40,0)</f>
        <v>4585</v>
      </c>
    </row>
    <row r="10" spans="1:21" ht="24" customHeight="1" x14ac:dyDescent="0.25">
      <c r="A10" s="22"/>
      <c r="B10" s="764"/>
      <c r="C10" s="764"/>
      <c r="D10" s="764"/>
      <c r="E10" s="764"/>
      <c r="F10" s="764"/>
      <c r="G10" s="31"/>
      <c r="H10" s="24"/>
      <c r="I10" s="34"/>
      <c r="J10" s="24">
        <f t="shared" ref="J10:J13" si="0">IF(B10="",0,ROUND(H10/I10,0))</f>
        <v>0</v>
      </c>
      <c r="L10" s="22"/>
      <c r="M10" s="778" t="s">
        <v>113</v>
      </c>
      <c r="N10" s="778"/>
      <c r="O10" s="778"/>
      <c r="P10" s="778"/>
      <c r="Q10" s="778"/>
      <c r="R10" s="214" t="s">
        <v>108</v>
      </c>
      <c r="S10" s="212">
        <v>116000</v>
      </c>
      <c r="T10" s="211">
        <f>+T36</f>
        <v>6</v>
      </c>
      <c r="U10" s="212">
        <f t="shared" ref="U10:U13" si="1">IF(M10="",0,ROUND(S10/T10,0))</f>
        <v>19333</v>
      </c>
    </row>
    <row r="11" spans="1:21" ht="15" customHeight="1" x14ac:dyDescent="0.25">
      <c r="A11" s="22"/>
      <c r="B11" s="764"/>
      <c r="C11" s="764"/>
      <c r="D11" s="764"/>
      <c r="E11" s="764"/>
      <c r="F11" s="764"/>
      <c r="G11" s="31" t="str">
        <f>IF(B11="","",VLOOKUP(B11,EQUIPOS!$B$7:$F$46,3,FALSE))</f>
        <v/>
      </c>
      <c r="H11" s="24" t="str">
        <f>IF(B11="","",VLOOKUP(B11,EQUIPOS!$B$7:$F$46,5,FALSE))</f>
        <v/>
      </c>
      <c r="I11" s="34"/>
      <c r="J11" s="24">
        <f t="shared" si="0"/>
        <v>0</v>
      </c>
      <c r="L11" s="22"/>
      <c r="M11" s="777"/>
      <c r="N11" s="777"/>
      <c r="O11" s="777"/>
      <c r="P11" s="777"/>
      <c r="Q11" s="777"/>
      <c r="R11" s="206" t="s">
        <v>501</v>
      </c>
      <c r="S11" s="181" t="s">
        <v>501</v>
      </c>
      <c r="T11" s="180"/>
      <c r="U11" s="181">
        <f t="shared" si="1"/>
        <v>0</v>
      </c>
    </row>
    <row r="12" spans="1:21" ht="15" customHeight="1" x14ac:dyDescent="0.25">
      <c r="A12" s="22"/>
      <c r="B12" s="764"/>
      <c r="C12" s="764"/>
      <c r="D12" s="764"/>
      <c r="E12" s="764"/>
      <c r="F12" s="764"/>
      <c r="G12" s="31" t="str">
        <f>IF(B12="","",VLOOKUP(B12,EQUIPOS!$B$7:$F$46,3,FALSE))</f>
        <v/>
      </c>
      <c r="H12" s="24" t="str">
        <f>IF(B12="","",VLOOKUP(B12,EQUIPOS!$B$7:$F$46,5,FALSE))</f>
        <v/>
      </c>
      <c r="I12" s="34"/>
      <c r="J12" s="24">
        <f t="shared" si="0"/>
        <v>0</v>
      </c>
      <c r="L12" s="22"/>
      <c r="M12" s="777"/>
      <c r="N12" s="777"/>
      <c r="O12" s="777"/>
      <c r="P12" s="777"/>
      <c r="Q12" s="777"/>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4585</v>
      </c>
      <c r="L15" s="22"/>
      <c r="M15" s="772" t="s">
        <v>31</v>
      </c>
      <c r="N15" s="772"/>
      <c r="O15" s="772"/>
      <c r="P15" s="772"/>
      <c r="Q15" s="772"/>
      <c r="R15" s="772"/>
      <c r="S15" s="772"/>
      <c r="T15" s="772"/>
      <c r="U15" s="181">
        <f>SUM(U9:U14)</f>
        <v>23918</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1"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1" ht="16.5" customHeight="1" x14ac:dyDescent="0.25">
      <c r="A19" s="22"/>
      <c r="B19" s="764" t="str">
        <f>+'APU BÁSICOS'!E98</f>
        <v>Concreto Clase C 21 Mpa (3000 PSI)</v>
      </c>
      <c r="C19" s="764"/>
      <c r="D19" s="764"/>
      <c r="E19" s="764"/>
      <c r="F19" s="34">
        <v>0.7</v>
      </c>
      <c r="G19" s="31" t="s">
        <v>261</v>
      </c>
      <c r="H19" s="107">
        <v>0.1</v>
      </c>
      <c r="I19" s="24">
        <f>+'APU BÁSICOS'!J137</f>
        <v>879842</v>
      </c>
      <c r="J19" s="24">
        <f t="shared" ref="J19:J22" si="2">IF(I19="",0,ROUND((+F19*I19*(1+H19)),0))</f>
        <v>677478</v>
      </c>
      <c r="L19" s="22"/>
      <c r="M19" s="777" t="s">
        <v>294</v>
      </c>
      <c r="N19" s="777"/>
      <c r="O19" s="777"/>
      <c r="P19" s="777"/>
      <c r="Q19" s="180">
        <v>0.7</v>
      </c>
      <c r="R19" s="206" t="s">
        <v>261</v>
      </c>
      <c r="S19" s="209">
        <v>0.05</v>
      </c>
      <c r="T19" s="212">
        <v>964015</v>
      </c>
      <c r="U19" s="181">
        <f t="shared" ref="U19:U22" si="3">IF(T19="",0,ROUND((+Q19*T19*(1+S19)),0))</f>
        <v>708551</v>
      </c>
    </row>
    <row r="20" spans="1:21" ht="21.75" customHeight="1" x14ac:dyDescent="0.25">
      <c r="A20" s="22"/>
      <c r="B20" s="764" t="s">
        <v>265</v>
      </c>
      <c r="C20" s="764"/>
      <c r="D20" s="764"/>
      <c r="E20" s="764"/>
      <c r="F20" s="34">
        <v>0.3</v>
      </c>
      <c r="G20" s="31" t="str">
        <f>IF(F20=0,"",VLOOKUP(B20,'LISTADO DE MATERIALES'!$B$6:$D$311,2,FALSE))</f>
        <v>m3</v>
      </c>
      <c r="H20" s="107">
        <v>0.1</v>
      </c>
      <c r="I20" s="24">
        <f>IF(F20=0,"",VLOOKUP(B20,'LISTADO DE MATERIALES'!$B$6:$D$311,3,FALSE))</f>
        <v>182390</v>
      </c>
      <c r="J20" s="24">
        <f t="shared" si="2"/>
        <v>60189</v>
      </c>
      <c r="L20" s="22"/>
      <c r="M20" s="777" t="s">
        <v>265</v>
      </c>
      <c r="N20" s="777"/>
      <c r="O20" s="777"/>
      <c r="P20" s="777"/>
      <c r="Q20" s="180">
        <v>0.3</v>
      </c>
      <c r="R20" s="206" t="s">
        <v>261</v>
      </c>
      <c r="S20" s="209">
        <v>0.05</v>
      </c>
      <c r="T20" s="181">
        <v>182390</v>
      </c>
      <c r="U20" s="181">
        <f t="shared" si="3"/>
        <v>57453</v>
      </c>
    </row>
    <row r="21" spans="1:21" ht="24" customHeight="1" x14ac:dyDescent="0.25">
      <c r="A21" s="22"/>
      <c r="B21" s="794" t="str">
        <f>+'LISTADO DE MATERIALES'!B132</f>
        <v>Madera para Formaleta - Tabla Caracolí cepillada 0.30 m x 3.00 m</v>
      </c>
      <c r="C21" s="795"/>
      <c r="D21" s="795"/>
      <c r="E21" s="796"/>
      <c r="F21" s="34">
        <v>4</v>
      </c>
      <c r="G21" s="31" t="str">
        <f>IF(F21=0,"",VLOOKUP(B21,'LISTADO DE MATERIALES'!$B$6:$D$311,2,FALSE))</f>
        <v>und</v>
      </c>
      <c r="H21" s="107">
        <v>0.05</v>
      </c>
      <c r="I21" s="24">
        <f>IF(F21=0,"",VLOOKUP(B21,'LISTADO DE MATERIALES'!$B$6:$D$311,3,FALSE))</f>
        <v>25000</v>
      </c>
      <c r="J21" s="24">
        <f t="shared" si="2"/>
        <v>105000</v>
      </c>
      <c r="L21" s="22"/>
      <c r="M21" s="791" t="s">
        <v>508</v>
      </c>
      <c r="N21" s="792"/>
      <c r="O21" s="792"/>
      <c r="P21" s="793"/>
      <c r="Q21" s="180">
        <v>4</v>
      </c>
      <c r="R21" s="206" t="s">
        <v>9</v>
      </c>
      <c r="S21" s="272"/>
      <c r="T21" s="181">
        <v>25000</v>
      </c>
      <c r="U21" s="181">
        <f t="shared" si="3"/>
        <v>100000</v>
      </c>
    </row>
    <row r="22" spans="1:21" ht="15" customHeight="1" x14ac:dyDescent="0.25">
      <c r="A22" s="22"/>
      <c r="B22" s="794" t="s">
        <v>354</v>
      </c>
      <c r="C22" s="795"/>
      <c r="D22" s="795"/>
      <c r="E22" s="796"/>
      <c r="F22" s="34">
        <v>3</v>
      </c>
      <c r="G22" s="31" t="str">
        <f>IF(F22=0,"",VLOOKUP(B22,'LISTADO DE MATERIALES'!$B$6:$D$311,2,FALSE))</f>
        <v>und</v>
      </c>
      <c r="H22" s="107">
        <v>0.05</v>
      </c>
      <c r="I22" s="24">
        <f>IF(F22=0,"",VLOOKUP(B22,'LISTADO DE MATERIALES'!$B$6:$D$311,3,FALSE))</f>
        <v>18000</v>
      </c>
      <c r="J22" s="24">
        <f t="shared" si="2"/>
        <v>56700</v>
      </c>
      <c r="L22" s="22"/>
      <c r="M22" s="791" t="s">
        <v>354</v>
      </c>
      <c r="N22" s="792"/>
      <c r="O22" s="792"/>
      <c r="P22" s="793"/>
      <c r="Q22" s="180">
        <v>3</v>
      </c>
      <c r="R22" s="206" t="s">
        <v>9</v>
      </c>
      <c r="S22" s="272"/>
      <c r="T22" s="181">
        <v>18000</v>
      </c>
      <c r="U22" s="181">
        <f t="shared" si="3"/>
        <v>54000</v>
      </c>
    </row>
    <row r="23" spans="1:21" ht="15" customHeight="1" x14ac:dyDescent="0.25">
      <c r="A23" s="22"/>
      <c r="B23" s="794"/>
      <c r="C23" s="795"/>
      <c r="D23" s="795"/>
      <c r="E23" s="796"/>
      <c r="F23" s="34"/>
      <c r="G23" s="31"/>
      <c r="H23" s="107"/>
      <c r="I23" s="24"/>
      <c r="J23" s="24"/>
      <c r="L23" s="22"/>
      <c r="M23" s="791"/>
      <c r="N23" s="792"/>
      <c r="O23" s="792"/>
      <c r="P23" s="793"/>
      <c r="Q23" s="180"/>
      <c r="R23" s="206"/>
      <c r="S23" s="209"/>
      <c r="T23" s="181"/>
      <c r="U23" s="181"/>
    </row>
    <row r="24" spans="1:21" ht="15" customHeight="1" x14ac:dyDescent="0.25">
      <c r="A24" s="22"/>
      <c r="B24" s="761" t="s">
        <v>37</v>
      </c>
      <c r="C24" s="761"/>
      <c r="D24" s="761"/>
      <c r="E24" s="761"/>
      <c r="F24" s="761"/>
      <c r="G24" s="761"/>
      <c r="H24" s="761"/>
      <c r="I24" s="761"/>
      <c r="J24" s="24">
        <f>SUM(J19:J22)</f>
        <v>899367</v>
      </c>
      <c r="L24" s="22"/>
      <c r="M24" s="772" t="s">
        <v>37</v>
      </c>
      <c r="N24" s="772"/>
      <c r="O24" s="772"/>
      <c r="P24" s="772"/>
      <c r="Q24" s="772"/>
      <c r="R24" s="772"/>
      <c r="S24" s="772"/>
      <c r="T24" s="772"/>
      <c r="U24" s="181">
        <f>SUM(U19:U22)</f>
        <v>920004</v>
      </c>
    </row>
    <row r="25" spans="1:21" ht="7.5" customHeight="1" x14ac:dyDescent="0.25">
      <c r="A25" s="22"/>
      <c r="B25" s="25"/>
      <c r="C25" s="25"/>
      <c r="D25" s="25"/>
      <c r="E25" s="25"/>
      <c r="F25" s="25"/>
      <c r="G25" s="25"/>
      <c r="H25" s="25"/>
      <c r="I25" s="25"/>
      <c r="J25" s="26"/>
      <c r="L25" s="22"/>
      <c r="M25" s="25"/>
      <c r="N25" s="25"/>
      <c r="O25" s="25"/>
      <c r="P25" s="25"/>
      <c r="Q25" s="25"/>
      <c r="R25" s="25"/>
      <c r="S25" s="25"/>
      <c r="T25" s="25"/>
      <c r="U25" s="26"/>
    </row>
    <row r="26" spans="1:21" ht="15" customHeight="1" x14ac:dyDescent="0.25">
      <c r="A26" s="22"/>
      <c r="B26" s="761" t="s">
        <v>38</v>
      </c>
      <c r="C26" s="761"/>
      <c r="D26" s="761"/>
      <c r="E26" s="761"/>
      <c r="F26" s="761"/>
      <c r="G26" s="761"/>
      <c r="H26" s="761"/>
      <c r="I26" s="761"/>
      <c r="J26" s="761"/>
      <c r="L26" s="22"/>
      <c r="M26" s="772" t="s">
        <v>38</v>
      </c>
      <c r="N26" s="772"/>
      <c r="O26" s="772"/>
      <c r="P26" s="772"/>
      <c r="Q26" s="772"/>
      <c r="R26" s="772"/>
      <c r="S26" s="772"/>
      <c r="T26" s="772"/>
      <c r="U26" s="772"/>
    </row>
    <row r="27" spans="1:21" x14ac:dyDescent="0.25">
      <c r="A27" s="22"/>
      <c r="B27" s="763" t="s">
        <v>33</v>
      </c>
      <c r="C27" s="763"/>
      <c r="D27" s="763"/>
      <c r="E27" s="763"/>
      <c r="F27" s="763"/>
      <c r="G27" s="31" t="s">
        <v>133</v>
      </c>
      <c r="H27" s="31" t="s">
        <v>132</v>
      </c>
      <c r="I27" s="31" t="s">
        <v>39</v>
      </c>
      <c r="J27" s="32" t="s">
        <v>29</v>
      </c>
      <c r="L27" s="22"/>
      <c r="M27" s="774" t="s">
        <v>33</v>
      </c>
      <c r="N27" s="774"/>
      <c r="O27" s="774"/>
      <c r="P27" s="774"/>
      <c r="Q27" s="774"/>
      <c r="R27" s="206" t="s">
        <v>133</v>
      </c>
      <c r="S27" s="206" t="s">
        <v>132</v>
      </c>
      <c r="T27" s="206" t="s">
        <v>39</v>
      </c>
      <c r="U27" s="207" t="s">
        <v>29</v>
      </c>
    </row>
    <row r="28" spans="1:21" ht="15" customHeight="1" x14ac:dyDescent="0.25">
      <c r="A28" s="22"/>
      <c r="B28" s="760" t="s">
        <v>262</v>
      </c>
      <c r="C28" s="760"/>
      <c r="D28" s="760"/>
      <c r="E28" s="760"/>
      <c r="F28" s="760"/>
      <c r="G28" s="34">
        <f>SUM(F20)</f>
        <v>0.3</v>
      </c>
      <c r="H28" s="34">
        <f>+TRANSPORTE!B6</f>
        <v>70</v>
      </c>
      <c r="I28" s="319">
        <f>+TRANSPORTE!C6</f>
        <v>1241.46</v>
      </c>
      <c r="J28" s="24">
        <f>ROUND((I28*H28*G28),0)</f>
        <v>26071</v>
      </c>
      <c r="L28" s="22"/>
      <c r="M28" s="771" t="s">
        <v>262</v>
      </c>
      <c r="N28" s="771"/>
      <c r="O28" s="771"/>
      <c r="P28" s="771"/>
      <c r="Q28" s="771"/>
      <c r="R28" s="180">
        <f>SUM(Q20)</f>
        <v>0.3</v>
      </c>
      <c r="S28" s="180">
        <v>60</v>
      </c>
      <c r="T28" s="212">
        <v>1241.46</v>
      </c>
      <c r="U28" s="181">
        <f>ROUND((T28*S28*R28),0)</f>
        <v>22346</v>
      </c>
    </row>
    <row r="29" spans="1:21" ht="15" customHeight="1" x14ac:dyDescent="0.25">
      <c r="A29" s="22"/>
      <c r="B29" s="760"/>
      <c r="C29" s="760"/>
      <c r="D29" s="760"/>
      <c r="E29" s="760"/>
      <c r="F29" s="760"/>
      <c r="G29" s="31"/>
      <c r="H29" s="34"/>
      <c r="I29" s="24"/>
      <c r="J29" s="24">
        <v>0</v>
      </c>
      <c r="L29" s="22"/>
      <c r="M29" s="771"/>
      <c r="N29" s="771"/>
      <c r="O29" s="771"/>
      <c r="P29" s="771"/>
      <c r="Q29" s="771"/>
      <c r="R29" s="206"/>
      <c r="S29" s="180"/>
      <c r="T29" s="181"/>
      <c r="U29" s="181">
        <v>0</v>
      </c>
    </row>
    <row r="30" spans="1:21"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1" ht="15" customHeight="1" x14ac:dyDescent="0.25">
      <c r="A31" s="22"/>
      <c r="B31" s="760"/>
      <c r="C31" s="760"/>
      <c r="D31" s="760"/>
      <c r="E31" s="760"/>
      <c r="F31" s="760"/>
      <c r="G31" s="31"/>
      <c r="H31" s="31"/>
      <c r="I31" s="24"/>
      <c r="J31" s="24">
        <v>0</v>
      </c>
      <c r="L31" s="22"/>
      <c r="M31" s="771"/>
      <c r="N31" s="771"/>
      <c r="O31" s="771"/>
      <c r="P31" s="771"/>
      <c r="Q31" s="771"/>
      <c r="R31" s="206"/>
      <c r="S31" s="206"/>
      <c r="T31" s="181"/>
      <c r="U31" s="181">
        <v>0</v>
      </c>
    </row>
    <row r="32" spans="1:21" ht="15" customHeight="1" x14ac:dyDescent="0.25">
      <c r="A32" s="22"/>
      <c r="B32" s="761" t="s">
        <v>40</v>
      </c>
      <c r="C32" s="761"/>
      <c r="D32" s="761"/>
      <c r="E32" s="761"/>
      <c r="F32" s="761"/>
      <c r="G32" s="761"/>
      <c r="H32" s="761"/>
      <c r="I32" s="761"/>
      <c r="J32" s="24">
        <f>SUM(J28:J31)</f>
        <v>26071</v>
      </c>
      <c r="L32" s="22"/>
      <c r="M32" s="772" t="s">
        <v>40</v>
      </c>
      <c r="N32" s="772"/>
      <c r="O32" s="772"/>
      <c r="P32" s="772"/>
      <c r="Q32" s="772"/>
      <c r="R32" s="772"/>
      <c r="S32" s="772"/>
      <c r="T32" s="772"/>
      <c r="U32" s="181">
        <f>SUM(U28:U31)</f>
        <v>22346</v>
      </c>
    </row>
    <row r="33" spans="1:21" ht="7.5" customHeight="1" x14ac:dyDescent="0.25">
      <c r="A33" s="22"/>
      <c r="B33" s="25"/>
      <c r="C33" s="25"/>
      <c r="D33" s="25"/>
      <c r="E33" s="25"/>
      <c r="F33" s="25"/>
      <c r="G33" s="25"/>
      <c r="H33" s="25"/>
      <c r="I33" s="25"/>
      <c r="J33" s="26"/>
      <c r="L33" s="22"/>
      <c r="M33" s="25"/>
      <c r="N33" s="25"/>
      <c r="O33" s="25"/>
      <c r="P33" s="25"/>
      <c r="Q33" s="25"/>
      <c r="R33" s="25"/>
      <c r="S33" s="25"/>
      <c r="T33" s="25"/>
      <c r="U33" s="26"/>
    </row>
    <row r="34" spans="1:21" ht="15" customHeight="1" x14ac:dyDescent="0.25">
      <c r="A34" s="22"/>
      <c r="B34" s="761" t="s">
        <v>41</v>
      </c>
      <c r="C34" s="761"/>
      <c r="D34" s="761"/>
      <c r="E34" s="761"/>
      <c r="F34" s="761"/>
      <c r="G34" s="761"/>
      <c r="H34" s="761"/>
      <c r="I34" s="761"/>
      <c r="J34" s="761"/>
      <c r="L34" s="22"/>
      <c r="M34" s="772" t="s">
        <v>41</v>
      </c>
      <c r="N34" s="772"/>
      <c r="O34" s="772"/>
      <c r="P34" s="772"/>
      <c r="Q34" s="772"/>
      <c r="R34" s="772"/>
      <c r="S34" s="772"/>
      <c r="T34" s="772"/>
      <c r="U34" s="772"/>
    </row>
    <row r="35" spans="1:21" ht="39.6" x14ac:dyDescent="0.25">
      <c r="A35" s="22"/>
      <c r="B35" s="763" t="s">
        <v>4</v>
      </c>
      <c r="C35" s="763"/>
      <c r="D35" s="763"/>
      <c r="E35" s="763"/>
      <c r="F35" s="763"/>
      <c r="G35" s="32" t="s">
        <v>51</v>
      </c>
      <c r="H35" s="32" t="s">
        <v>19</v>
      </c>
      <c r="I35" s="32" t="s">
        <v>28</v>
      </c>
      <c r="J35" s="32" t="s">
        <v>29</v>
      </c>
      <c r="L35" s="22"/>
      <c r="M35" s="774" t="s">
        <v>4</v>
      </c>
      <c r="N35" s="774"/>
      <c r="O35" s="774"/>
      <c r="P35" s="774"/>
      <c r="Q35" s="774"/>
      <c r="R35" s="207" t="s">
        <v>51</v>
      </c>
      <c r="S35" s="207" t="s">
        <v>19</v>
      </c>
      <c r="T35" s="207" t="s">
        <v>28</v>
      </c>
      <c r="U35" s="207" t="s">
        <v>29</v>
      </c>
    </row>
    <row r="36" spans="1:21" ht="15" customHeight="1" x14ac:dyDescent="0.25">
      <c r="A36" s="22"/>
      <c r="B36" s="760" t="s">
        <v>68</v>
      </c>
      <c r="C36" s="760"/>
      <c r="D36" s="760"/>
      <c r="E36" s="760"/>
      <c r="F36" s="760"/>
      <c r="G36" s="24">
        <f>IF(B36="","",VLOOKUP(B36,CUADRILLAS!$B$87:$C$101,2,FALSE))</f>
        <v>235820.59999999998</v>
      </c>
      <c r="H36" s="31">
        <v>1</v>
      </c>
      <c r="I36" s="34">
        <v>6</v>
      </c>
      <c r="J36" s="24">
        <f>ROUND(+IF(I36=0,0,G36*H36/I36),0)</f>
        <v>39303</v>
      </c>
      <c r="L36" s="22"/>
      <c r="M36" s="771" t="s">
        <v>68</v>
      </c>
      <c r="N36" s="771"/>
      <c r="O36" s="771"/>
      <c r="P36" s="771"/>
      <c r="Q36" s="771"/>
      <c r="R36" s="181">
        <v>235820.59999999998</v>
      </c>
      <c r="S36" s="206">
        <v>1</v>
      </c>
      <c r="T36" s="180">
        <v>6</v>
      </c>
      <c r="U36" s="181">
        <f>ROUND(+IF(T36=0,0,R36*S36/T36),0)</f>
        <v>39303</v>
      </c>
    </row>
    <row r="37" spans="1:21" ht="15" customHeight="1" x14ac:dyDescent="0.25">
      <c r="A37" s="22"/>
      <c r="B37" s="760" t="s">
        <v>120</v>
      </c>
      <c r="C37" s="760"/>
      <c r="D37" s="760"/>
      <c r="E37" s="760"/>
      <c r="F37" s="760"/>
      <c r="G37" s="24">
        <f>IF(B37="","",VLOOKUP(B37,CUADRILLAS!$B$87:$C$101,2,FALSE))</f>
        <v>157213.73333333334</v>
      </c>
      <c r="H37" s="31">
        <v>1</v>
      </c>
      <c r="I37" s="34">
        <f>+I36</f>
        <v>6</v>
      </c>
      <c r="J37" s="24">
        <f>ROUND(+IF(I37=0,0,G37*H37/I37),0)</f>
        <v>26202</v>
      </c>
      <c r="L37" s="22"/>
      <c r="M37" s="771" t="s">
        <v>120</v>
      </c>
      <c r="N37" s="771"/>
      <c r="O37" s="771"/>
      <c r="P37" s="771"/>
      <c r="Q37" s="771"/>
      <c r="R37" s="181">
        <v>157213.73333333334</v>
      </c>
      <c r="S37" s="206">
        <v>1</v>
      </c>
      <c r="T37" s="180">
        <f>+T36</f>
        <v>6</v>
      </c>
      <c r="U37" s="181">
        <f>ROUND(+IF(T37=0,0,R37*S37/T37),0)</f>
        <v>26202</v>
      </c>
    </row>
    <row r="38" spans="1:21" ht="15" customHeight="1" x14ac:dyDescent="0.25">
      <c r="A38" s="22"/>
      <c r="B38" s="760" t="s">
        <v>121</v>
      </c>
      <c r="C38" s="760"/>
      <c r="D38" s="760"/>
      <c r="E38" s="760"/>
      <c r="F38" s="760"/>
      <c r="G38" s="24">
        <f>IF(B38="","",VLOOKUP(B38,CUADRILLAS!$B$87:$C$101,2,FALSE))</f>
        <v>78606.866666666669</v>
      </c>
      <c r="H38" s="31">
        <v>2</v>
      </c>
      <c r="I38" s="34">
        <f>+I37</f>
        <v>6</v>
      </c>
      <c r="J38" s="24">
        <f>ROUND(+IF(I38=0,0,G38*H38/I38),0)</f>
        <v>26202</v>
      </c>
      <c r="L38" s="22"/>
      <c r="M38" s="771" t="s">
        <v>121</v>
      </c>
      <c r="N38" s="771"/>
      <c r="O38" s="771"/>
      <c r="P38" s="771"/>
      <c r="Q38" s="771"/>
      <c r="R38" s="181">
        <v>78606.866666666669</v>
      </c>
      <c r="S38" s="214">
        <v>2</v>
      </c>
      <c r="T38" s="180">
        <f>+T37</f>
        <v>6</v>
      </c>
      <c r="U38" s="181">
        <f>ROUND(+IF(T38=0,0,R38*S38/T38),0)</f>
        <v>26202</v>
      </c>
    </row>
    <row r="39" spans="1:21" ht="15" customHeight="1" x14ac:dyDescent="0.25">
      <c r="A39" s="22"/>
      <c r="B39" s="760"/>
      <c r="C39" s="760"/>
      <c r="D39" s="760"/>
      <c r="E39" s="760"/>
      <c r="F39" s="760"/>
      <c r="G39" s="24" t="str">
        <f>IF(B39="","",VLOOKUP(B39,CUADRILLAS!$B$87:$C$101,2,FALSE))</f>
        <v/>
      </c>
      <c r="H39" s="31"/>
      <c r="I39" s="34"/>
      <c r="J39" s="24">
        <f t="shared" ref="J39" si="4">+IF(I39=0,0,G39*H39/I39)</f>
        <v>0</v>
      </c>
      <c r="L39" s="22"/>
      <c r="M39" s="771"/>
      <c r="N39" s="771"/>
      <c r="O39" s="771"/>
      <c r="P39" s="771"/>
      <c r="Q39" s="771"/>
      <c r="R39" s="181" t="s">
        <v>501</v>
      </c>
      <c r="S39" s="206"/>
      <c r="T39" s="180"/>
      <c r="U39" s="181">
        <f t="shared" ref="U39" si="5">+IF(T39=0,0,R39*S39/T39)</f>
        <v>0</v>
      </c>
    </row>
    <row r="40" spans="1:21" ht="15" customHeight="1" x14ac:dyDescent="0.25">
      <c r="A40" s="22"/>
      <c r="B40" s="761" t="s">
        <v>42</v>
      </c>
      <c r="C40" s="761"/>
      <c r="D40" s="761"/>
      <c r="E40" s="761"/>
      <c r="F40" s="761"/>
      <c r="G40" s="761"/>
      <c r="H40" s="761"/>
      <c r="I40" s="761"/>
      <c r="J40" s="24">
        <f>SUM(J36:J39)</f>
        <v>91707</v>
      </c>
      <c r="L40" s="22"/>
      <c r="M40" s="772" t="s">
        <v>42</v>
      </c>
      <c r="N40" s="772"/>
      <c r="O40" s="772"/>
      <c r="P40" s="772"/>
      <c r="Q40" s="772"/>
      <c r="R40" s="772"/>
      <c r="S40" s="772"/>
      <c r="T40" s="772"/>
      <c r="U40" s="181">
        <f>SUM(U36:U39)</f>
        <v>91707</v>
      </c>
    </row>
    <row r="41" spans="1:21" ht="7.5" customHeight="1" x14ac:dyDescent="0.25">
      <c r="A41" s="22"/>
      <c r="B41" s="25"/>
      <c r="C41" s="25"/>
      <c r="D41" s="25"/>
      <c r="E41" s="25"/>
      <c r="F41" s="25"/>
      <c r="G41" s="25"/>
      <c r="H41" s="25"/>
      <c r="I41" s="25"/>
      <c r="J41" s="26"/>
      <c r="L41" s="22"/>
      <c r="M41" s="25"/>
      <c r="N41" s="25"/>
      <c r="O41" s="25"/>
      <c r="P41" s="25"/>
      <c r="Q41" s="25"/>
      <c r="R41" s="25"/>
      <c r="S41" s="25"/>
      <c r="T41" s="25"/>
      <c r="U41" s="26"/>
    </row>
    <row r="42" spans="1:21" ht="15.75" customHeight="1" x14ac:dyDescent="0.25">
      <c r="A42" s="27"/>
      <c r="B42" s="762" t="s">
        <v>43</v>
      </c>
      <c r="C42" s="762"/>
      <c r="D42" s="762"/>
      <c r="E42" s="762"/>
      <c r="F42" s="762"/>
      <c r="G42" s="762"/>
      <c r="H42" s="762"/>
      <c r="I42" s="762"/>
      <c r="J42" s="106">
        <f>+J40+J32+J15+J24</f>
        <v>1021730</v>
      </c>
      <c r="L42" s="22"/>
      <c r="M42" s="762" t="s">
        <v>43</v>
      </c>
      <c r="N42" s="762"/>
      <c r="O42" s="762"/>
      <c r="P42" s="762"/>
      <c r="Q42" s="762"/>
      <c r="R42" s="762"/>
      <c r="S42" s="762"/>
      <c r="T42" s="762"/>
      <c r="U42" s="106">
        <f>+U40+U32+U15+U24</f>
        <v>1057975</v>
      </c>
    </row>
    <row r="43" spans="1:21" x14ac:dyDescent="0.25">
      <c r="B43" s="21"/>
      <c r="C43" s="21"/>
      <c r="D43" s="21"/>
      <c r="E43" s="21"/>
      <c r="F43" s="21"/>
      <c r="G43" s="21"/>
      <c r="H43" s="21"/>
      <c r="I43" s="21"/>
      <c r="J43" s="21"/>
      <c r="L43" s="27"/>
    </row>
  </sheetData>
  <mergeCells count="76">
    <mergeCell ref="M39:Q39"/>
    <mergeCell ref="M42:T42"/>
    <mergeCell ref="M24:T24"/>
    <mergeCell ref="M26:U26"/>
    <mergeCell ref="M27:Q27"/>
    <mergeCell ref="M32:T32"/>
    <mergeCell ref="M34:U34"/>
    <mergeCell ref="M35:Q35"/>
    <mergeCell ref="M40:T40"/>
    <mergeCell ref="M36:Q36"/>
    <mergeCell ref="M37:Q37"/>
    <mergeCell ref="M38:Q38"/>
    <mergeCell ref="M28:Q28"/>
    <mergeCell ref="M29:Q29"/>
    <mergeCell ref="M30:Q30"/>
    <mergeCell ref="M31:Q31"/>
    <mergeCell ref="M22:P22"/>
    <mergeCell ref="M23:P23"/>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39:F39"/>
    <mergeCell ref="B40:I40"/>
    <mergeCell ref="B42:I42"/>
    <mergeCell ref="B32:I32"/>
    <mergeCell ref="B34:J34"/>
    <mergeCell ref="B35:F35"/>
    <mergeCell ref="B36:F36"/>
    <mergeCell ref="B37:F37"/>
    <mergeCell ref="B38:F38"/>
    <mergeCell ref="B18:E18"/>
    <mergeCell ref="B31:F31"/>
    <mergeCell ref="B19:E19"/>
    <mergeCell ref="B20:E20"/>
    <mergeCell ref="B21:E21"/>
    <mergeCell ref="B22:E22"/>
    <mergeCell ref="B24:I24"/>
    <mergeCell ref="B26:J26"/>
    <mergeCell ref="B27:F27"/>
    <mergeCell ref="B28:F28"/>
    <mergeCell ref="B29:F29"/>
    <mergeCell ref="B30:F30"/>
    <mergeCell ref="B23:E23"/>
    <mergeCell ref="B12:F12"/>
    <mergeCell ref="B13:F13"/>
    <mergeCell ref="B14:F14"/>
    <mergeCell ref="B15:I15"/>
    <mergeCell ref="B17:J17"/>
    <mergeCell ref="B7:J7"/>
    <mergeCell ref="B8:F8"/>
    <mergeCell ref="B9:F9"/>
    <mergeCell ref="B10:F10"/>
    <mergeCell ref="B11:F11"/>
    <mergeCell ref="E6:H6"/>
    <mergeCell ref="A1:C4"/>
    <mergeCell ref="D1:J1"/>
    <mergeCell ref="D2:J2"/>
    <mergeCell ref="D3:J3"/>
    <mergeCell ref="D4:J4"/>
  </mergeCells>
  <hyperlinks>
    <hyperlink ref="C6" location="'PPTO HOJA'!A115" display="'PPTO HOJA'!A115" xr:uid="{00000000-0004-0000-2400-000000000000}"/>
    <hyperlink ref="N6" location="'PPTO HOJA'!A15" display="'PPTO HOJA'!A15" xr:uid="{00000000-0004-0000-24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2400-000000000000}">
          <x14:formula1>
            <xm:f>CUADRILLAS!$B$86:$B$101</xm:f>
          </x14:formula1>
          <xm:sqref>B36:F39</xm:sqref>
        </x14:dataValidation>
      </x14:dataValidation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Hoja83">
    <tabColor theme="9" tint="0.59999389629810485"/>
  </sheetPr>
  <dimension ref="A1:U46"/>
  <sheetViews>
    <sheetView topLeftCell="C1"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4.88671875" style="20" bestFit="1" customWidth="1"/>
    <col min="11" max="11" width="4" style="20" customWidth="1"/>
    <col min="12" max="17" width="11.44140625" style="20"/>
    <col min="18" max="18" width="13.44140625" style="20" bestFit="1" customWidth="1"/>
    <col min="19" max="19" width="11.44140625" style="20"/>
    <col min="20" max="20" width="13.5546875" style="20" bestFit="1" customWidth="1"/>
    <col min="21" max="21" width="14.88671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366</v>
      </c>
      <c r="B6" s="29" t="s">
        <v>22</v>
      </c>
      <c r="C6" s="116">
        <f>+'PPTO HOJA'!A51</f>
        <v>5.09</v>
      </c>
      <c r="D6" s="28"/>
      <c r="E6" s="764" t="str">
        <f>+'PPTO HOJA'!B51</f>
        <v>Acero de refuerzo fy 420 MPa</v>
      </c>
      <c r="F6" s="764"/>
      <c r="G6" s="764"/>
      <c r="H6" s="764"/>
      <c r="I6" s="30" t="s">
        <v>23</v>
      </c>
      <c r="J6" s="31" t="str">
        <f>+'PPTO HOJA'!C51</f>
        <v>kg</v>
      </c>
      <c r="L6" s="30" t="str">
        <f>A6</f>
        <v>V</v>
      </c>
      <c r="M6" s="29" t="s">
        <v>22</v>
      </c>
      <c r="N6" s="238">
        <f>C6</f>
        <v>5.09</v>
      </c>
      <c r="O6" s="28"/>
      <c r="P6" s="764" t="str">
        <f>E6</f>
        <v>Acero de refuerzo fy 420 MPa</v>
      </c>
      <c r="Q6" s="764"/>
      <c r="R6" s="764"/>
      <c r="S6" s="764"/>
      <c r="T6" s="30" t="s">
        <v>23</v>
      </c>
      <c r="U6" s="31" t="str">
        <f>J6</f>
        <v>kg</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ht="26.4"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ROUND(I9*J43,0)</f>
        <v>76</v>
      </c>
      <c r="L9" s="22"/>
      <c r="M9" s="771" t="s">
        <v>30</v>
      </c>
      <c r="N9" s="771"/>
      <c r="O9" s="771"/>
      <c r="P9" s="771"/>
      <c r="Q9" s="771"/>
      <c r="R9" s="206"/>
      <c r="S9" s="181"/>
      <c r="T9" s="208">
        <v>0.05</v>
      </c>
      <c r="U9" s="181">
        <f>ROUND(T9*U43,0)</f>
        <v>74</v>
      </c>
    </row>
    <row r="10" spans="1:21" ht="22.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5" si="0">IF(B11="",0,ROUND(H11/I11,0))</f>
        <v>0</v>
      </c>
      <c r="L11" s="22"/>
      <c r="M11" s="771"/>
      <c r="N11" s="771"/>
      <c r="O11" s="771"/>
      <c r="P11" s="771"/>
      <c r="Q11" s="771"/>
      <c r="R11" s="206" t="s">
        <v>501</v>
      </c>
      <c r="S11" s="181" t="s">
        <v>501</v>
      </c>
      <c r="T11" s="180"/>
      <c r="U11" s="181">
        <f t="shared" ref="U11:U15"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f t="shared" si="0"/>
        <v>0</v>
      </c>
      <c r="L14" s="22"/>
      <c r="M14" s="771"/>
      <c r="N14" s="771"/>
      <c r="O14" s="771"/>
      <c r="P14" s="771"/>
      <c r="Q14" s="771"/>
      <c r="R14" s="206" t="s">
        <v>501</v>
      </c>
      <c r="S14" s="181" t="s">
        <v>501</v>
      </c>
      <c r="T14" s="180"/>
      <c r="U14" s="181">
        <f t="shared" si="1"/>
        <v>0</v>
      </c>
    </row>
    <row r="15" spans="1:21" ht="15" customHeight="1" x14ac:dyDescent="0.25">
      <c r="A15" s="22"/>
      <c r="B15" s="760"/>
      <c r="C15" s="760"/>
      <c r="D15" s="760"/>
      <c r="E15" s="760"/>
      <c r="F15" s="760"/>
      <c r="G15" s="31" t="str">
        <f>IF(B15="","",VLOOKUP(B15,EQUIPOS!$B$7:$F$46,3,FALSE))</f>
        <v/>
      </c>
      <c r="H15" s="24" t="str">
        <f>IF(B15="","",VLOOKUP(B15,EQUIPOS!$B$7:$F$46,5,FALSE))</f>
        <v/>
      </c>
      <c r="I15" s="34"/>
      <c r="J15" s="24">
        <f t="shared" si="0"/>
        <v>0</v>
      </c>
      <c r="L15" s="22"/>
      <c r="M15" s="771"/>
      <c r="N15" s="771"/>
      <c r="O15" s="771"/>
      <c r="P15" s="771"/>
      <c r="Q15" s="771"/>
      <c r="R15" s="206" t="s">
        <v>501</v>
      </c>
      <c r="S15" s="181" t="s">
        <v>501</v>
      </c>
      <c r="T15" s="180"/>
      <c r="U15" s="181">
        <f t="shared" si="1"/>
        <v>0</v>
      </c>
    </row>
    <row r="16" spans="1:21" ht="15" customHeight="1" x14ac:dyDescent="0.25">
      <c r="A16" s="22"/>
      <c r="B16" s="760"/>
      <c r="C16" s="760"/>
      <c r="D16" s="760"/>
      <c r="E16" s="760"/>
      <c r="F16" s="760"/>
      <c r="G16" s="31" t="str">
        <f>IF(B16="","",VLOOKUP(B16,EQUIPOS!$B$7:$F$46,3,FALSE))</f>
        <v/>
      </c>
      <c r="H16" s="24" t="str">
        <f>IF(B16="","",VLOOKUP(B16,EQUIPOS!$B$7:$F$46,5,FALSE))</f>
        <v/>
      </c>
      <c r="I16" s="34"/>
      <c r="J16" s="24"/>
      <c r="L16" s="22"/>
      <c r="M16" s="771"/>
      <c r="N16" s="771"/>
      <c r="O16" s="771"/>
      <c r="P16" s="771"/>
      <c r="Q16" s="771"/>
      <c r="R16" s="206" t="s">
        <v>501</v>
      </c>
      <c r="S16" s="181" t="s">
        <v>501</v>
      </c>
      <c r="T16" s="180"/>
      <c r="U16" s="181"/>
    </row>
    <row r="17" spans="1:21" ht="15" customHeight="1" x14ac:dyDescent="0.25">
      <c r="A17" s="22"/>
      <c r="B17" s="761" t="s">
        <v>31</v>
      </c>
      <c r="C17" s="761"/>
      <c r="D17" s="761"/>
      <c r="E17" s="761"/>
      <c r="F17" s="761"/>
      <c r="G17" s="761"/>
      <c r="H17" s="761"/>
      <c r="I17" s="761"/>
      <c r="J17" s="24">
        <f>SUM(J9:J16)</f>
        <v>76</v>
      </c>
      <c r="L17" s="22"/>
      <c r="M17" s="772" t="s">
        <v>31</v>
      </c>
      <c r="N17" s="772"/>
      <c r="O17" s="772"/>
      <c r="P17" s="772"/>
      <c r="Q17" s="772"/>
      <c r="R17" s="772"/>
      <c r="S17" s="772"/>
      <c r="T17" s="772"/>
      <c r="U17" s="181">
        <f>SUM(U9:U16)</f>
        <v>74</v>
      </c>
    </row>
    <row r="18" spans="1:21" ht="7.5" customHeight="1" x14ac:dyDescent="0.25">
      <c r="A18" s="22"/>
      <c r="B18" s="25"/>
      <c r="C18" s="25"/>
      <c r="D18" s="25"/>
      <c r="E18" s="25"/>
      <c r="F18" s="25"/>
      <c r="G18" s="25"/>
      <c r="H18" s="25"/>
      <c r="I18" s="25"/>
      <c r="J18" s="26"/>
      <c r="L18" s="22"/>
      <c r="M18" s="25"/>
      <c r="N18" s="25"/>
      <c r="O18" s="25"/>
      <c r="P18" s="25"/>
      <c r="Q18" s="25"/>
      <c r="R18" s="25"/>
      <c r="S18" s="25"/>
      <c r="T18" s="25"/>
      <c r="U18" s="26"/>
    </row>
    <row r="19" spans="1:21" ht="15" customHeight="1" x14ac:dyDescent="0.25">
      <c r="A19" s="22"/>
      <c r="B19" s="761" t="s">
        <v>32</v>
      </c>
      <c r="C19" s="761"/>
      <c r="D19" s="761"/>
      <c r="E19" s="761"/>
      <c r="F19" s="761"/>
      <c r="G19" s="761"/>
      <c r="H19" s="761"/>
      <c r="I19" s="761"/>
      <c r="J19" s="761"/>
      <c r="L19" s="22"/>
      <c r="M19" s="772" t="s">
        <v>32</v>
      </c>
      <c r="N19" s="772"/>
      <c r="O19" s="772"/>
      <c r="P19" s="772"/>
      <c r="Q19" s="772"/>
      <c r="R19" s="772"/>
      <c r="S19" s="772"/>
      <c r="T19" s="772"/>
      <c r="U19" s="772"/>
    </row>
    <row r="20" spans="1:21" ht="26.4" x14ac:dyDescent="0.25">
      <c r="A20" s="22"/>
      <c r="B20" s="763" t="s">
        <v>33</v>
      </c>
      <c r="C20" s="763"/>
      <c r="D20" s="763"/>
      <c r="E20" s="763"/>
      <c r="F20" s="28" t="s">
        <v>19</v>
      </c>
      <c r="G20" s="31" t="s">
        <v>34</v>
      </c>
      <c r="H20" s="32" t="s">
        <v>35</v>
      </c>
      <c r="I20" s="32" t="s">
        <v>36</v>
      </c>
      <c r="J20" s="32" t="s">
        <v>29</v>
      </c>
      <c r="L20" s="22"/>
      <c r="M20" s="774" t="s">
        <v>33</v>
      </c>
      <c r="N20" s="774"/>
      <c r="O20" s="774"/>
      <c r="P20" s="774"/>
      <c r="Q20" s="205" t="s">
        <v>19</v>
      </c>
      <c r="R20" s="206" t="s">
        <v>34</v>
      </c>
      <c r="S20" s="207" t="s">
        <v>35</v>
      </c>
      <c r="T20" s="207" t="s">
        <v>36</v>
      </c>
      <c r="U20" s="207" t="s">
        <v>29</v>
      </c>
    </row>
    <row r="21" spans="1:21" ht="15.75" customHeight="1" x14ac:dyDescent="0.25">
      <c r="A21" s="22"/>
      <c r="B21" s="764" t="s">
        <v>250</v>
      </c>
      <c r="C21" s="764"/>
      <c r="D21" s="764"/>
      <c r="E21" s="764"/>
      <c r="F21" s="34">
        <v>1</v>
      </c>
      <c r="G21" s="31" t="str">
        <f>IF(F21=0,"",VLOOKUP(B21,'LISTADO DE MATERIALES'!$B$6:$D$311,2,FALSE))</f>
        <v>Kg</v>
      </c>
      <c r="H21" s="107">
        <v>0.05</v>
      </c>
      <c r="I21" s="24">
        <f>IF(F21=0,"",VLOOKUP(B21,'LISTADO DE MATERIALES'!$B$6:$D$311,3,FALSE))</f>
        <v>6225</v>
      </c>
      <c r="J21" s="24">
        <f>IF(I21="",0,ROUND((+F21*I21*(1+H21)),0))</f>
        <v>6536</v>
      </c>
      <c r="L21" s="22"/>
      <c r="M21" s="777" t="s">
        <v>250</v>
      </c>
      <c r="N21" s="777"/>
      <c r="O21" s="777"/>
      <c r="P21" s="777"/>
      <c r="Q21" s="180">
        <v>1</v>
      </c>
      <c r="R21" s="206" t="s">
        <v>49</v>
      </c>
      <c r="S21" s="209">
        <v>0.05</v>
      </c>
      <c r="T21" s="181">
        <v>6225</v>
      </c>
      <c r="U21" s="181">
        <f>IF(T21="",0,ROUND((+Q21*T21*(1+S21)),0))</f>
        <v>6536</v>
      </c>
    </row>
    <row r="22" spans="1:21" ht="15" customHeight="1" x14ac:dyDescent="0.25">
      <c r="A22" s="22"/>
      <c r="B22" s="764" t="s">
        <v>251</v>
      </c>
      <c r="C22" s="764"/>
      <c r="D22" s="764"/>
      <c r="E22" s="764"/>
      <c r="F22" s="34">
        <f>+F21*5%</f>
        <v>0.05</v>
      </c>
      <c r="G22" s="31" t="str">
        <f>IF(F22=0,"",VLOOKUP(B22,'LISTADO DE MATERIALES'!$B$6:$D$311,2,FALSE))</f>
        <v>Kg</v>
      </c>
      <c r="H22" s="107">
        <v>0.1</v>
      </c>
      <c r="I22" s="24">
        <f>IF(F22=0,"",VLOOKUP(B22,'LISTADO DE MATERIALES'!$B$6:$D$311,3,FALSE))</f>
        <v>12450</v>
      </c>
      <c r="J22" s="24">
        <f t="shared" ref="J22:J26" si="2">IF(I22="",0,ROUND((+F22*I22*(1+H22)),0))</f>
        <v>685</v>
      </c>
      <c r="K22" s="117"/>
      <c r="L22" s="22"/>
      <c r="M22" s="777" t="s">
        <v>251</v>
      </c>
      <c r="N22" s="777"/>
      <c r="O22" s="777"/>
      <c r="P22" s="777"/>
      <c r="Q22" s="180">
        <f>+Q21*4%</f>
        <v>0.04</v>
      </c>
      <c r="R22" s="206" t="s">
        <v>49</v>
      </c>
      <c r="S22" s="272"/>
      <c r="T22" s="181">
        <v>12450</v>
      </c>
      <c r="U22" s="181">
        <f t="shared" ref="U22:U26" si="3">IF(T22="",0,ROUND((+Q22*T22*(1+S22)),0))</f>
        <v>498</v>
      </c>
    </row>
    <row r="23" spans="1:21"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1"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1" ht="15" customHeight="1" x14ac:dyDescent="0.25">
      <c r="A25" s="22"/>
      <c r="B25" s="760"/>
      <c r="C25" s="760"/>
      <c r="D25" s="760"/>
      <c r="E25" s="760"/>
      <c r="F25" s="34"/>
      <c r="G25" s="31" t="str">
        <f>IF(F25=0,"",VLOOKUP(B25,'LISTADO DE MATERIALES'!$B$6:$D$311,2,FALSE))</f>
        <v/>
      </c>
      <c r="H25" s="107"/>
      <c r="I25" s="24" t="str">
        <f>IF(F25=0,"",VLOOKUP(B25,'LISTADO DE MATERIALES'!$B$6:$D$311,3,FALSE))</f>
        <v/>
      </c>
      <c r="J25" s="24">
        <f t="shared" si="2"/>
        <v>0</v>
      </c>
      <c r="L25" s="22"/>
      <c r="M25" s="771"/>
      <c r="N25" s="771"/>
      <c r="O25" s="771"/>
      <c r="P25" s="771"/>
      <c r="Q25" s="180"/>
      <c r="R25" s="206" t="s">
        <v>501</v>
      </c>
      <c r="S25" s="209"/>
      <c r="T25" s="181" t="s">
        <v>501</v>
      </c>
      <c r="U25" s="181">
        <f t="shared" si="3"/>
        <v>0</v>
      </c>
    </row>
    <row r="26" spans="1:21" ht="15" customHeight="1" x14ac:dyDescent="0.25">
      <c r="A26" s="22"/>
      <c r="B26" s="760"/>
      <c r="C26" s="760"/>
      <c r="D26" s="760"/>
      <c r="E26" s="760"/>
      <c r="F26" s="34"/>
      <c r="G26" s="31" t="str">
        <f>IF(F26=0,"",VLOOKUP(B26,'LISTADO DE MATERIALES'!$B$6:$D$311,2,FALSE))</f>
        <v/>
      </c>
      <c r="H26" s="107"/>
      <c r="I26" s="24" t="str">
        <f>IF(F26=0,"",VLOOKUP(B26,'LISTADO DE MATERIALES'!$B$6:$D$311,3,FALSE))</f>
        <v/>
      </c>
      <c r="J26" s="24">
        <f t="shared" si="2"/>
        <v>0</v>
      </c>
      <c r="L26" s="22"/>
      <c r="M26" s="771"/>
      <c r="N26" s="771"/>
      <c r="O26" s="771"/>
      <c r="P26" s="771"/>
      <c r="Q26" s="180"/>
      <c r="R26" s="206" t="s">
        <v>501</v>
      </c>
      <c r="S26" s="209"/>
      <c r="T26" s="181" t="s">
        <v>501</v>
      </c>
      <c r="U26" s="181">
        <f t="shared" si="3"/>
        <v>0</v>
      </c>
    </row>
    <row r="27" spans="1:21" ht="15" customHeight="1" x14ac:dyDescent="0.25">
      <c r="A27" s="22"/>
      <c r="B27" s="761" t="s">
        <v>37</v>
      </c>
      <c r="C27" s="761"/>
      <c r="D27" s="761"/>
      <c r="E27" s="761"/>
      <c r="F27" s="761"/>
      <c r="G27" s="761"/>
      <c r="H27" s="761"/>
      <c r="I27" s="761"/>
      <c r="J27" s="24">
        <f>SUM(J21:J26)</f>
        <v>7221</v>
      </c>
      <c r="L27" s="22"/>
      <c r="M27" s="772" t="s">
        <v>37</v>
      </c>
      <c r="N27" s="772"/>
      <c r="O27" s="772"/>
      <c r="P27" s="772"/>
      <c r="Q27" s="772"/>
      <c r="R27" s="772"/>
      <c r="S27" s="772"/>
      <c r="T27" s="772"/>
      <c r="U27" s="181">
        <f>SUM(U21:U26)</f>
        <v>7034</v>
      </c>
    </row>
    <row r="28" spans="1:21" ht="7.5" customHeight="1" x14ac:dyDescent="0.25">
      <c r="A28" s="22"/>
      <c r="B28" s="25"/>
      <c r="C28" s="25"/>
      <c r="D28" s="25"/>
      <c r="E28" s="25"/>
      <c r="F28" s="25"/>
      <c r="G28" s="25"/>
      <c r="H28" s="25"/>
      <c r="I28" s="25"/>
      <c r="J28" s="26"/>
      <c r="L28" s="22"/>
      <c r="M28" s="25"/>
      <c r="N28" s="25"/>
      <c r="O28" s="25"/>
      <c r="P28" s="25"/>
      <c r="Q28" s="25"/>
      <c r="R28" s="25"/>
      <c r="S28" s="25"/>
      <c r="T28" s="25"/>
      <c r="U28" s="26"/>
    </row>
    <row r="29" spans="1:21" ht="15" customHeight="1" x14ac:dyDescent="0.25">
      <c r="A29" s="22"/>
      <c r="B29" s="761" t="s">
        <v>38</v>
      </c>
      <c r="C29" s="761"/>
      <c r="D29" s="761"/>
      <c r="E29" s="761"/>
      <c r="F29" s="761"/>
      <c r="G29" s="761"/>
      <c r="H29" s="761"/>
      <c r="I29" s="761"/>
      <c r="J29" s="761"/>
      <c r="L29" s="22"/>
      <c r="M29" s="772" t="s">
        <v>38</v>
      </c>
      <c r="N29" s="772"/>
      <c r="O29" s="772"/>
      <c r="P29" s="772"/>
      <c r="Q29" s="772"/>
      <c r="R29" s="772"/>
      <c r="S29" s="772"/>
      <c r="T29" s="772"/>
      <c r="U29" s="772"/>
    </row>
    <row r="30" spans="1:21" ht="26.4" x14ac:dyDescent="0.25">
      <c r="A30" s="22"/>
      <c r="B30" s="763" t="s">
        <v>33</v>
      </c>
      <c r="C30" s="763"/>
      <c r="D30" s="763"/>
      <c r="E30" s="763"/>
      <c r="F30" s="763"/>
      <c r="G30" s="31" t="s">
        <v>133</v>
      </c>
      <c r="H30" s="31" t="s">
        <v>132</v>
      </c>
      <c r="I30" s="31" t="s">
        <v>39</v>
      </c>
      <c r="J30" s="32" t="s">
        <v>29</v>
      </c>
      <c r="L30" s="22"/>
      <c r="M30" s="774" t="s">
        <v>33</v>
      </c>
      <c r="N30" s="774"/>
      <c r="O30" s="774"/>
      <c r="P30" s="774"/>
      <c r="Q30" s="774"/>
      <c r="R30" s="206" t="s">
        <v>133</v>
      </c>
      <c r="S30" s="206" t="s">
        <v>132</v>
      </c>
      <c r="T30" s="206" t="s">
        <v>39</v>
      </c>
      <c r="U30" s="207" t="s">
        <v>29</v>
      </c>
    </row>
    <row r="31" spans="1:21" ht="15" customHeight="1" x14ac:dyDescent="0.25">
      <c r="A31" s="22"/>
      <c r="B31" s="760"/>
      <c r="C31" s="760"/>
      <c r="D31" s="760"/>
      <c r="E31" s="760"/>
      <c r="F31" s="760"/>
      <c r="G31" s="31"/>
      <c r="H31" s="34"/>
      <c r="I31" s="24"/>
      <c r="J31" s="24">
        <f>ROUND(I31*H31,0)</f>
        <v>0</v>
      </c>
      <c r="L31" s="22"/>
      <c r="M31" s="771"/>
      <c r="N31" s="771"/>
      <c r="O31" s="771"/>
      <c r="P31" s="771"/>
      <c r="Q31" s="771"/>
      <c r="R31" s="206"/>
      <c r="S31" s="180"/>
      <c r="T31" s="181"/>
      <c r="U31" s="181">
        <f>ROUND(T31*S31,0)</f>
        <v>0</v>
      </c>
    </row>
    <row r="32" spans="1:21" ht="15" customHeight="1" x14ac:dyDescent="0.25">
      <c r="A32" s="22"/>
      <c r="B32" s="760"/>
      <c r="C32" s="760"/>
      <c r="D32" s="760"/>
      <c r="E32" s="760"/>
      <c r="F32" s="760"/>
      <c r="G32" s="31"/>
      <c r="H32" s="34"/>
      <c r="I32" s="24"/>
      <c r="J32" s="24">
        <v>0</v>
      </c>
      <c r="L32" s="22"/>
      <c r="M32" s="771"/>
      <c r="N32" s="771"/>
      <c r="O32" s="771"/>
      <c r="P32" s="771"/>
      <c r="Q32" s="771"/>
      <c r="R32" s="206"/>
      <c r="S32" s="180"/>
      <c r="T32" s="181"/>
      <c r="U32" s="181">
        <v>0</v>
      </c>
    </row>
    <row r="33" spans="1:21" ht="15" customHeight="1" x14ac:dyDescent="0.25">
      <c r="A33" s="22"/>
      <c r="B33" s="760"/>
      <c r="C33" s="760"/>
      <c r="D33" s="760"/>
      <c r="E33" s="760"/>
      <c r="F33" s="760"/>
      <c r="G33" s="31"/>
      <c r="H33" s="34"/>
      <c r="I33" s="24"/>
      <c r="J33" s="24">
        <v>0</v>
      </c>
      <c r="L33" s="22"/>
      <c r="M33" s="771"/>
      <c r="N33" s="771"/>
      <c r="O33" s="771"/>
      <c r="P33" s="771"/>
      <c r="Q33" s="771"/>
      <c r="R33" s="206"/>
      <c r="S33" s="180"/>
      <c r="T33" s="181"/>
      <c r="U33" s="181">
        <v>0</v>
      </c>
    </row>
    <row r="34" spans="1:21" ht="15" customHeight="1" x14ac:dyDescent="0.25">
      <c r="A34" s="22"/>
      <c r="B34" s="760"/>
      <c r="C34" s="760"/>
      <c r="D34" s="760"/>
      <c r="E34" s="760"/>
      <c r="F34" s="760"/>
      <c r="G34" s="31"/>
      <c r="H34" s="31"/>
      <c r="I34" s="24"/>
      <c r="J34" s="24">
        <v>0</v>
      </c>
      <c r="L34" s="22"/>
      <c r="M34" s="771"/>
      <c r="N34" s="771"/>
      <c r="O34" s="771"/>
      <c r="P34" s="771"/>
      <c r="Q34" s="771"/>
      <c r="R34" s="206"/>
      <c r="S34" s="206"/>
      <c r="T34" s="181"/>
      <c r="U34" s="181">
        <v>0</v>
      </c>
    </row>
    <row r="35" spans="1:21" ht="15" customHeight="1" x14ac:dyDescent="0.25">
      <c r="A35" s="22"/>
      <c r="B35" s="761" t="s">
        <v>40</v>
      </c>
      <c r="C35" s="761"/>
      <c r="D35" s="761"/>
      <c r="E35" s="761"/>
      <c r="F35" s="761"/>
      <c r="G35" s="761"/>
      <c r="H35" s="761"/>
      <c r="I35" s="761"/>
      <c r="J35" s="24">
        <f>SUM(J31:J34)</f>
        <v>0</v>
      </c>
      <c r="L35" s="22"/>
      <c r="M35" s="772" t="s">
        <v>40</v>
      </c>
      <c r="N35" s="772"/>
      <c r="O35" s="772"/>
      <c r="P35" s="772"/>
      <c r="Q35" s="772"/>
      <c r="R35" s="772"/>
      <c r="S35" s="772"/>
      <c r="T35" s="772"/>
      <c r="U35" s="181">
        <f>SUM(U31:U34)</f>
        <v>0</v>
      </c>
    </row>
    <row r="36" spans="1:21" ht="7.5" customHeight="1" x14ac:dyDescent="0.25">
      <c r="A36" s="22"/>
      <c r="B36" s="25"/>
      <c r="C36" s="25"/>
      <c r="D36" s="25"/>
      <c r="E36" s="25"/>
      <c r="F36" s="25"/>
      <c r="G36" s="25"/>
      <c r="H36" s="25"/>
      <c r="I36" s="25"/>
      <c r="J36" s="26"/>
      <c r="L36" s="22"/>
      <c r="M36" s="25"/>
      <c r="N36" s="25"/>
      <c r="O36" s="25"/>
      <c r="P36" s="25"/>
      <c r="Q36" s="25"/>
      <c r="R36" s="25"/>
      <c r="S36" s="25"/>
      <c r="T36" s="25"/>
      <c r="U36" s="26"/>
    </row>
    <row r="37" spans="1:21" ht="15" customHeight="1" x14ac:dyDescent="0.25">
      <c r="A37" s="22"/>
      <c r="B37" s="761" t="s">
        <v>41</v>
      </c>
      <c r="C37" s="761"/>
      <c r="D37" s="761"/>
      <c r="E37" s="761"/>
      <c r="F37" s="761"/>
      <c r="G37" s="761"/>
      <c r="H37" s="761"/>
      <c r="I37" s="761"/>
      <c r="J37" s="761"/>
      <c r="L37" s="22"/>
      <c r="M37" s="772" t="s">
        <v>41</v>
      </c>
      <c r="N37" s="772"/>
      <c r="O37" s="772"/>
      <c r="P37" s="772"/>
      <c r="Q37" s="772"/>
      <c r="R37" s="772"/>
      <c r="S37" s="772"/>
      <c r="T37" s="772"/>
      <c r="U37" s="772"/>
    </row>
    <row r="38" spans="1:21" ht="39.6" x14ac:dyDescent="0.25">
      <c r="A38" s="22"/>
      <c r="B38" s="763" t="s">
        <v>4</v>
      </c>
      <c r="C38" s="763"/>
      <c r="D38" s="763"/>
      <c r="E38" s="763"/>
      <c r="F38" s="763"/>
      <c r="G38" s="32" t="s">
        <v>51</v>
      </c>
      <c r="H38" s="32" t="s">
        <v>19</v>
      </c>
      <c r="I38" s="32" t="s">
        <v>28</v>
      </c>
      <c r="J38" s="32" t="s">
        <v>29</v>
      </c>
      <c r="L38" s="22"/>
      <c r="M38" s="774" t="s">
        <v>4</v>
      </c>
      <c r="N38" s="774"/>
      <c r="O38" s="774"/>
      <c r="P38" s="774"/>
      <c r="Q38" s="774"/>
      <c r="R38" s="207" t="s">
        <v>51</v>
      </c>
      <c r="S38" s="207" t="s">
        <v>19</v>
      </c>
      <c r="T38" s="207" t="s">
        <v>28</v>
      </c>
      <c r="U38" s="207" t="s">
        <v>29</v>
      </c>
    </row>
    <row r="39" spans="1:21" ht="15" customHeight="1" x14ac:dyDescent="0.25">
      <c r="A39" s="22"/>
      <c r="B39" s="760" t="s">
        <v>68</v>
      </c>
      <c r="C39" s="760"/>
      <c r="D39" s="760"/>
      <c r="E39" s="760"/>
      <c r="F39" s="760"/>
      <c r="G39" s="24">
        <f>IF(B39="","",VLOOKUP(B39,CUADRILLAS!$B$87:$C$101,2,FALSE))</f>
        <v>235820.59999999998</v>
      </c>
      <c r="H39" s="31">
        <v>1</v>
      </c>
      <c r="I39" s="34">
        <v>310</v>
      </c>
      <c r="J39" s="24">
        <f>ROUND(+IF(I39=0,0,G39*H39/I39),0)</f>
        <v>761</v>
      </c>
      <c r="L39" s="22"/>
      <c r="M39" s="771"/>
      <c r="N39" s="771"/>
      <c r="O39" s="771"/>
      <c r="P39" s="771"/>
      <c r="Q39" s="771"/>
      <c r="R39" s="181"/>
      <c r="S39" s="206"/>
      <c r="T39" s="180"/>
      <c r="U39" s="181"/>
    </row>
    <row r="40" spans="1:21" ht="15" customHeight="1" x14ac:dyDescent="0.25">
      <c r="A40" s="22"/>
      <c r="B40" s="760" t="s">
        <v>120</v>
      </c>
      <c r="C40" s="760"/>
      <c r="D40" s="760"/>
      <c r="E40" s="760"/>
      <c r="F40" s="760"/>
      <c r="G40" s="24">
        <f>IF(B40="","",VLOOKUP(B40,CUADRILLAS!$B$87:$C$101,2,FALSE))</f>
        <v>157213.73333333334</v>
      </c>
      <c r="H40" s="31">
        <v>1</v>
      </c>
      <c r="I40" s="34">
        <f>+I39</f>
        <v>310</v>
      </c>
      <c r="J40" s="24">
        <f>ROUND(+IF(I40=0,0,G40*H40/I40),0)</f>
        <v>507</v>
      </c>
      <c r="L40" s="22"/>
      <c r="M40" s="771" t="s">
        <v>120</v>
      </c>
      <c r="N40" s="771"/>
      <c r="O40" s="771"/>
      <c r="P40" s="771"/>
      <c r="Q40" s="771"/>
      <c r="R40" s="181">
        <v>157213.73333333334</v>
      </c>
      <c r="S40" s="206">
        <v>1</v>
      </c>
      <c r="T40" s="180">
        <v>160</v>
      </c>
      <c r="U40" s="181">
        <f>ROUND(+IF(T40=0,0,R40*S40/T40),0)</f>
        <v>983</v>
      </c>
    </row>
    <row r="41" spans="1:21" ht="15" customHeight="1" x14ac:dyDescent="0.25">
      <c r="A41" s="22"/>
      <c r="B41" s="760" t="s">
        <v>121</v>
      </c>
      <c r="C41" s="760"/>
      <c r="D41" s="760"/>
      <c r="E41" s="760"/>
      <c r="F41" s="760"/>
      <c r="G41" s="24">
        <f>IF(B41="","",VLOOKUP(B41,CUADRILLAS!$B$87:$C$101,2,FALSE))</f>
        <v>78606.866666666669</v>
      </c>
      <c r="H41" s="31">
        <v>1</v>
      </c>
      <c r="I41" s="34">
        <f>+I40</f>
        <v>310</v>
      </c>
      <c r="J41" s="24">
        <f>ROUND(+IF(I41=0,0,G41*H41/I41),0)</f>
        <v>254</v>
      </c>
      <c r="L41" s="22"/>
      <c r="M41" s="771" t="s">
        <v>121</v>
      </c>
      <c r="N41" s="771"/>
      <c r="O41" s="771"/>
      <c r="P41" s="771"/>
      <c r="Q41" s="771"/>
      <c r="R41" s="181">
        <v>78606.866666666669</v>
      </c>
      <c r="S41" s="206">
        <v>1</v>
      </c>
      <c r="T41" s="180">
        <f>+T40</f>
        <v>160</v>
      </c>
      <c r="U41" s="181">
        <f>ROUND(+IF(T41=0,0,R41*S41/T41),0)</f>
        <v>491</v>
      </c>
    </row>
    <row r="42" spans="1:21" ht="15" customHeight="1" x14ac:dyDescent="0.25">
      <c r="A42" s="22"/>
      <c r="B42" s="760"/>
      <c r="C42" s="760"/>
      <c r="D42" s="760"/>
      <c r="E42" s="760"/>
      <c r="F42" s="760"/>
      <c r="G42" s="24" t="str">
        <f>IF(B42="","",VLOOKUP(B42,CUADRILLAS!$B$87:$C$101,2,FALSE))</f>
        <v/>
      </c>
      <c r="H42" s="31"/>
      <c r="I42" s="34"/>
      <c r="J42" s="24">
        <f t="shared" ref="J42" si="4">+IF(I42=0,0,G42*H42/I42)</f>
        <v>0</v>
      </c>
      <c r="L42" s="22"/>
      <c r="M42" s="771"/>
      <c r="N42" s="771"/>
      <c r="O42" s="771"/>
      <c r="P42" s="771"/>
      <c r="Q42" s="771"/>
      <c r="R42" s="181" t="s">
        <v>501</v>
      </c>
      <c r="S42" s="206"/>
      <c r="T42" s="180"/>
      <c r="U42" s="181">
        <f t="shared" ref="U42" si="5">+IF(T42=0,0,R42*S42/T42)</f>
        <v>0</v>
      </c>
    </row>
    <row r="43" spans="1:21" ht="15" customHeight="1" x14ac:dyDescent="0.25">
      <c r="A43" s="22"/>
      <c r="B43" s="761" t="s">
        <v>42</v>
      </c>
      <c r="C43" s="761"/>
      <c r="D43" s="761"/>
      <c r="E43" s="761"/>
      <c r="F43" s="761"/>
      <c r="G43" s="761"/>
      <c r="H43" s="761"/>
      <c r="I43" s="761"/>
      <c r="J43" s="24">
        <f>SUM(J39:J42)</f>
        <v>1522</v>
      </c>
      <c r="L43" s="22"/>
      <c r="M43" s="772" t="s">
        <v>42</v>
      </c>
      <c r="N43" s="772"/>
      <c r="O43" s="772"/>
      <c r="P43" s="772"/>
      <c r="Q43" s="772"/>
      <c r="R43" s="772"/>
      <c r="S43" s="772"/>
      <c r="T43" s="772"/>
      <c r="U43" s="181">
        <f>SUM(U39:U42)</f>
        <v>1474</v>
      </c>
    </row>
    <row r="44" spans="1:21" ht="7.5" customHeight="1" x14ac:dyDescent="0.25">
      <c r="A44" s="22"/>
      <c r="B44" s="25"/>
      <c r="C44" s="25"/>
      <c r="D44" s="25"/>
      <c r="E44" s="25"/>
      <c r="F44" s="25"/>
      <c r="G44" s="25"/>
      <c r="H44" s="25"/>
      <c r="I44" s="25"/>
      <c r="J44" s="26"/>
      <c r="L44" s="22"/>
      <c r="M44" s="25"/>
      <c r="N44" s="25"/>
      <c r="O44" s="25"/>
      <c r="P44" s="25"/>
      <c r="Q44" s="25"/>
      <c r="R44" s="25"/>
      <c r="S44" s="25"/>
      <c r="T44" s="25"/>
      <c r="U44" s="26"/>
    </row>
    <row r="45" spans="1:21" ht="15.75" customHeight="1" x14ac:dyDescent="0.25">
      <c r="A45" s="27"/>
      <c r="B45" s="762" t="s">
        <v>43</v>
      </c>
      <c r="C45" s="762"/>
      <c r="D45" s="762"/>
      <c r="E45" s="762"/>
      <c r="F45" s="762"/>
      <c r="G45" s="762"/>
      <c r="H45" s="762"/>
      <c r="I45" s="762"/>
      <c r="J45" s="106">
        <f>+J43+J35+J17+J27</f>
        <v>8819</v>
      </c>
      <c r="L45" s="27"/>
      <c r="M45" s="773" t="s">
        <v>43</v>
      </c>
      <c r="N45" s="773"/>
      <c r="O45" s="773"/>
      <c r="P45" s="773"/>
      <c r="Q45" s="773"/>
      <c r="R45" s="773"/>
      <c r="S45" s="773"/>
      <c r="T45" s="773"/>
      <c r="U45" s="210">
        <f>+U43+U35+U17+U27</f>
        <v>8582</v>
      </c>
    </row>
    <row r="46" spans="1:21" x14ac:dyDescent="0.25">
      <c r="B46" s="21"/>
      <c r="C46" s="21"/>
      <c r="D46" s="21"/>
      <c r="E46" s="21"/>
      <c r="F46" s="21"/>
      <c r="G46" s="21"/>
      <c r="H46" s="21"/>
      <c r="I46" s="21"/>
      <c r="J46" s="21"/>
    </row>
  </sheetData>
  <mergeCells count="82">
    <mergeCell ref="M41:Q41"/>
    <mergeCell ref="M42:Q42"/>
    <mergeCell ref="M45:T45"/>
    <mergeCell ref="M39:Q39"/>
    <mergeCell ref="M40:Q40"/>
    <mergeCell ref="M43:T43"/>
    <mergeCell ref="M15:Q15"/>
    <mergeCell ref="M16:Q16"/>
    <mergeCell ref="M17:T17"/>
    <mergeCell ref="M19:U19"/>
    <mergeCell ref="M25:P25"/>
    <mergeCell ref="M22:P22"/>
    <mergeCell ref="M23:P23"/>
    <mergeCell ref="M24:P24"/>
    <mergeCell ref="M20:P20"/>
    <mergeCell ref="M21:P21"/>
    <mergeCell ref="M26:P26"/>
    <mergeCell ref="M27:T27"/>
    <mergeCell ref="M29:U29"/>
    <mergeCell ref="M33:Q33"/>
    <mergeCell ref="M34:Q34"/>
    <mergeCell ref="M35:T35"/>
    <mergeCell ref="M37:U37"/>
    <mergeCell ref="M38:Q38"/>
    <mergeCell ref="M30:Q30"/>
    <mergeCell ref="M31:Q31"/>
    <mergeCell ref="M32:Q32"/>
    <mergeCell ref="M11:Q11"/>
    <mergeCell ref="M12:Q12"/>
    <mergeCell ref="M13:Q13"/>
    <mergeCell ref="M14:Q14"/>
    <mergeCell ref="P6:S6"/>
    <mergeCell ref="M7:U7"/>
    <mergeCell ref="M8:Q8"/>
    <mergeCell ref="M9:Q9"/>
    <mergeCell ref="M10:Q10"/>
    <mergeCell ref="L1:N4"/>
    <mergeCell ref="O1:U1"/>
    <mergeCell ref="O2:U2"/>
    <mergeCell ref="O3:U3"/>
    <mergeCell ref="O4:U4"/>
    <mergeCell ref="B40:F40"/>
    <mergeCell ref="B41:F41"/>
    <mergeCell ref="B42:F42"/>
    <mergeCell ref="B43:I43"/>
    <mergeCell ref="B45:I45"/>
    <mergeCell ref="B39:F39"/>
    <mergeCell ref="B26:E26"/>
    <mergeCell ref="B27:I27"/>
    <mergeCell ref="B29:J29"/>
    <mergeCell ref="B30:F30"/>
    <mergeCell ref="B31:F31"/>
    <mergeCell ref="B32:F32"/>
    <mergeCell ref="B33:F33"/>
    <mergeCell ref="B34:F34"/>
    <mergeCell ref="B35:I35"/>
    <mergeCell ref="B37:J37"/>
    <mergeCell ref="B38:F38"/>
    <mergeCell ref="B25:E25"/>
    <mergeCell ref="B13:F13"/>
    <mergeCell ref="B14:F14"/>
    <mergeCell ref="B15:F15"/>
    <mergeCell ref="B16:F16"/>
    <mergeCell ref="B17:I17"/>
    <mergeCell ref="B19:J19"/>
    <mergeCell ref="B20:E20"/>
    <mergeCell ref="B21:E21"/>
    <mergeCell ref="B22:E22"/>
    <mergeCell ref="B23:E23"/>
    <mergeCell ref="B24:E24"/>
    <mergeCell ref="B12:F12"/>
    <mergeCell ref="A1:C4"/>
    <mergeCell ref="D1:J1"/>
    <mergeCell ref="D2:J2"/>
    <mergeCell ref="D3:J3"/>
    <mergeCell ref="D4:J4"/>
    <mergeCell ref="E6:H6"/>
    <mergeCell ref="B7:J7"/>
    <mergeCell ref="B8:F8"/>
    <mergeCell ref="B9:F9"/>
    <mergeCell ref="B10:F10"/>
    <mergeCell ref="B11:F11"/>
  </mergeCells>
  <hyperlinks>
    <hyperlink ref="C6" location="'PPTO HOJA'!A124" display="'PPTO HOJA'!A124" xr:uid="{00000000-0004-0000-2500-000000000000}"/>
    <hyperlink ref="N6" location="'PPTO HOJA'!A15" display="'PPTO HOJA'!A15" xr:uid="{00000000-0004-0000-25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2500-000000000000}">
          <x14:formula1>
            <xm:f>CUADRILLAS!$B$86:$B$101</xm:f>
          </x14:formula1>
          <xm:sqref>B39:F42</xm:sqref>
        </x14:dataValidation>
      </x14:dataValidations>
    </ext>
  </extLs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Hoja90">
    <tabColor theme="9" tint="0.59999389629810485"/>
  </sheetPr>
  <dimension ref="A1:U50"/>
  <sheetViews>
    <sheetView topLeftCell="C1"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5.88671875" style="20" bestFit="1" customWidth="1"/>
    <col min="11" max="11" width="6.44140625" style="20" customWidth="1"/>
    <col min="12" max="17" width="11.44140625" style="20"/>
    <col min="18" max="18" width="13.44140625" style="20" bestFit="1" customWidth="1"/>
    <col min="19" max="19" width="12.33203125" style="20" bestFit="1" customWidth="1"/>
    <col min="20" max="20" width="13.5546875" style="20" bestFit="1" customWidth="1"/>
    <col min="21" max="21" width="16.3320312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58.2"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40.950000000000003" customHeight="1" x14ac:dyDescent="0.3">
      <c r="A6" s="30" t="s">
        <v>366</v>
      </c>
      <c r="B6" s="29" t="s">
        <v>22</v>
      </c>
      <c r="C6" s="116">
        <f>+'PPTO HOJA'!A52</f>
        <v>5.0999999999999996</v>
      </c>
      <c r="D6" s="28"/>
      <c r="E6" s="764" t="str">
        <f>+'PPTO HOJA'!B52</f>
        <v>Anclaje en acero en estructuras de cimentación (Incluye perforación y epóxico para fijar acero de refuerzo en concreto endurecido)</v>
      </c>
      <c r="F6" s="764"/>
      <c r="G6" s="764"/>
      <c r="H6" s="764"/>
      <c r="I6" s="30" t="s">
        <v>23</v>
      </c>
      <c r="J6" s="31" t="str">
        <f>+'PPTO HOJA'!C52</f>
        <v>und</v>
      </c>
      <c r="L6" s="30" t="str">
        <f>A6</f>
        <v>V</v>
      </c>
      <c r="M6" s="29" t="s">
        <v>22</v>
      </c>
      <c r="N6" s="238">
        <f>C6</f>
        <v>5.0999999999999996</v>
      </c>
      <c r="O6" s="28"/>
      <c r="P6" s="764" t="s">
        <v>452</v>
      </c>
      <c r="Q6" s="764"/>
      <c r="R6" s="764"/>
      <c r="S6" s="764"/>
      <c r="T6" s="30" t="s">
        <v>23</v>
      </c>
      <c r="U6" s="31" t="s">
        <v>9</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1965</v>
      </c>
      <c r="L9" s="22"/>
      <c r="M9" s="771" t="s">
        <v>30</v>
      </c>
      <c r="N9" s="771"/>
      <c r="O9" s="771"/>
      <c r="P9" s="771"/>
      <c r="Q9" s="771"/>
      <c r="R9" s="206"/>
      <c r="S9" s="181"/>
      <c r="T9" s="208">
        <v>0.05</v>
      </c>
      <c r="U9" s="181">
        <f>ROUND(T9*U41,0)</f>
        <v>524</v>
      </c>
    </row>
    <row r="10" spans="1:21" ht="31.5" customHeight="1" x14ac:dyDescent="0.25">
      <c r="A10" s="22"/>
      <c r="B10" s="764" t="s">
        <v>101</v>
      </c>
      <c r="C10" s="764"/>
      <c r="D10" s="764"/>
      <c r="E10" s="764"/>
      <c r="F10" s="764"/>
      <c r="G10" s="31">
        <f>IF(B10="","",VLOOKUP(B10,EQUIPOS!$B$7:$F$46,3,FALSE))</f>
        <v>0</v>
      </c>
      <c r="H10" s="24">
        <f>IF(B10="","",VLOOKUP(B10,EQUIPOS!$B$7:$F$46,5,FALSE))</f>
        <v>85000</v>
      </c>
      <c r="I10" s="34">
        <f>I37</f>
        <v>10</v>
      </c>
      <c r="J10" s="24">
        <f>IF(B10="",0,ROUND(H10/I10,0))</f>
        <v>8500</v>
      </c>
      <c r="L10" s="22"/>
      <c r="M10" s="777" t="s">
        <v>101</v>
      </c>
      <c r="N10" s="777"/>
      <c r="O10" s="777"/>
      <c r="P10" s="777"/>
      <c r="Q10" s="777"/>
      <c r="R10" s="214">
        <v>0</v>
      </c>
      <c r="S10" s="181">
        <v>85000</v>
      </c>
      <c r="T10" s="211">
        <v>30</v>
      </c>
      <c r="U10" s="181">
        <f>IF(M10="",0,ROUND(S10/T10,0))</f>
        <v>2833</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c r="H13" s="24" t="str">
        <f>IF(B13="","",VLOOKUP(B13,EQUIPOS!$B$7:$F$46,5,FALSE))</f>
        <v/>
      </c>
      <c r="I13" s="34"/>
      <c r="J13" s="24">
        <f t="shared" si="0"/>
        <v>0</v>
      </c>
      <c r="L13" s="22"/>
      <c r="M13" s="771"/>
      <c r="N13" s="771"/>
      <c r="O13" s="771"/>
      <c r="P13" s="771"/>
      <c r="Q13" s="771"/>
      <c r="R13" s="206"/>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10465</v>
      </c>
      <c r="L15" s="22"/>
      <c r="M15" s="772" t="s">
        <v>31</v>
      </c>
      <c r="N15" s="772"/>
      <c r="O15" s="772"/>
      <c r="P15" s="772"/>
      <c r="Q15" s="772"/>
      <c r="R15" s="772"/>
      <c r="S15" s="772"/>
      <c r="T15" s="772"/>
      <c r="U15" s="181">
        <f>SUM(U9:U14)</f>
        <v>3357</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1"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1" ht="28.95" customHeight="1" x14ac:dyDescent="0.25">
      <c r="A19" s="22"/>
      <c r="B19" s="764" t="s">
        <v>355</v>
      </c>
      <c r="C19" s="764"/>
      <c r="D19" s="764"/>
      <c r="E19" s="764"/>
      <c r="F19" s="34">
        <v>0.2</v>
      </c>
      <c r="G19" s="31" t="str">
        <f>IF(F19=0,"",VLOOKUP(B19,'LISTADO DE MATERIALES'!$B$6:$D$311,2,FALSE))</f>
        <v>und</v>
      </c>
      <c r="H19" s="107">
        <v>0.05</v>
      </c>
      <c r="I19" s="24">
        <f>IF(F19=0,"",VLOOKUP(B19,'LISTADO DE MATERIALES'!$B$6:$D$311,3,FALSE))</f>
        <v>167380</v>
      </c>
      <c r="J19" s="24">
        <f>IF(I19="",0,ROUND((+F19*I19*(1+H19)),0))</f>
        <v>35150</v>
      </c>
      <c r="L19" s="22"/>
      <c r="M19" s="777" t="s">
        <v>455</v>
      </c>
      <c r="N19" s="777"/>
      <c r="O19" s="777"/>
      <c r="P19" s="777"/>
      <c r="Q19" s="180">
        <v>0.1</v>
      </c>
      <c r="R19" s="206" t="s">
        <v>454</v>
      </c>
      <c r="S19" s="209">
        <v>0.05</v>
      </c>
      <c r="T19" s="271">
        <v>142000</v>
      </c>
      <c r="U19" s="181">
        <f>IF(T19="",0,ROUND((+Q19*T19*(1+S19)),0))</f>
        <v>14910</v>
      </c>
    </row>
    <row r="20" spans="1:21" ht="26.25" customHeight="1" x14ac:dyDescent="0.25">
      <c r="A20" s="22"/>
      <c r="B20" s="764"/>
      <c r="C20" s="764"/>
      <c r="D20" s="764"/>
      <c r="E20" s="764"/>
      <c r="F20" s="34"/>
      <c r="G20" s="31" t="str">
        <f>IF(F20=0,"",VLOOKUP(B20,'LISTADO DE MATERIALES'!$B$6:$D$311,2,FALSE))</f>
        <v/>
      </c>
      <c r="H20" s="107"/>
      <c r="I20" s="24" t="str">
        <f>IF(F20=0,"",VLOOKUP(B20,'LISTADO DE MATERIALES'!$B$6:$D$311,3,FALSE))</f>
        <v/>
      </c>
      <c r="J20" s="24">
        <f t="shared" ref="J20:J24" si="2">IF(I20="",0,ROUND((+F20*I20*(1+H20)),0))</f>
        <v>0</v>
      </c>
      <c r="L20" s="22"/>
      <c r="M20" s="777"/>
      <c r="N20" s="777"/>
      <c r="O20" s="777"/>
      <c r="P20" s="777"/>
      <c r="Q20" s="180"/>
      <c r="R20" s="206" t="s">
        <v>501</v>
      </c>
      <c r="S20" s="209"/>
      <c r="T20" s="181" t="s">
        <v>501</v>
      </c>
      <c r="U20" s="181">
        <f t="shared" ref="U20:U24" si="3">IF(T20="",0,ROUND((+Q20*T20*(1+S20)),0))</f>
        <v>0</v>
      </c>
    </row>
    <row r="21" spans="1:21" ht="15" customHeight="1" x14ac:dyDescent="0.25">
      <c r="A21" s="22"/>
      <c r="B21" s="760"/>
      <c r="C21" s="760"/>
      <c r="D21" s="760"/>
      <c r="E21" s="760"/>
      <c r="F21" s="34"/>
      <c r="G21" s="31" t="str">
        <f>IF(F21=0,"",VLOOKUP(B21,'LISTADO DE MATERIALES'!$B$6:$D$311,2,FALSE))</f>
        <v/>
      </c>
      <c r="H21" s="107"/>
      <c r="I21" s="24" t="str">
        <f>IF(F21=0,"",VLOOKUP(B21,'LISTADO DE MATERIALES'!$B$6:$D$311,3,FALSE))</f>
        <v/>
      </c>
      <c r="J21" s="24">
        <f t="shared" si="2"/>
        <v>0</v>
      </c>
      <c r="L21" s="22"/>
      <c r="M21" s="771"/>
      <c r="N21" s="771"/>
      <c r="O21" s="771"/>
      <c r="P21" s="771"/>
      <c r="Q21" s="180"/>
      <c r="R21" s="206" t="s">
        <v>501</v>
      </c>
      <c r="S21" s="209"/>
      <c r="T21" s="181" t="s">
        <v>501</v>
      </c>
      <c r="U21" s="181">
        <f t="shared" si="3"/>
        <v>0</v>
      </c>
    </row>
    <row r="22" spans="1:21"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1"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1"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1" ht="15" customHeight="1" x14ac:dyDescent="0.25">
      <c r="A25" s="22"/>
      <c r="B25" s="761" t="s">
        <v>37</v>
      </c>
      <c r="C25" s="761"/>
      <c r="D25" s="761"/>
      <c r="E25" s="761"/>
      <c r="F25" s="761"/>
      <c r="G25" s="761"/>
      <c r="H25" s="761"/>
      <c r="I25" s="761"/>
      <c r="J25" s="24">
        <f>SUM(J19:J24)</f>
        <v>35150</v>
      </c>
      <c r="L25" s="22"/>
      <c r="M25" s="772" t="s">
        <v>37</v>
      </c>
      <c r="N25" s="772"/>
      <c r="O25" s="772"/>
      <c r="P25" s="772"/>
      <c r="Q25" s="772"/>
      <c r="R25" s="772"/>
      <c r="S25" s="772"/>
      <c r="T25" s="772"/>
      <c r="U25" s="181">
        <f>SUM(U19:U24)</f>
        <v>14910</v>
      </c>
    </row>
    <row r="26" spans="1:21" ht="7.5" customHeight="1" x14ac:dyDescent="0.25">
      <c r="A26" s="22"/>
      <c r="B26" s="25"/>
      <c r="C26" s="25"/>
      <c r="D26" s="25"/>
      <c r="E26" s="25"/>
      <c r="F26" s="25"/>
      <c r="G26" s="25"/>
      <c r="H26" s="25"/>
      <c r="I26" s="25"/>
      <c r="J26" s="26"/>
      <c r="L26" s="22"/>
      <c r="M26" s="25"/>
      <c r="N26" s="25"/>
      <c r="O26" s="25"/>
      <c r="P26" s="25"/>
      <c r="Q26" s="25"/>
      <c r="R26" s="25"/>
      <c r="S26" s="25"/>
      <c r="T26" s="25"/>
      <c r="U26" s="26"/>
    </row>
    <row r="27" spans="1:21"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1"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1" ht="15" customHeight="1" x14ac:dyDescent="0.25">
      <c r="A29" s="22"/>
      <c r="B29" s="760"/>
      <c r="C29" s="760"/>
      <c r="D29" s="760"/>
      <c r="E29" s="760"/>
      <c r="F29" s="760"/>
      <c r="G29" s="34"/>
      <c r="H29" s="34"/>
      <c r="I29" s="24"/>
      <c r="J29" s="24">
        <f>ROUND(I29*H29,0)</f>
        <v>0</v>
      </c>
      <c r="L29" s="22"/>
      <c r="M29" s="771"/>
      <c r="N29" s="771"/>
      <c r="O29" s="771"/>
      <c r="P29" s="771"/>
      <c r="Q29" s="771"/>
      <c r="R29" s="180"/>
      <c r="S29" s="180"/>
      <c r="T29" s="181"/>
      <c r="U29" s="181">
        <f>ROUND(T29*S29,0)</f>
        <v>0</v>
      </c>
    </row>
    <row r="30" spans="1:21"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1"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1"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68</v>
      </c>
      <c r="C37" s="760"/>
      <c r="D37" s="760"/>
      <c r="E37" s="760"/>
      <c r="F37" s="760"/>
      <c r="G37" s="24">
        <f>IF(B37="","",VLOOKUP(B37,CUADRILLAS!$B$87:$C$101,2,FALSE))</f>
        <v>235820.59999999998</v>
      </c>
      <c r="H37" s="31">
        <v>1</v>
      </c>
      <c r="I37" s="34">
        <v>10</v>
      </c>
      <c r="J37" s="24">
        <f>ROUND(+IF(I37=0,0,G37*H37/I37),0)</f>
        <v>23582</v>
      </c>
      <c r="L37" s="22"/>
      <c r="M37" s="771"/>
      <c r="N37" s="771"/>
      <c r="O37" s="771"/>
      <c r="P37" s="771"/>
      <c r="Q37" s="771"/>
      <c r="R37" s="181"/>
      <c r="S37" s="206"/>
      <c r="T37" s="180"/>
      <c r="U37" s="181"/>
    </row>
    <row r="38" spans="1:21" ht="15" customHeight="1" x14ac:dyDescent="0.25">
      <c r="A38" s="22"/>
      <c r="B38" s="760" t="s">
        <v>120</v>
      </c>
      <c r="C38" s="760"/>
      <c r="D38" s="760"/>
      <c r="E38" s="760"/>
      <c r="F38" s="760"/>
      <c r="G38" s="24">
        <f>IF(B38="","",VLOOKUP(B38,CUADRILLAS!$B$87:$C$101,2,FALSE))</f>
        <v>157213.73333333334</v>
      </c>
      <c r="H38" s="31">
        <v>1</v>
      </c>
      <c r="I38" s="34">
        <f>I37</f>
        <v>10</v>
      </c>
      <c r="J38" s="24">
        <f>ROUND(+IF(I38=0,0,G38*H38/I38),0)</f>
        <v>15721</v>
      </c>
      <c r="L38" s="22"/>
      <c r="M38" s="771" t="s">
        <v>120</v>
      </c>
      <c r="N38" s="771"/>
      <c r="O38" s="771"/>
      <c r="P38" s="771"/>
      <c r="Q38" s="771"/>
      <c r="R38" s="181">
        <v>157213.73333333334</v>
      </c>
      <c r="S38" s="206">
        <v>1</v>
      </c>
      <c r="T38" s="180">
        <v>15</v>
      </c>
      <c r="U38" s="181">
        <f>ROUND(+IF(T38=0,0,R38*S38/T38),0)</f>
        <v>10481</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39303</v>
      </c>
      <c r="L41" s="22"/>
      <c r="M41" s="772" t="s">
        <v>42</v>
      </c>
      <c r="N41" s="772"/>
      <c r="O41" s="772"/>
      <c r="P41" s="772"/>
      <c r="Q41" s="772"/>
      <c r="R41" s="772"/>
      <c r="S41" s="772"/>
      <c r="T41" s="772"/>
      <c r="U41" s="181">
        <f>SUM(U37:U40)</f>
        <v>10481</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84918</v>
      </c>
      <c r="L43" s="27"/>
      <c r="M43" s="773" t="s">
        <v>43</v>
      </c>
      <c r="N43" s="773"/>
      <c r="O43" s="773"/>
      <c r="P43" s="773"/>
      <c r="Q43" s="773"/>
      <c r="R43" s="773"/>
      <c r="S43" s="773"/>
      <c r="T43" s="773"/>
      <c r="U43" s="210">
        <f>+U41+U33+U15+U25</f>
        <v>28748</v>
      </c>
    </row>
    <row r="44" spans="1:21" x14ac:dyDescent="0.25">
      <c r="B44" s="21"/>
      <c r="C44" s="21"/>
      <c r="D44" s="21"/>
      <c r="E44" s="21"/>
      <c r="F44" s="21"/>
      <c r="G44" s="21"/>
      <c r="H44" s="21"/>
      <c r="I44" s="21"/>
      <c r="J44" s="21"/>
    </row>
    <row r="47" spans="1:21" x14ac:dyDescent="0.25">
      <c r="L47" s="790" t="s">
        <v>453</v>
      </c>
      <c r="M47" s="790"/>
      <c r="N47" s="790"/>
      <c r="O47" s="790"/>
      <c r="P47" s="790"/>
      <c r="Q47" s="790"/>
      <c r="R47" s="790"/>
      <c r="S47" s="790"/>
      <c r="T47" s="790"/>
    </row>
    <row r="48" spans="1:21" x14ac:dyDescent="0.25">
      <c r="L48" s="790"/>
      <c r="M48" s="790"/>
      <c r="N48" s="790"/>
      <c r="O48" s="790"/>
      <c r="P48" s="790"/>
      <c r="Q48" s="790"/>
      <c r="R48" s="790"/>
      <c r="S48" s="790"/>
      <c r="T48" s="790"/>
    </row>
    <row r="49" spans="12:20" x14ac:dyDescent="0.25">
      <c r="L49" s="790"/>
      <c r="M49" s="790"/>
      <c r="N49" s="790"/>
      <c r="O49" s="790"/>
      <c r="P49" s="790"/>
      <c r="Q49" s="790"/>
      <c r="R49" s="790"/>
      <c r="S49" s="790"/>
      <c r="T49" s="790"/>
    </row>
    <row r="50" spans="12:20" x14ac:dyDescent="0.25">
      <c r="L50" s="790"/>
      <c r="M50" s="790"/>
      <c r="N50" s="790"/>
      <c r="O50" s="790"/>
      <c r="P50" s="790"/>
      <c r="Q50" s="790"/>
      <c r="R50" s="790"/>
      <c r="S50" s="790"/>
      <c r="T50" s="790"/>
    </row>
  </sheetData>
  <mergeCells count="79">
    <mergeCell ref="M39:Q39"/>
    <mergeCell ref="M40:Q40"/>
    <mergeCell ref="M41:T41"/>
    <mergeCell ref="M43:T43"/>
    <mergeCell ref="L47:T50"/>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117" display="'PPTO HOJA'!A117" xr:uid="{00000000-0004-0000-2600-000000000000}"/>
    <hyperlink ref="N6" location="'PPTO HOJA'!A15" display="'PPTO HOJA'!A15" xr:uid="{00000000-0004-0000-2600-000001000000}"/>
  </hyperlinks>
  <pageMargins left="0.7" right="0.7" top="0.75" bottom="0.75" header="0.3" footer="0.3"/>
  <pageSetup paperSize="9" scale="34" orientation="portrait" r:id="rId1"/>
  <drawing r:id="rId2"/>
  <legacyDrawing r:id="rId3"/>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2600-000000000000}">
          <x14:formula1>
            <xm:f>CUADRILLAS!$B$86:$B$101</xm:f>
          </x14:formula1>
          <xm:sqref>B37:F40</xm:sqref>
        </x14:dataValidation>
      </x14:dataValidations>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9" tint="0.59999389629810485"/>
  </sheetPr>
  <dimension ref="A1:V44"/>
  <sheetViews>
    <sheetView topLeftCell="C1"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6.33203125" style="20" bestFit="1" customWidth="1"/>
    <col min="11" max="11" width="6.109375" style="20" customWidth="1"/>
    <col min="12" max="17" width="11.44140625" style="20"/>
    <col min="18" max="18" width="12.6640625" style="20" bestFit="1" customWidth="1"/>
    <col min="19" max="20" width="11.44140625" style="20"/>
    <col min="21" max="21" width="16.33203125" style="20" bestFit="1" customWidth="1"/>
    <col min="22" max="16384" width="11.44140625" style="20"/>
  </cols>
  <sheetData>
    <row r="1" spans="1:22"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2"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2" ht="65.400000000000006"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2" x14ac:dyDescent="0.25">
      <c r="A4" s="765"/>
      <c r="B4" s="765"/>
      <c r="C4" s="765"/>
      <c r="D4" s="766" t="s">
        <v>20</v>
      </c>
      <c r="E4" s="766"/>
      <c r="F4" s="766"/>
      <c r="G4" s="766"/>
      <c r="H4" s="766"/>
      <c r="I4" s="766"/>
      <c r="J4" s="766"/>
      <c r="L4" s="765"/>
      <c r="M4" s="765"/>
      <c r="N4" s="765"/>
      <c r="O4" s="766" t="s">
        <v>20</v>
      </c>
      <c r="P4" s="766"/>
      <c r="Q4" s="766"/>
      <c r="R4" s="766"/>
      <c r="S4" s="766"/>
      <c r="T4" s="766"/>
      <c r="U4" s="766"/>
    </row>
    <row r="5" spans="1:22" ht="9.75" customHeight="1" x14ac:dyDescent="0.25">
      <c r="A5" s="22"/>
      <c r="J5" s="23"/>
      <c r="L5" s="22"/>
      <c r="U5" s="23"/>
    </row>
    <row r="6" spans="1:22" s="21" customFormat="1" ht="33" customHeight="1" x14ac:dyDescent="0.3">
      <c r="A6" s="30" t="s">
        <v>361</v>
      </c>
      <c r="B6" s="29" t="s">
        <v>22</v>
      </c>
      <c r="C6" s="116">
        <f>'PPTO HOJA'!A54</f>
        <v>6.01</v>
      </c>
      <c r="D6" s="28"/>
      <c r="E6" s="764" t="str">
        <f>'PPTO HOJA'!B54</f>
        <v>Excavación y perfilado manual de material común para profundidades &lt; 1 metro</v>
      </c>
      <c r="F6" s="764"/>
      <c r="G6" s="764"/>
      <c r="H6" s="764"/>
      <c r="I6" s="30" t="s">
        <v>23</v>
      </c>
      <c r="J6" s="31" t="str">
        <f>'PPTO HOJA'!C54</f>
        <v>m3</v>
      </c>
      <c r="L6" s="30" t="str">
        <f>A6</f>
        <v>VI</v>
      </c>
      <c r="M6" s="29" t="s">
        <v>22</v>
      </c>
      <c r="N6" s="238">
        <f>C6</f>
        <v>6.01</v>
      </c>
      <c r="O6" s="28"/>
      <c r="P6" s="764" t="str">
        <f>E6</f>
        <v>Excavación y perfilado manual de material común para profundidades &lt; 1 metro</v>
      </c>
      <c r="Q6" s="764"/>
      <c r="R6" s="764"/>
      <c r="S6" s="764"/>
      <c r="T6" s="30" t="s">
        <v>23</v>
      </c>
      <c r="U6" s="31" t="str">
        <f>J6</f>
        <v>m3</v>
      </c>
      <c r="V6" s="276" t="s">
        <v>495</v>
      </c>
    </row>
    <row r="7" spans="1:22"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2"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2" ht="15" customHeight="1" x14ac:dyDescent="0.25">
      <c r="A9" s="22"/>
      <c r="B9" s="760" t="s">
        <v>30</v>
      </c>
      <c r="C9" s="760"/>
      <c r="D9" s="760"/>
      <c r="E9" s="760"/>
      <c r="F9" s="760"/>
      <c r="G9" s="31"/>
      <c r="H9" s="24"/>
      <c r="I9" s="33">
        <v>0.05</v>
      </c>
      <c r="J9" s="24">
        <f>ROUND(I9*J41,0)</f>
        <v>2620</v>
      </c>
      <c r="L9" s="22"/>
      <c r="M9" s="771" t="s">
        <v>30</v>
      </c>
      <c r="N9" s="771"/>
      <c r="O9" s="771"/>
      <c r="P9" s="771"/>
      <c r="Q9" s="771"/>
      <c r="R9" s="206"/>
      <c r="S9" s="181"/>
      <c r="T9" s="208">
        <v>0.05</v>
      </c>
      <c r="U9" s="181">
        <f>ROUND(T9*U41,0)</f>
        <v>2620</v>
      </c>
    </row>
    <row r="10" spans="1:22" ht="1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2"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2"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2"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2"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2" ht="15" customHeight="1" x14ac:dyDescent="0.25">
      <c r="A15" s="22"/>
      <c r="B15" s="761" t="s">
        <v>31</v>
      </c>
      <c r="C15" s="761"/>
      <c r="D15" s="761"/>
      <c r="E15" s="761"/>
      <c r="F15" s="761"/>
      <c r="G15" s="761"/>
      <c r="H15" s="761"/>
      <c r="I15" s="761"/>
      <c r="J15" s="24">
        <f>SUM(J9:J14)</f>
        <v>2620</v>
      </c>
      <c r="L15" s="22"/>
      <c r="M15" s="772" t="s">
        <v>31</v>
      </c>
      <c r="N15" s="772"/>
      <c r="O15" s="772"/>
      <c r="P15" s="772"/>
      <c r="Q15" s="772"/>
      <c r="R15" s="772"/>
      <c r="S15" s="772"/>
      <c r="T15" s="772"/>
      <c r="U15" s="181">
        <f>SUM(U9:U14)</f>
        <v>2620</v>
      </c>
    </row>
    <row r="16" spans="1:22"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1"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1" ht="14.25" customHeight="1" x14ac:dyDescent="0.25">
      <c r="A19" s="22"/>
      <c r="B19" s="764"/>
      <c r="C19" s="764"/>
      <c r="D19" s="764"/>
      <c r="E19" s="764"/>
      <c r="F19" s="34"/>
      <c r="G19" s="31" t="str">
        <f>IF(F19=0,"",VLOOKUP(B19,'LISTADO DE MATERIALES'!$B$6:$D$311,2,FALSE))</f>
        <v/>
      </c>
      <c r="H19" s="107"/>
      <c r="I19" s="24" t="str">
        <f>IF(F19=0,"",VLOOKUP(B19,'LISTADO DE MATERIALES'!$B$6:$D$311,3,FALSE))</f>
        <v/>
      </c>
      <c r="J19" s="24">
        <f>IF(I19="",0,ROUND((+F19*I19*(1+H19)),0))</f>
        <v>0</v>
      </c>
      <c r="L19" s="22"/>
      <c r="M19" s="777"/>
      <c r="N19" s="777"/>
      <c r="O19" s="777"/>
      <c r="P19" s="777"/>
      <c r="Q19" s="180"/>
      <c r="R19" s="206" t="s">
        <v>501</v>
      </c>
      <c r="S19" s="209"/>
      <c r="T19" s="181" t="s">
        <v>501</v>
      </c>
      <c r="U19" s="181">
        <f>IF(T19="",0,ROUND((+Q19*T19*(1+S19)),0))</f>
        <v>0</v>
      </c>
    </row>
    <row r="20" spans="1:21" ht="15" customHeight="1" x14ac:dyDescent="0.25">
      <c r="A20" s="22"/>
      <c r="B20" s="760"/>
      <c r="C20" s="760"/>
      <c r="D20" s="760"/>
      <c r="E20" s="760"/>
      <c r="F20" s="34"/>
      <c r="G20" s="31" t="str">
        <f>IF(F20=0,"",VLOOKUP(B20,'LISTADO DE MATERIALES'!$B$6:$D$311,2,FALSE))</f>
        <v/>
      </c>
      <c r="H20" s="107"/>
      <c r="I20" s="24" t="str">
        <f>IF(F20=0,"",VLOOKUP(B20,'LISTADO DE MATERIALES'!$B$6:$D$311,3,FALSE))</f>
        <v/>
      </c>
      <c r="J20" s="24">
        <f t="shared" ref="J20:J24" si="2">IF(I20="",0,ROUND((+F20*I20*(1+H20)),0))</f>
        <v>0</v>
      </c>
      <c r="L20" s="22"/>
      <c r="M20" s="771"/>
      <c r="N20" s="771"/>
      <c r="O20" s="771"/>
      <c r="P20" s="771"/>
      <c r="Q20" s="180"/>
      <c r="R20" s="206" t="s">
        <v>501</v>
      </c>
      <c r="S20" s="209"/>
      <c r="T20" s="181" t="s">
        <v>501</v>
      </c>
      <c r="U20" s="181">
        <f t="shared" ref="U20:U24" si="3">IF(T20="",0,ROUND((+Q20*T20*(1+S20)),0))</f>
        <v>0</v>
      </c>
    </row>
    <row r="21" spans="1:21" ht="15" customHeight="1" x14ac:dyDescent="0.25">
      <c r="A21" s="22"/>
      <c r="B21" s="760"/>
      <c r="C21" s="760"/>
      <c r="D21" s="760"/>
      <c r="E21" s="760"/>
      <c r="F21" s="34"/>
      <c r="G21" s="31" t="str">
        <f>IF(F21=0,"",VLOOKUP(B21,'LISTADO DE MATERIALES'!$B$6:$D$311,2,FALSE))</f>
        <v/>
      </c>
      <c r="H21" s="107"/>
      <c r="I21" s="24" t="str">
        <f>IF(F21=0,"",VLOOKUP(B21,'LISTADO DE MATERIALES'!$B$6:$D$311,3,FALSE))</f>
        <v/>
      </c>
      <c r="J21" s="24">
        <f t="shared" si="2"/>
        <v>0</v>
      </c>
      <c r="L21" s="22"/>
      <c r="M21" s="771"/>
      <c r="N21" s="771"/>
      <c r="O21" s="771"/>
      <c r="P21" s="771"/>
      <c r="Q21" s="180"/>
      <c r="R21" s="206" t="s">
        <v>501</v>
      </c>
      <c r="S21" s="209"/>
      <c r="T21" s="181" t="s">
        <v>501</v>
      </c>
      <c r="U21" s="181">
        <f t="shared" si="3"/>
        <v>0</v>
      </c>
    </row>
    <row r="22" spans="1:21"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c r="N22" s="771"/>
      <c r="O22" s="771"/>
      <c r="P22" s="771"/>
      <c r="Q22" s="180"/>
      <c r="R22" s="206" t="s">
        <v>501</v>
      </c>
      <c r="S22" s="209"/>
      <c r="T22" s="181" t="s">
        <v>501</v>
      </c>
      <c r="U22" s="181">
        <f t="shared" si="3"/>
        <v>0</v>
      </c>
    </row>
    <row r="23" spans="1:21"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1"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1" ht="15" customHeight="1" x14ac:dyDescent="0.25">
      <c r="A25" s="22"/>
      <c r="B25" s="761" t="s">
        <v>37</v>
      </c>
      <c r="C25" s="761"/>
      <c r="D25" s="761"/>
      <c r="E25" s="761"/>
      <c r="F25" s="761"/>
      <c r="G25" s="761"/>
      <c r="H25" s="761"/>
      <c r="I25" s="761"/>
      <c r="J25" s="24">
        <f>SUM(J19:J24)</f>
        <v>0</v>
      </c>
      <c r="L25" s="22"/>
      <c r="M25" s="772" t="s">
        <v>37</v>
      </c>
      <c r="N25" s="772"/>
      <c r="O25" s="772"/>
      <c r="P25" s="772"/>
      <c r="Q25" s="772"/>
      <c r="R25" s="772"/>
      <c r="S25" s="772"/>
      <c r="T25" s="772"/>
      <c r="U25" s="181">
        <f>SUM(U19:U24)</f>
        <v>0</v>
      </c>
    </row>
    <row r="26" spans="1:21" ht="7.5" customHeight="1" x14ac:dyDescent="0.25">
      <c r="A26" s="22"/>
      <c r="B26" s="25"/>
      <c r="C26" s="25"/>
      <c r="D26" s="25"/>
      <c r="E26" s="25"/>
      <c r="F26" s="25"/>
      <c r="G26" s="25"/>
      <c r="H26" s="25"/>
      <c r="I26" s="25"/>
      <c r="J26" s="26"/>
      <c r="L26" s="22"/>
      <c r="M26" s="25"/>
      <c r="N26" s="25"/>
      <c r="O26" s="25"/>
      <c r="P26" s="25"/>
      <c r="Q26" s="25"/>
      <c r="R26" s="25"/>
      <c r="S26" s="25"/>
      <c r="T26" s="25"/>
      <c r="U26" s="26"/>
    </row>
    <row r="27" spans="1:21"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1"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1" ht="15" customHeight="1" x14ac:dyDescent="0.25">
      <c r="A29" s="22"/>
      <c r="B29" s="760"/>
      <c r="C29" s="760"/>
      <c r="D29" s="760"/>
      <c r="E29" s="760"/>
      <c r="F29" s="760"/>
      <c r="G29" s="31"/>
      <c r="H29" s="34"/>
      <c r="I29" s="24"/>
      <c r="J29" s="24">
        <f>ROUND((I29*H29*G29),0)</f>
        <v>0</v>
      </c>
      <c r="L29" s="22"/>
      <c r="M29" s="771"/>
      <c r="N29" s="771"/>
      <c r="O29" s="771"/>
      <c r="P29" s="771"/>
      <c r="Q29" s="771"/>
      <c r="R29" s="206"/>
      <c r="S29" s="180"/>
      <c r="T29" s="181"/>
      <c r="U29" s="181">
        <f>ROUND((T29*S29*R29),0)</f>
        <v>0</v>
      </c>
    </row>
    <row r="30" spans="1:21"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1"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1"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0</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120</v>
      </c>
      <c r="C37" s="760"/>
      <c r="D37" s="760"/>
      <c r="E37" s="760"/>
      <c r="F37" s="760"/>
      <c r="G37" s="24">
        <f>IF(B37="","",VLOOKUP(B37,CUADRILLAS!$B$87:$C$101,2,FALSE))</f>
        <v>157213.73333333334</v>
      </c>
      <c r="H37" s="31">
        <v>1</v>
      </c>
      <c r="I37" s="34">
        <v>9</v>
      </c>
      <c r="J37" s="24">
        <f>ROUND(+IF(I37=0,0,G37*H37/I37),0)</f>
        <v>17468</v>
      </c>
      <c r="L37" s="22"/>
      <c r="M37" s="771" t="s">
        <v>120</v>
      </c>
      <c r="N37" s="771"/>
      <c r="O37" s="771"/>
      <c r="P37" s="771"/>
      <c r="Q37" s="771"/>
      <c r="R37" s="181">
        <v>157213.73333333334</v>
      </c>
      <c r="S37" s="206">
        <v>1</v>
      </c>
      <c r="T37" s="180">
        <v>9</v>
      </c>
      <c r="U37" s="181">
        <f>ROUND(+IF(T37=0,0,R37*S37/T37),0)</f>
        <v>17468</v>
      </c>
    </row>
    <row r="38" spans="1:21" ht="15" customHeight="1" x14ac:dyDescent="0.25">
      <c r="A38" s="22"/>
      <c r="B38" s="760" t="s">
        <v>121</v>
      </c>
      <c r="C38" s="760"/>
      <c r="D38" s="760"/>
      <c r="E38" s="760"/>
      <c r="F38" s="760"/>
      <c r="G38" s="24">
        <f>IF(B38="","",VLOOKUP(B38,CUADRILLAS!$B$87:$C$101,2,FALSE))</f>
        <v>78606.866666666669</v>
      </c>
      <c r="H38" s="31">
        <v>4</v>
      </c>
      <c r="I38" s="34">
        <f>I37</f>
        <v>9</v>
      </c>
      <c r="J38" s="24">
        <f>ROUND(+IF(I38=0,0,G38*H38/I38),0)</f>
        <v>34936</v>
      </c>
      <c r="L38" s="22"/>
      <c r="M38" s="771" t="s">
        <v>121</v>
      </c>
      <c r="N38" s="771"/>
      <c r="O38" s="771"/>
      <c r="P38" s="771"/>
      <c r="Q38" s="771"/>
      <c r="R38" s="181">
        <v>78606.866666666669</v>
      </c>
      <c r="S38" s="206">
        <v>4</v>
      </c>
      <c r="T38" s="180">
        <v>9</v>
      </c>
      <c r="U38" s="181">
        <f>ROUND(+IF(T38=0,0,R38*S38/T38),0)</f>
        <v>34936</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52404</v>
      </c>
      <c r="L41" s="22"/>
      <c r="M41" s="772" t="s">
        <v>42</v>
      </c>
      <c r="N41" s="772"/>
      <c r="O41" s="772"/>
      <c r="P41" s="772"/>
      <c r="Q41" s="772"/>
      <c r="R41" s="772"/>
      <c r="S41" s="772"/>
      <c r="T41" s="772"/>
      <c r="U41" s="181">
        <f>SUM(U37:U40)</f>
        <v>52404</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55024</v>
      </c>
      <c r="L43" s="27"/>
      <c r="M43" s="773" t="s">
        <v>43</v>
      </c>
      <c r="N43" s="773"/>
      <c r="O43" s="773"/>
      <c r="P43" s="773"/>
      <c r="Q43" s="773"/>
      <c r="R43" s="773"/>
      <c r="S43" s="773"/>
      <c r="T43" s="773"/>
      <c r="U43" s="210">
        <f>+U41+U33+U15+U25</f>
        <v>55024</v>
      </c>
    </row>
    <row r="44" spans="1:21" x14ac:dyDescent="0.25">
      <c r="B44" s="21"/>
      <c r="C44" s="21"/>
      <c r="D44" s="21"/>
      <c r="E44" s="21"/>
      <c r="F44" s="21"/>
      <c r="G44" s="21"/>
      <c r="H44" s="21"/>
      <c r="I44" s="21"/>
      <c r="J44" s="21"/>
    </row>
  </sheetData>
  <mergeCells count="78">
    <mergeCell ref="M39:Q39"/>
    <mergeCell ref="M40:Q40"/>
    <mergeCell ref="M41:T41"/>
    <mergeCell ref="M43:T43"/>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13" display="'PPTO HOJA'!A13" xr:uid="{00000000-0004-0000-2700-000000000000}"/>
    <hyperlink ref="N6" location="'PPTO HOJA'!A15" display="'PPTO HOJA'!A15" xr:uid="{00000000-0004-0000-2700-000001000000}"/>
  </hyperlinks>
  <pageMargins left="0.7" right="0.7" top="0.75" bottom="0.75" header="0.3" footer="0.3"/>
  <pageSetup paperSize="9" scale="37"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2700-000000000000}">
          <x14:formula1>
            <xm:f>CUADRILLAS!$B$86:$B$101</xm:f>
          </x14:formula1>
          <xm:sqref>B37:F40</xm:sqref>
        </x14:dataValidation>
      </x14:dataValidations>
    </ext>
  </extLs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theme="9" tint="0.59999389629810485"/>
  </sheetPr>
  <dimension ref="A1:V66"/>
  <sheetViews>
    <sheetView topLeftCell="C1"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9" style="20" bestFit="1" customWidth="1"/>
    <col min="11" max="11" width="6.33203125" style="20" customWidth="1"/>
    <col min="12" max="17" width="11.44140625" style="20"/>
    <col min="18" max="18" width="13.109375" style="20" bestFit="1" customWidth="1"/>
    <col min="19" max="19" width="12.33203125" style="20" bestFit="1" customWidth="1"/>
    <col min="20" max="20" width="11.44140625" style="20"/>
    <col min="21" max="21" width="19" style="20" bestFit="1" customWidth="1"/>
    <col min="22" max="16384" width="11.44140625" style="20"/>
  </cols>
  <sheetData>
    <row r="1" spans="1:22"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2"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2"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2" x14ac:dyDescent="0.25">
      <c r="A4" s="765"/>
      <c r="B4" s="765"/>
      <c r="C4" s="765"/>
      <c r="D4" s="766" t="s">
        <v>20</v>
      </c>
      <c r="E4" s="766"/>
      <c r="F4" s="766"/>
      <c r="G4" s="766"/>
      <c r="H4" s="766"/>
      <c r="I4" s="766"/>
      <c r="J4" s="766"/>
      <c r="L4" s="765"/>
      <c r="M4" s="765"/>
      <c r="N4" s="765"/>
      <c r="O4" s="766" t="s">
        <v>20</v>
      </c>
      <c r="P4" s="766"/>
      <c r="Q4" s="766"/>
      <c r="R4" s="766"/>
      <c r="S4" s="766"/>
      <c r="T4" s="766"/>
      <c r="U4" s="766"/>
    </row>
    <row r="5" spans="1:22" ht="9.75" customHeight="1" x14ac:dyDescent="0.25">
      <c r="A5" s="22"/>
      <c r="J5" s="23"/>
      <c r="L5" s="22"/>
      <c r="U5" s="23"/>
    </row>
    <row r="6" spans="1:22" s="21" customFormat="1" ht="33" customHeight="1" x14ac:dyDescent="0.3">
      <c r="A6" s="30" t="s">
        <v>361</v>
      </c>
      <c r="B6" s="29" t="s">
        <v>22</v>
      </c>
      <c r="C6" s="116">
        <f>'PPTO HOJA'!A55</f>
        <v>6.02</v>
      </c>
      <c r="D6" s="28"/>
      <c r="E6" s="764" t="str">
        <f>'PPTO HOJA'!B55</f>
        <v>Construcción de pilote tipo Casisson h = 0.00 &lt; 1.00 m, diámetro interno de 1.20 m, Incluye anillo en concreto reforzado  e=10 cm (diámetro total de 1.40 m). Incluye excavación varia en material común bajo cualquier grado de humedad, transporte y disposición final de los materiales y medido en su posición original.</v>
      </c>
      <c r="F6" s="764"/>
      <c r="G6" s="764"/>
      <c r="H6" s="764"/>
      <c r="I6" s="30" t="s">
        <v>23</v>
      </c>
      <c r="J6" s="31" t="str">
        <f>'PPTO HOJA'!C55</f>
        <v>m</v>
      </c>
      <c r="L6" s="30" t="str">
        <f>A6</f>
        <v>VI</v>
      </c>
      <c r="M6" s="29" t="s">
        <v>22</v>
      </c>
      <c r="N6" s="238">
        <f>C6</f>
        <v>6.02</v>
      </c>
      <c r="O6" s="28"/>
      <c r="P6" s="764" t="str">
        <f>E6</f>
        <v>Construcción de pilote tipo Casisson h = 0.00 &lt; 1.00 m, diámetro interno de 1.20 m, Incluye anillo en concreto reforzado  e=10 cm (diámetro total de 1.40 m). Incluye excavación varia en material común bajo cualquier grado de humedad, transporte y disposición final de los materiales y medido en su posición original.</v>
      </c>
      <c r="Q6" s="764"/>
      <c r="R6" s="764"/>
      <c r="S6" s="764"/>
      <c r="T6" s="30" t="s">
        <v>23</v>
      </c>
      <c r="U6" s="31" t="str">
        <f>J6</f>
        <v>m</v>
      </c>
      <c r="V6" s="276" t="s">
        <v>496</v>
      </c>
    </row>
    <row r="7" spans="1:22"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2"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2" ht="15" customHeight="1" x14ac:dyDescent="0.25">
      <c r="A9" s="22"/>
      <c r="B9" s="760" t="s">
        <v>30</v>
      </c>
      <c r="C9" s="760"/>
      <c r="D9" s="760"/>
      <c r="E9" s="760"/>
      <c r="F9" s="760"/>
      <c r="G9" s="31"/>
      <c r="H9" s="24"/>
      <c r="I9" s="33">
        <v>0.05</v>
      </c>
      <c r="J9" s="24">
        <f>ROUND(I9*J42,0)</f>
        <v>29478</v>
      </c>
      <c r="L9" s="22"/>
      <c r="M9" s="771" t="s">
        <v>30</v>
      </c>
      <c r="N9" s="771"/>
      <c r="O9" s="771"/>
      <c r="P9" s="771"/>
      <c r="Q9" s="771"/>
      <c r="R9" s="206"/>
      <c r="S9" s="181"/>
      <c r="T9" s="208">
        <v>0.05</v>
      </c>
      <c r="U9" s="181">
        <f>ROUND(T9*U42,0)</f>
        <v>54420</v>
      </c>
    </row>
    <row r="10" spans="1:22" ht="15" customHeight="1" x14ac:dyDescent="0.25">
      <c r="A10" s="22"/>
      <c r="B10" s="760" t="s">
        <v>107</v>
      </c>
      <c r="C10" s="760"/>
      <c r="D10" s="760"/>
      <c r="E10" s="760"/>
      <c r="F10" s="760"/>
      <c r="G10" s="31" t="str">
        <f>IF(B10="","",VLOOKUP(B10,EQUIPOS!$B$7:$F$46,3,FALSE))</f>
        <v>Gasolina</v>
      </c>
      <c r="H10" s="24">
        <f>IF(B10="","",VLOOKUP(B10,EQUIPOS!$B$7:$F$46,5,FALSE))</f>
        <v>85000</v>
      </c>
      <c r="I10" s="34">
        <f>+I38</f>
        <v>2</v>
      </c>
      <c r="J10" s="24">
        <f t="shared" ref="J10" si="0">IF(B10="",0,ROUND(H10/I10,0))</f>
        <v>42500</v>
      </c>
      <c r="L10" s="22"/>
      <c r="M10" s="777" t="s">
        <v>362</v>
      </c>
      <c r="N10" s="777"/>
      <c r="O10" s="777"/>
      <c r="P10" s="777"/>
      <c r="Q10" s="777"/>
      <c r="R10" s="206" t="s">
        <v>46</v>
      </c>
      <c r="S10" s="181">
        <v>80000</v>
      </c>
      <c r="T10" s="180">
        <f>+T38*5</f>
        <v>3.25</v>
      </c>
      <c r="U10" s="181">
        <f>IF(M10="",0,ROUND(S10/T10,0))</f>
        <v>24615</v>
      </c>
    </row>
    <row r="11" spans="1:22" ht="15" customHeight="1" x14ac:dyDescent="0.25">
      <c r="A11" s="22"/>
      <c r="B11" s="760"/>
      <c r="C11" s="760"/>
      <c r="D11" s="760"/>
      <c r="E11" s="760"/>
      <c r="F11" s="760"/>
      <c r="G11" s="31"/>
      <c r="H11" s="24"/>
      <c r="I11" s="34"/>
      <c r="J11" s="24">
        <f t="shared" ref="J11:J13" si="1">IF(B11="",0,ROUND(H11/I11,0))</f>
        <v>0</v>
      </c>
      <c r="L11" s="22"/>
      <c r="M11" s="771"/>
      <c r="N11" s="771"/>
      <c r="O11" s="771"/>
      <c r="P11" s="771"/>
      <c r="Q11" s="771"/>
      <c r="R11" s="206" t="s">
        <v>501</v>
      </c>
      <c r="S11" s="181" t="s">
        <v>501</v>
      </c>
      <c r="T11" s="180"/>
      <c r="U11" s="181">
        <f t="shared" ref="U11:U13" si="2">IF(M11="",0,ROUND(S11/T11,0))</f>
        <v>0</v>
      </c>
    </row>
    <row r="12" spans="1:22" ht="15" customHeight="1" x14ac:dyDescent="0.25">
      <c r="A12" s="22"/>
      <c r="B12" s="760"/>
      <c r="C12" s="760"/>
      <c r="D12" s="760"/>
      <c r="E12" s="760"/>
      <c r="F12" s="760"/>
      <c r="G12" s="31" t="str">
        <f>IF(B12="","",VLOOKUP(B12,EQUIPOS!$B$7:$F$46,3,FALSE))</f>
        <v/>
      </c>
      <c r="H12" s="24" t="str">
        <f>IF(B12="","",VLOOKUP(B12,EQUIPOS!$B$7:$F$46,5,FALSE))</f>
        <v/>
      </c>
      <c r="I12" s="34"/>
      <c r="J12" s="24">
        <f t="shared" si="1"/>
        <v>0</v>
      </c>
      <c r="L12" s="22"/>
      <c r="M12" s="771"/>
      <c r="N12" s="771"/>
      <c r="O12" s="771"/>
      <c r="P12" s="771"/>
      <c r="Q12" s="771"/>
      <c r="R12" s="206" t="s">
        <v>501</v>
      </c>
      <c r="S12" s="181" t="s">
        <v>501</v>
      </c>
      <c r="T12" s="180"/>
      <c r="U12" s="181">
        <f t="shared" si="2"/>
        <v>0</v>
      </c>
    </row>
    <row r="13" spans="1:22" ht="15" customHeight="1" x14ac:dyDescent="0.25">
      <c r="A13" s="22"/>
      <c r="B13" s="760"/>
      <c r="C13" s="760"/>
      <c r="D13" s="760"/>
      <c r="E13" s="760"/>
      <c r="F13" s="760"/>
      <c r="G13" s="31" t="str">
        <f>IF(B13="","",VLOOKUP(B13,EQUIPOS!$B$7:$F$46,3,FALSE))</f>
        <v/>
      </c>
      <c r="H13" s="24" t="str">
        <f>IF(B13="","",VLOOKUP(B13,EQUIPOS!$B$7:$F$46,5,FALSE))</f>
        <v/>
      </c>
      <c r="I13" s="34"/>
      <c r="J13" s="24">
        <f t="shared" si="1"/>
        <v>0</v>
      </c>
      <c r="L13" s="22"/>
      <c r="M13" s="771"/>
      <c r="N13" s="771"/>
      <c r="O13" s="771"/>
      <c r="P13" s="771"/>
      <c r="Q13" s="771"/>
      <c r="R13" s="206" t="s">
        <v>501</v>
      </c>
      <c r="S13" s="181" t="s">
        <v>501</v>
      </c>
      <c r="T13" s="180"/>
      <c r="U13" s="181">
        <f t="shared" si="2"/>
        <v>0</v>
      </c>
    </row>
    <row r="14" spans="1:22"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2" ht="15" customHeight="1" x14ac:dyDescent="0.25">
      <c r="A15" s="22"/>
      <c r="B15" s="761" t="s">
        <v>31</v>
      </c>
      <c r="C15" s="761"/>
      <c r="D15" s="761"/>
      <c r="E15" s="761"/>
      <c r="F15" s="761"/>
      <c r="G15" s="761"/>
      <c r="H15" s="761"/>
      <c r="I15" s="761"/>
      <c r="J15" s="24">
        <f>SUM(J9:J14)</f>
        <v>71978</v>
      </c>
      <c r="L15" s="22"/>
      <c r="M15" s="772" t="s">
        <v>31</v>
      </c>
      <c r="N15" s="772"/>
      <c r="O15" s="772"/>
      <c r="P15" s="772"/>
      <c r="Q15" s="772"/>
      <c r="R15" s="772"/>
      <c r="S15" s="772"/>
      <c r="T15" s="772"/>
      <c r="U15" s="181">
        <f>SUM(U9:U14)</f>
        <v>79035</v>
      </c>
    </row>
    <row r="16" spans="1:22"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1"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1" ht="27" customHeight="1" x14ac:dyDescent="0.25">
      <c r="A19" s="22"/>
      <c r="B19" s="791" t="str">
        <f>+'PPTO HOJA'!B12</f>
        <v>Excavación manual en material común bajo cualquier grado de humedad</v>
      </c>
      <c r="C19" s="792"/>
      <c r="D19" s="792"/>
      <c r="E19" s="793"/>
      <c r="F19" s="180">
        <f>+PI()*0.7^2*1</f>
        <v>1.5393804002589984</v>
      </c>
      <c r="G19" s="206" t="s">
        <v>261</v>
      </c>
      <c r="H19" s="207"/>
      <c r="I19" s="280">
        <f>+'PPTO HOJA'!E12</f>
        <v>41268</v>
      </c>
      <c r="J19" s="24">
        <f>IF(I19="",0,ROUND((+F19*I19*(1+H19)),0))</f>
        <v>63527</v>
      </c>
      <c r="L19" s="22"/>
      <c r="M19" s="206"/>
      <c r="N19" s="206"/>
      <c r="O19" s="206"/>
      <c r="P19" s="206"/>
      <c r="Q19" s="205"/>
      <c r="R19" s="206"/>
      <c r="S19" s="207"/>
      <c r="T19" s="207"/>
      <c r="U19" s="207"/>
    </row>
    <row r="20" spans="1:21" ht="14.25" customHeight="1" x14ac:dyDescent="0.25">
      <c r="A20" s="22"/>
      <c r="B20" s="764" t="s">
        <v>514</v>
      </c>
      <c r="C20" s="764"/>
      <c r="D20" s="764"/>
      <c r="E20" s="764"/>
      <c r="F20" s="34">
        <f>+PI()*(0.7^2-0.6^2)*0.65</f>
        <v>0.26546457922833744</v>
      </c>
      <c r="G20" s="31" t="s">
        <v>261</v>
      </c>
      <c r="H20" s="107">
        <v>0.1</v>
      </c>
      <c r="I20" s="24">
        <f>+'APU BÁSICOS'!J91</f>
        <v>1003196</v>
      </c>
      <c r="J20" s="24">
        <f>IF(I20="",0,ROUND((+F20*I20*(1+H20)),0))</f>
        <v>292944</v>
      </c>
      <c r="L20" s="295"/>
      <c r="M20" s="777"/>
      <c r="N20" s="777"/>
      <c r="O20" s="777"/>
      <c r="P20" s="777"/>
      <c r="Q20" s="180"/>
      <c r="R20" s="206" t="s">
        <v>501</v>
      </c>
      <c r="S20" s="209"/>
      <c r="T20" s="181" t="s">
        <v>501</v>
      </c>
      <c r="U20" s="181">
        <f>IF(T20="",0,ROUND((+Q20*T20*(1+S20)),0))</f>
        <v>0</v>
      </c>
    </row>
    <row r="21" spans="1:21" ht="15" customHeight="1" x14ac:dyDescent="0.25">
      <c r="A21" s="22"/>
      <c r="B21" s="764" t="s">
        <v>509</v>
      </c>
      <c r="C21" s="764"/>
      <c r="D21" s="764"/>
      <c r="E21" s="764"/>
      <c r="F21" s="34">
        <f>+(PI()*0.6^2*0.65)*0.7</f>
        <v>0.51459287665800812</v>
      </c>
      <c r="G21" s="31" t="str">
        <f>+'APU BÁSICOS'!J6</f>
        <v>m3</v>
      </c>
      <c r="H21" s="107">
        <v>0.1</v>
      </c>
      <c r="I21" s="24">
        <f>+'APU BÁSICOS'!J45</f>
        <v>1024596</v>
      </c>
      <c r="J21" s="24">
        <f t="shared" ref="J21:J25" si="3">IF(I21="",0,ROUND((+F21*I21*(1+H21)),0))</f>
        <v>579975</v>
      </c>
      <c r="L21" s="22"/>
      <c r="M21" s="771"/>
      <c r="N21" s="771"/>
      <c r="O21" s="771"/>
      <c r="P21" s="771"/>
      <c r="Q21" s="180"/>
      <c r="R21" s="206" t="s">
        <v>501</v>
      </c>
      <c r="S21" s="209"/>
      <c r="T21" s="181" t="s">
        <v>501</v>
      </c>
      <c r="U21" s="181">
        <f t="shared" ref="U21:U25" si="4">IF(T21="",0,ROUND((+Q21*T21*(1+S21)),0))</f>
        <v>0</v>
      </c>
    </row>
    <row r="22" spans="1:21" ht="15" customHeight="1" x14ac:dyDescent="0.25">
      <c r="A22" s="22"/>
      <c r="B22" s="760" t="s">
        <v>265</v>
      </c>
      <c r="C22" s="760"/>
      <c r="D22" s="760"/>
      <c r="E22" s="760"/>
      <c r="F22" s="34">
        <f>+(PI()*0.6^2*0.65)*0.3</f>
        <v>0.22053980428200348</v>
      </c>
      <c r="G22" s="31" t="str">
        <f>IF(F22=0,"",VLOOKUP(B22,'LISTADO DE MATERIALES'!$B$6:$D$311,2,FALSE))</f>
        <v>m3</v>
      </c>
      <c r="H22" s="107">
        <v>0.1</v>
      </c>
      <c r="I22" s="24">
        <f>IF(F22=0,"",VLOOKUP(B22,'LISTADO DE MATERIALES'!$B$6:$D$311,3,FALSE))</f>
        <v>182390</v>
      </c>
      <c r="J22" s="24">
        <f t="shared" si="3"/>
        <v>44247</v>
      </c>
      <c r="L22" s="22"/>
      <c r="M22" s="771"/>
      <c r="N22" s="771"/>
      <c r="O22" s="771"/>
      <c r="P22" s="771"/>
      <c r="Q22" s="180"/>
      <c r="R22" s="206" t="s">
        <v>501</v>
      </c>
      <c r="S22" s="209"/>
      <c r="T22" s="181" t="s">
        <v>501</v>
      </c>
      <c r="U22" s="181">
        <f t="shared" si="4"/>
        <v>0</v>
      </c>
    </row>
    <row r="23" spans="1:21" ht="15" customHeight="1" x14ac:dyDescent="0.25">
      <c r="A23" s="22"/>
      <c r="B23" s="760" t="s">
        <v>250</v>
      </c>
      <c r="C23" s="760"/>
      <c r="D23" s="760"/>
      <c r="E23" s="760"/>
      <c r="F23" s="34">
        <f>+F66</f>
        <v>120.10509999999999</v>
      </c>
      <c r="G23" s="31" t="str">
        <f>IF(F23=0,"",VLOOKUP(B23,'LISTADO DE MATERIALES'!$B$6:$D$311,2,FALSE))</f>
        <v>Kg</v>
      </c>
      <c r="H23" s="107">
        <v>0.05</v>
      </c>
      <c r="I23" s="24">
        <f>IF(F23=0,"",VLOOKUP(B23,'LISTADO DE MATERIALES'!$B$6:$D$311,3,FALSE))</f>
        <v>6225</v>
      </c>
      <c r="J23" s="24">
        <f t="shared" si="3"/>
        <v>785037</v>
      </c>
      <c r="L23" s="22"/>
      <c r="M23" s="771"/>
      <c r="N23" s="771"/>
      <c r="O23" s="771"/>
      <c r="P23" s="771"/>
      <c r="Q23" s="180"/>
      <c r="R23" s="206" t="s">
        <v>501</v>
      </c>
      <c r="S23" s="209"/>
      <c r="T23" s="181" t="s">
        <v>501</v>
      </c>
      <c r="U23" s="181">
        <f t="shared" si="4"/>
        <v>0</v>
      </c>
    </row>
    <row r="24" spans="1:21" ht="15" customHeight="1" x14ac:dyDescent="0.25">
      <c r="A24" s="22"/>
      <c r="B24" s="760" t="s">
        <v>251</v>
      </c>
      <c r="C24" s="760"/>
      <c r="D24" s="760"/>
      <c r="E24" s="760"/>
      <c r="F24" s="34">
        <f>+F23*0.05</f>
        <v>6.005255</v>
      </c>
      <c r="G24" s="31" t="str">
        <f>IF(F24=0,"",VLOOKUP(B24,'LISTADO DE MATERIALES'!$B$6:$D$311,2,FALSE))</f>
        <v>Kg</v>
      </c>
      <c r="H24" s="107">
        <v>0.05</v>
      </c>
      <c r="I24" s="24">
        <f>IF(F24=0,"",VLOOKUP(B24,'LISTADO DE MATERIALES'!$B$6:$D$311,3,FALSE))</f>
        <v>12450</v>
      </c>
      <c r="J24" s="24">
        <f t="shared" si="3"/>
        <v>78504</v>
      </c>
      <c r="L24" s="22"/>
      <c r="M24" s="771"/>
      <c r="N24" s="771"/>
      <c r="O24" s="771"/>
      <c r="P24" s="771"/>
      <c r="Q24" s="180"/>
      <c r="R24" s="206" t="s">
        <v>501</v>
      </c>
      <c r="S24" s="209"/>
      <c r="T24" s="181" t="s">
        <v>501</v>
      </c>
      <c r="U24" s="181">
        <f t="shared" si="4"/>
        <v>0</v>
      </c>
    </row>
    <row r="25" spans="1:21" ht="28.2" customHeight="1" x14ac:dyDescent="0.25">
      <c r="A25" s="22"/>
      <c r="B25" s="764" t="s">
        <v>508</v>
      </c>
      <c r="C25" s="764"/>
      <c r="D25" s="764"/>
      <c r="E25" s="764"/>
      <c r="F25" s="34">
        <f>((2*PI()*0.6)/0.3)/3</f>
        <v>4.1887902047863905</v>
      </c>
      <c r="G25" s="31" t="str">
        <f>IF(F25=0,"",VLOOKUP(B25,'LISTADO DE MATERIALES'!$B$6:$D$311,2,FALSE))</f>
        <v>und</v>
      </c>
      <c r="H25" s="107">
        <v>0.05</v>
      </c>
      <c r="I25" s="24">
        <f>IF(F25=0,"",VLOOKUP(B25,'LISTADO DE MATERIALES'!$B$6:$D$311,3,FALSE))</f>
        <v>25000</v>
      </c>
      <c r="J25" s="24">
        <f t="shared" si="3"/>
        <v>109956</v>
      </c>
      <c r="L25" s="295"/>
      <c r="M25" s="771"/>
      <c r="N25" s="771"/>
      <c r="O25" s="771"/>
      <c r="P25" s="771"/>
      <c r="Q25" s="180"/>
      <c r="R25" s="206" t="s">
        <v>501</v>
      </c>
      <c r="S25" s="209"/>
      <c r="T25" s="181" t="s">
        <v>501</v>
      </c>
      <c r="U25" s="181">
        <f t="shared" si="4"/>
        <v>0</v>
      </c>
    </row>
    <row r="26" spans="1:21" ht="15" customHeight="1" x14ac:dyDescent="0.25">
      <c r="A26" s="22"/>
      <c r="B26" s="761" t="s">
        <v>37</v>
      </c>
      <c r="C26" s="761"/>
      <c r="D26" s="761"/>
      <c r="E26" s="761"/>
      <c r="F26" s="761"/>
      <c r="G26" s="761"/>
      <c r="H26" s="761"/>
      <c r="I26" s="761"/>
      <c r="J26" s="24">
        <f>SUM(J19:J25)</f>
        <v>1954190</v>
      </c>
      <c r="L26" s="22"/>
      <c r="M26" s="772" t="s">
        <v>37</v>
      </c>
      <c r="N26" s="772"/>
      <c r="O26" s="772"/>
      <c r="P26" s="772"/>
      <c r="Q26" s="772"/>
      <c r="R26" s="772"/>
      <c r="S26" s="772"/>
      <c r="T26" s="772"/>
      <c r="U26" s="181">
        <f>SUM(U20:U25)</f>
        <v>0</v>
      </c>
    </row>
    <row r="27" spans="1:21" ht="7.5" customHeight="1" x14ac:dyDescent="0.25">
      <c r="A27" s="22"/>
      <c r="B27" s="25"/>
      <c r="C27" s="25"/>
      <c r="D27" s="25"/>
      <c r="E27" s="25"/>
      <c r="F27" s="25"/>
      <c r="G27" s="25"/>
      <c r="H27" s="25"/>
      <c r="I27" s="25"/>
      <c r="J27" s="26"/>
      <c r="L27" s="22"/>
      <c r="M27" s="25"/>
      <c r="N27" s="25"/>
      <c r="O27" s="25"/>
      <c r="P27" s="25"/>
      <c r="Q27" s="25"/>
      <c r="R27" s="25"/>
      <c r="S27" s="25"/>
      <c r="T27" s="25"/>
      <c r="U27" s="26"/>
    </row>
    <row r="28" spans="1:21" ht="15" customHeight="1" x14ac:dyDescent="0.25">
      <c r="A28" s="22"/>
      <c r="B28" s="761" t="s">
        <v>38</v>
      </c>
      <c r="C28" s="761"/>
      <c r="D28" s="761"/>
      <c r="E28" s="761"/>
      <c r="F28" s="761"/>
      <c r="G28" s="761"/>
      <c r="H28" s="761"/>
      <c r="I28" s="761"/>
      <c r="J28" s="761"/>
      <c r="L28" s="295"/>
      <c r="M28" s="772" t="s">
        <v>38</v>
      </c>
      <c r="N28" s="772"/>
      <c r="O28" s="772"/>
      <c r="P28" s="772"/>
      <c r="Q28" s="772"/>
      <c r="R28" s="772"/>
      <c r="S28" s="772"/>
      <c r="T28" s="772"/>
      <c r="U28" s="772"/>
    </row>
    <row r="29" spans="1:21" x14ac:dyDescent="0.25">
      <c r="A29" s="22"/>
      <c r="B29" s="763" t="s">
        <v>33</v>
      </c>
      <c r="C29" s="763"/>
      <c r="D29" s="763"/>
      <c r="E29" s="763"/>
      <c r="F29" s="763"/>
      <c r="G29" s="31" t="s">
        <v>133</v>
      </c>
      <c r="H29" s="31" t="s">
        <v>132</v>
      </c>
      <c r="I29" s="31" t="s">
        <v>39</v>
      </c>
      <c r="J29" s="32" t="s">
        <v>29</v>
      </c>
      <c r="L29" s="22"/>
      <c r="M29" s="774" t="s">
        <v>33</v>
      </c>
      <c r="N29" s="774"/>
      <c r="O29" s="774"/>
      <c r="P29" s="774"/>
      <c r="Q29" s="774"/>
      <c r="R29" s="206" t="s">
        <v>133</v>
      </c>
      <c r="S29" s="206" t="s">
        <v>132</v>
      </c>
      <c r="T29" s="206" t="s">
        <v>39</v>
      </c>
      <c r="U29" s="207" t="s">
        <v>29</v>
      </c>
    </row>
    <row r="30" spans="1:21" ht="15" customHeight="1" x14ac:dyDescent="0.25">
      <c r="A30" s="22"/>
      <c r="B30" s="760" t="s">
        <v>510</v>
      </c>
      <c r="C30" s="760"/>
      <c r="D30" s="760"/>
      <c r="E30" s="760"/>
      <c r="F30" s="760"/>
      <c r="G30" s="34">
        <f>+F19*1.3</f>
        <v>2.0011945203366981</v>
      </c>
      <c r="H30" s="34">
        <f>+TRANSPORTE!B7</f>
        <v>10.5</v>
      </c>
      <c r="I30" s="319">
        <f>+TRANSPORTE!C7</f>
        <v>1667</v>
      </c>
      <c r="J30" s="24">
        <f>ROUND((I30*H30*G30),0)</f>
        <v>35028</v>
      </c>
      <c r="L30" s="22"/>
      <c r="M30" s="771"/>
      <c r="N30" s="771"/>
      <c r="O30" s="771"/>
      <c r="P30" s="771"/>
      <c r="Q30" s="771"/>
      <c r="R30" s="206"/>
      <c r="S30" s="180"/>
      <c r="T30" s="181"/>
      <c r="U30" s="181">
        <f>ROUND((T30*S30*R30),0)</f>
        <v>0</v>
      </c>
    </row>
    <row r="31" spans="1:21" ht="15" customHeight="1" x14ac:dyDescent="0.25">
      <c r="A31" s="22"/>
      <c r="B31" s="760" t="s">
        <v>580</v>
      </c>
      <c r="C31" s="760"/>
      <c r="D31" s="760"/>
      <c r="E31" s="760"/>
      <c r="F31" s="760"/>
      <c r="G31" s="34">
        <f>+F22</f>
        <v>0.22053980428200348</v>
      </c>
      <c r="H31" s="34">
        <f>+TRANSPORTE!B6</f>
        <v>70</v>
      </c>
      <c r="I31" s="319">
        <f>+TRANSPORTE!C6</f>
        <v>1241.46</v>
      </c>
      <c r="J31" s="24">
        <f>ROUND((I31*H31*G31),0)</f>
        <v>19165</v>
      </c>
      <c r="L31" s="22"/>
      <c r="M31" s="771"/>
      <c r="N31" s="771"/>
      <c r="O31" s="771"/>
      <c r="P31" s="771"/>
      <c r="Q31" s="771"/>
      <c r="R31" s="206"/>
      <c r="S31" s="180"/>
      <c r="T31" s="181"/>
      <c r="U31" s="181">
        <v>0</v>
      </c>
    </row>
    <row r="32" spans="1:21" ht="15" customHeight="1" x14ac:dyDescent="0.25">
      <c r="A32" s="22"/>
      <c r="B32" s="760"/>
      <c r="C32" s="760"/>
      <c r="D32" s="760"/>
      <c r="E32" s="760"/>
      <c r="F32" s="760"/>
      <c r="G32" s="31"/>
      <c r="H32" s="34"/>
      <c r="I32" s="24"/>
      <c r="J32" s="24">
        <v>0</v>
      </c>
      <c r="L32" s="22"/>
      <c r="M32" s="771"/>
      <c r="N32" s="771"/>
      <c r="O32" s="771"/>
      <c r="P32" s="771"/>
      <c r="Q32" s="771"/>
      <c r="R32" s="206"/>
      <c r="S32" s="180"/>
      <c r="T32" s="181"/>
      <c r="U32" s="181">
        <v>0</v>
      </c>
    </row>
    <row r="33" spans="1:21" ht="15" customHeight="1" x14ac:dyDescent="0.25">
      <c r="A33" s="22"/>
      <c r="B33" s="760"/>
      <c r="C33" s="760"/>
      <c r="D33" s="760"/>
      <c r="E33" s="760"/>
      <c r="F33" s="760"/>
      <c r="G33" s="31"/>
      <c r="H33" s="31"/>
      <c r="I33" s="24"/>
      <c r="J33" s="24">
        <v>0</v>
      </c>
      <c r="L33" s="22"/>
      <c r="M33" s="771"/>
      <c r="N33" s="771"/>
      <c r="O33" s="771"/>
      <c r="P33" s="771"/>
      <c r="Q33" s="771"/>
      <c r="R33" s="206"/>
      <c r="S33" s="206"/>
      <c r="T33" s="181"/>
      <c r="U33" s="181">
        <v>0</v>
      </c>
    </row>
    <row r="34" spans="1:21" ht="15" customHeight="1" x14ac:dyDescent="0.25">
      <c r="A34" s="22"/>
      <c r="B34" s="761" t="s">
        <v>40</v>
      </c>
      <c r="C34" s="761"/>
      <c r="D34" s="761"/>
      <c r="E34" s="761"/>
      <c r="F34" s="761"/>
      <c r="G34" s="761"/>
      <c r="H34" s="761"/>
      <c r="I34" s="761"/>
      <c r="J34" s="24">
        <f>SUM(J30:J33)</f>
        <v>54193</v>
      </c>
      <c r="L34" s="22"/>
      <c r="M34" s="772" t="s">
        <v>40</v>
      </c>
      <c r="N34" s="772"/>
      <c r="O34" s="772"/>
      <c r="P34" s="772"/>
      <c r="Q34" s="772"/>
      <c r="R34" s="772"/>
      <c r="S34" s="772"/>
      <c r="T34" s="772"/>
      <c r="U34" s="181">
        <f>SUM(U30:U33)</f>
        <v>0</v>
      </c>
    </row>
    <row r="35" spans="1:21" ht="7.5" customHeight="1" x14ac:dyDescent="0.25">
      <c r="A35" s="22"/>
      <c r="B35" s="25"/>
      <c r="C35" s="25"/>
      <c r="D35" s="25"/>
      <c r="E35" s="25"/>
      <c r="F35" s="25"/>
      <c r="G35" s="25"/>
      <c r="H35" s="25"/>
      <c r="I35" s="25"/>
      <c r="J35" s="26"/>
      <c r="L35" s="22"/>
      <c r="M35" s="25"/>
      <c r="N35" s="25"/>
      <c r="O35" s="25"/>
      <c r="P35" s="25"/>
      <c r="Q35" s="25"/>
      <c r="R35" s="25"/>
      <c r="S35" s="25"/>
      <c r="T35" s="25"/>
      <c r="U35" s="26"/>
    </row>
    <row r="36" spans="1:21" ht="15" customHeight="1" x14ac:dyDescent="0.25">
      <c r="A36" s="22"/>
      <c r="B36" s="761" t="s">
        <v>41</v>
      </c>
      <c r="C36" s="761"/>
      <c r="D36" s="761"/>
      <c r="E36" s="761"/>
      <c r="F36" s="761"/>
      <c r="G36" s="761"/>
      <c r="H36" s="761"/>
      <c r="I36" s="761"/>
      <c r="J36" s="761"/>
      <c r="L36" s="22"/>
      <c r="M36" s="772" t="s">
        <v>41</v>
      </c>
      <c r="N36" s="772"/>
      <c r="O36" s="772"/>
      <c r="P36" s="772"/>
      <c r="Q36" s="772"/>
      <c r="R36" s="772"/>
      <c r="S36" s="772"/>
      <c r="T36" s="772"/>
      <c r="U36" s="772"/>
    </row>
    <row r="37" spans="1:21" ht="39.6" x14ac:dyDescent="0.25">
      <c r="A37" s="22"/>
      <c r="B37" s="763" t="s">
        <v>4</v>
      </c>
      <c r="C37" s="763"/>
      <c r="D37" s="763"/>
      <c r="E37" s="763"/>
      <c r="F37" s="763"/>
      <c r="G37" s="32" t="s">
        <v>51</v>
      </c>
      <c r="H37" s="32" t="s">
        <v>19</v>
      </c>
      <c r="I37" s="32" t="s">
        <v>28</v>
      </c>
      <c r="J37" s="32" t="s">
        <v>29</v>
      </c>
      <c r="L37" s="22"/>
      <c r="M37" s="774" t="s">
        <v>4</v>
      </c>
      <c r="N37" s="774"/>
      <c r="O37" s="774"/>
      <c r="P37" s="774"/>
      <c r="Q37" s="774"/>
      <c r="R37" s="207" t="s">
        <v>51</v>
      </c>
      <c r="S37" s="207" t="s">
        <v>19</v>
      </c>
      <c r="T37" s="207" t="s">
        <v>28</v>
      </c>
      <c r="U37" s="207" t="s">
        <v>29</v>
      </c>
    </row>
    <row r="38" spans="1:21" ht="15" customHeight="1" x14ac:dyDescent="0.25">
      <c r="A38" s="22"/>
      <c r="B38" s="760" t="s">
        <v>68</v>
      </c>
      <c r="C38" s="760"/>
      <c r="D38" s="760"/>
      <c r="E38" s="760"/>
      <c r="F38" s="760"/>
      <c r="G38" s="24">
        <f>IF(B38="","",VLOOKUP(B38,CUADRILLAS!$B$87:$C$101,2,FALSE))</f>
        <v>235820.59999999998</v>
      </c>
      <c r="H38" s="31">
        <v>1</v>
      </c>
      <c r="I38" s="34">
        <v>2</v>
      </c>
      <c r="J38" s="24">
        <f>ROUND(+IF(I38=0,0,G38*H38/I38),0)</f>
        <v>117910</v>
      </c>
      <c r="L38" s="22"/>
      <c r="M38" s="771" t="s">
        <v>72</v>
      </c>
      <c r="N38" s="771"/>
      <c r="O38" s="771"/>
      <c r="P38" s="771"/>
      <c r="Q38" s="771"/>
      <c r="R38" s="181">
        <v>707461.8</v>
      </c>
      <c r="S38" s="206">
        <v>1</v>
      </c>
      <c r="T38" s="180">
        <v>0.65</v>
      </c>
      <c r="U38" s="181">
        <f>ROUND(+IF(T38=0,0,R38*S38/T38),0)</f>
        <v>1088403</v>
      </c>
    </row>
    <row r="39" spans="1:21" ht="15" customHeight="1" x14ac:dyDescent="0.25">
      <c r="A39" s="22"/>
      <c r="B39" s="760" t="s">
        <v>120</v>
      </c>
      <c r="C39" s="760"/>
      <c r="D39" s="760"/>
      <c r="E39" s="760"/>
      <c r="F39" s="760"/>
      <c r="G39" s="24">
        <f>IF(B39="","",VLOOKUP(B39,CUADRILLAS!$B$87:$C$101,2,FALSE))</f>
        <v>157213.73333333334</v>
      </c>
      <c r="H39" s="31">
        <v>2</v>
      </c>
      <c r="I39" s="34">
        <f>+I38</f>
        <v>2</v>
      </c>
      <c r="J39" s="24">
        <f>ROUND(+IF(I39=0,0,G39*H39/I39),0)</f>
        <v>157214</v>
      </c>
      <c r="L39" s="22"/>
      <c r="M39" s="771"/>
      <c r="N39" s="771"/>
      <c r="O39" s="771"/>
      <c r="P39" s="771"/>
      <c r="Q39" s="771"/>
      <c r="R39" s="181" t="s">
        <v>501</v>
      </c>
      <c r="S39" s="206"/>
      <c r="T39" s="180"/>
      <c r="U39" s="181">
        <f>ROUND(+IF(T39=0,0,R39*S39/T39),0)</f>
        <v>0</v>
      </c>
    </row>
    <row r="40" spans="1:21" ht="15" customHeight="1" x14ac:dyDescent="0.25">
      <c r="A40" s="22"/>
      <c r="B40" s="760" t="s">
        <v>121</v>
      </c>
      <c r="C40" s="760"/>
      <c r="D40" s="760"/>
      <c r="E40" s="760"/>
      <c r="F40" s="760"/>
      <c r="G40" s="24">
        <f>IF(B40="","",VLOOKUP(B40,CUADRILLAS!$B$87:$C$101,2,FALSE))</f>
        <v>78606.866666666669</v>
      </c>
      <c r="H40" s="31">
        <v>8</v>
      </c>
      <c r="I40" s="34">
        <f>+I39</f>
        <v>2</v>
      </c>
      <c r="J40" s="24">
        <f>ROUND(+IF(I40=0,0,G40*H40/I40),0)</f>
        <v>314427</v>
      </c>
      <c r="L40" s="22"/>
      <c r="M40" s="771"/>
      <c r="N40" s="771"/>
      <c r="O40" s="771"/>
      <c r="P40" s="771"/>
      <c r="Q40" s="771"/>
      <c r="R40" s="181" t="s">
        <v>501</v>
      </c>
      <c r="S40" s="206"/>
      <c r="T40" s="180"/>
      <c r="U40" s="181">
        <f t="shared" ref="U40:U41" si="5">+IF(T40=0,0,R40*S40/T40)</f>
        <v>0</v>
      </c>
    </row>
    <row r="41" spans="1:21" ht="15" customHeight="1" x14ac:dyDescent="0.25">
      <c r="A41" s="22"/>
      <c r="B41" s="760"/>
      <c r="C41" s="760"/>
      <c r="D41" s="760"/>
      <c r="E41" s="760"/>
      <c r="F41" s="760"/>
      <c r="G41" s="24" t="str">
        <f>IF(B41="","",VLOOKUP(B41,CUADRILLAS!$B$87:$C$101,2,FALSE))</f>
        <v/>
      </c>
      <c r="H41" s="31"/>
      <c r="I41" s="34"/>
      <c r="J41" s="24">
        <f t="shared" ref="J41" si="6">+IF(I41=0,0,G41*H41/I41)</f>
        <v>0</v>
      </c>
      <c r="L41" s="22"/>
      <c r="M41" s="771"/>
      <c r="N41" s="771"/>
      <c r="O41" s="771"/>
      <c r="P41" s="771"/>
      <c r="Q41" s="771"/>
      <c r="R41" s="181" t="s">
        <v>501</v>
      </c>
      <c r="S41" s="206"/>
      <c r="T41" s="180"/>
      <c r="U41" s="181">
        <f t="shared" si="5"/>
        <v>0</v>
      </c>
    </row>
    <row r="42" spans="1:21" ht="15" customHeight="1" x14ac:dyDescent="0.25">
      <c r="A42" s="22"/>
      <c r="B42" s="761" t="s">
        <v>42</v>
      </c>
      <c r="C42" s="761"/>
      <c r="D42" s="761"/>
      <c r="E42" s="761"/>
      <c r="F42" s="761"/>
      <c r="G42" s="761"/>
      <c r="H42" s="761"/>
      <c r="I42" s="761"/>
      <c r="J42" s="24">
        <f>SUM(J38:J41)</f>
        <v>589551</v>
      </c>
      <c r="L42" s="22"/>
      <c r="M42" s="772" t="s">
        <v>42</v>
      </c>
      <c r="N42" s="772"/>
      <c r="O42" s="772"/>
      <c r="P42" s="772"/>
      <c r="Q42" s="772"/>
      <c r="R42" s="772"/>
      <c r="S42" s="772"/>
      <c r="T42" s="772"/>
      <c r="U42" s="181">
        <f>SUM(U38:U41)</f>
        <v>1088403</v>
      </c>
    </row>
    <row r="43" spans="1:21" ht="7.5" customHeight="1" x14ac:dyDescent="0.25">
      <c r="A43" s="22"/>
      <c r="B43" s="25"/>
      <c r="C43" s="25"/>
      <c r="D43" s="25"/>
      <c r="E43" s="25"/>
      <c r="F43" s="25"/>
      <c r="G43" s="25"/>
      <c r="H43" s="25"/>
      <c r="I43" s="25"/>
      <c r="J43" s="26"/>
      <c r="L43" s="22"/>
      <c r="M43" s="25"/>
      <c r="N43" s="25"/>
      <c r="O43" s="25"/>
      <c r="P43" s="25"/>
      <c r="Q43" s="25"/>
      <c r="R43" s="25"/>
      <c r="S43" s="25"/>
      <c r="T43" s="25"/>
      <c r="U43" s="26"/>
    </row>
    <row r="44" spans="1:21" ht="15.75" customHeight="1" x14ac:dyDescent="0.25">
      <c r="A44" s="27"/>
      <c r="B44" s="762" t="s">
        <v>43</v>
      </c>
      <c r="C44" s="762"/>
      <c r="D44" s="762"/>
      <c r="E44" s="762"/>
      <c r="F44" s="762"/>
      <c r="G44" s="762"/>
      <c r="H44" s="762"/>
      <c r="I44" s="762"/>
      <c r="J44" s="106">
        <f>+J42+J34+J15+J26</f>
        <v>2669912</v>
      </c>
      <c r="L44" s="27"/>
      <c r="M44" s="773" t="s">
        <v>43</v>
      </c>
      <c r="N44" s="773"/>
      <c r="O44" s="773"/>
      <c r="P44" s="773"/>
      <c r="Q44" s="773"/>
      <c r="R44" s="773"/>
      <c r="S44" s="773"/>
      <c r="T44" s="773"/>
      <c r="U44" s="210">
        <f>+U42+U34+U15+U26</f>
        <v>1167438</v>
      </c>
    </row>
    <row r="45" spans="1:21" x14ac:dyDescent="0.25">
      <c r="B45" s="21"/>
      <c r="C45" s="21"/>
      <c r="D45" s="21"/>
      <c r="E45" s="21"/>
      <c r="F45" s="21"/>
      <c r="G45" s="21"/>
      <c r="H45" s="21"/>
      <c r="I45" s="21"/>
      <c r="J45" s="21"/>
    </row>
    <row r="47" spans="1:21" x14ac:dyDescent="0.25">
      <c r="E47" s="801" t="s">
        <v>516</v>
      </c>
      <c r="F47" s="802"/>
      <c r="G47" s="802"/>
      <c r="H47" s="803"/>
      <c r="L47" s="790" t="s">
        <v>456</v>
      </c>
      <c r="M47" s="790"/>
      <c r="N47" s="790"/>
      <c r="O47" s="790"/>
      <c r="P47" s="790"/>
      <c r="Q47" s="790"/>
      <c r="R47" s="790"/>
      <c r="S47" s="790"/>
      <c r="T47" s="790"/>
    </row>
    <row r="48" spans="1:21" x14ac:dyDescent="0.25">
      <c r="E48" s="804" t="s">
        <v>515</v>
      </c>
      <c r="F48" s="805"/>
      <c r="G48" s="805"/>
      <c r="H48" s="806"/>
      <c r="L48" s="790"/>
      <c r="M48" s="790"/>
      <c r="N48" s="790"/>
      <c r="O48" s="790"/>
      <c r="P48" s="790"/>
      <c r="Q48" s="790"/>
      <c r="R48" s="790"/>
      <c r="S48" s="790"/>
      <c r="T48" s="790"/>
    </row>
    <row r="49" spans="5:20" x14ac:dyDescent="0.25">
      <c r="E49" s="296" t="s">
        <v>517</v>
      </c>
      <c r="H49" s="23"/>
      <c r="L49" s="790"/>
      <c r="M49" s="790"/>
      <c r="N49" s="790"/>
      <c r="O49" s="790"/>
      <c r="P49" s="790"/>
      <c r="Q49" s="790"/>
      <c r="R49" s="790"/>
      <c r="S49" s="790"/>
      <c r="T49" s="790"/>
    </row>
    <row r="50" spans="5:20" x14ac:dyDescent="0.25">
      <c r="E50" s="296" t="s">
        <v>518</v>
      </c>
      <c r="F50" s="279">
        <f>6*1.05</f>
        <v>6.3000000000000007</v>
      </c>
      <c r="G50" s="20" t="s">
        <v>190</v>
      </c>
      <c r="H50" s="23"/>
      <c r="L50" s="790"/>
      <c r="M50" s="790"/>
      <c r="N50" s="790"/>
      <c r="O50" s="790"/>
      <c r="P50" s="790"/>
      <c r="Q50" s="790"/>
      <c r="R50" s="790"/>
      <c r="S50" s="790"/>
      <c r="T50" s="790"/>
    </row>
    <row r="51" spans="5:20" x14ac:dyDescent="0.25">
      <c r="E51" s="296" t="s">
        <v>519</v>
      </c>
      <c r="F51" s="279">
        <f>+F50*0.559</f>
        <v>3.5217000000000009</v>
      </c>
      <c r="G51" s="20" t="s">
        <v>181</v>
      </c>
      <c r="H51" s="23"/>
      <c r="L51" s="790"/>
      <c r="M51" s="790"/>
      <c r="N51" s="790"/>
      <c r="O51" s="790"/>
      <c r="P51" s="790"/>
      <c r="Q51" s="790"/>
      <c r="R51" s="790"/>
      <c r="S51" s="790"/>
      <c r="T51" s="790"/>
    </row>
    <row r="52" spans="5:20" x14ac:dyDescent="0.25">
      <c r="E52" s="22"/>
      <c r="H52" s="23"/>
    </row>
    <row r="53" spans="5:20" x14ac:dyDescent="0.25">
      <c r="E53" s="296" t="s">
        <v>520</v>
      </c>
      <c r="H53" s="23"/>
    </row>
    <row r="54" spans="5:20" x14ac:dyDescent="0.25">
      <c r="E54" s="296" t="s">
        <v>518</v>
      </c>
      <c r="F54" s="279">
        <f>3*5.2</f>
        <v>15.600000000000001</v>
      </c>
      <c r="G54" s="20" t="s">
        <v>190</v>
      </c>
      <c r="H54" s="23"/>
    </row>
    <row r="55" spans="5:20" x14ac:dyDescent="0.25">
      <c r="E55" s="297" t="s">
        <v>519</v>
      </c>
      <c r="F55" s="298">
        <f>+F54*0.559</f>
        <v>8.7204000000000015</v>
      </c>
      <c r="G55" s="299" t="s">
        <v>181</v>
      </c>
      <c r="H55" s="300"/>
    </row>
    <row r="57" spans="5:20" x14ac:dyDescent="0.25">
      <c r="E57" s="804" t="s">
        <v>521</v>
      </c>
      <c r="F57" s="805"/>
      <c r="G57" s="805"/>
      <c r="H57" s="806"/>
      <c r="I57" s="279"/>
    </row>
    <row r="58" spans="5:20" x14ac:dyDescent="0.25">
      <c r="E58" s="296" t="s">
        <v>522</v>
      </c>
      <c r="H58" s="23"/>
    </row>
    <row r="59" spans="5:20" x14ac:dyDescent="0.25">
      <c r="E59" s="296" t="s">
        <v>518</v>
      </c>
      <c r="F59" s="279">
        <f>20*1.4</f>
        <v>28</v>
      </c>
      <c r="G59" s="20" t="s">
        <v>190</v>
      </c>
      <c r="H59" s="23"/>
    </row>
    <row r="60" spans="5:20" x14ac:dyDescent="0.25">
      <c r="E60" s="296" t="s">
        <v>519</v>
      </c>
      <c r="F60" s="279">
        <f>+F59*2.237</f>
        <v>62.636000000000003</v>
      </c>
      <c r="G60" s="20" t="s">
        <v>181</v>
      </c>
      <c r="H60" s="23"/>
    </row>
    <row r="61" spans="5:20" x14ac:dyDescent="0.25">
      <c r="E61" s="22"/>
      <c r="H61" s="23"/>
    </row>
    <row r="62" spans="5:20" x14ac:dyDescent="0.25">
      <c r="E62" s="296" t="s">
        <v>523</v>
      </c>
      <c r="H62" s="23"/>
    </row>
    <row r="63" spans="5:20" x14ac:dyDescent="0.25">
      <c r="E63" s="296" t="s">
        <v>518</v>
      </c>
      <c r="F63" s="279">
        <f>13*3.5</f>
        <v>45.5</v>
      </c>
      <c r="G63" s="20" t="s">
        <v>190</v>
      </c>
      <c r="H63" s="23"/>
    </row>
    <row r="64" spans="5:20" x14ac:dyDescent="0.25">
      <c r="E64" s="297" t="s">
        <v>519</v>
      </c>
      <c r="F64" s="298">
        <f>+F63*0.994</f>
        <v>45.226999999999997</v>
      </c>
      <c r="G64" s="299" t="s">
        <v>181</v>
      </c>
      <c r="H64" s="300"/>
    </row>
    <row r="66" spans="5:7" x14ac:dyDescent="0.25">
      <c r="E66" s="301" t="s">
        <v>71</v>
      </c>
      <c r="F66" s="302">
        <f>+F64+F60+F55+F51</f>
        <v>120.10509999999999</v>
      </c>
      <c r="G66" s="303" t="s">
        <v>181</v>
      </c>
    </row>
  </sheetData>
  <mergeCells count="83">
    <mergeCell ref="E47:H47"/>
    <mergeCell ref="E48:H48"/>
    <mergeCell ref="E57:H57"/>
    <mergeCell ref="M40:Q40"/>
    <mergeCell ref="M41:Q41"/>
    <mergeCell ref="M42:T42"/>
    <mergeCell ref="M44:T44"/>
    <mergeCell ref="L47:T51"/>
    <mergeCell ref="B41:F41"/>
    <mergeCell ref="B42:I42"/>
    <mergeCell ref="B44:I44"/>
    <mergeCell ref="B40:F40"/>
    <mergeCell ref="M34:T34"/>
    <mergeCell ref="M36:U36"/>
    <mergeCell ref="M37:Q37"/>
    <mergeCell ref="M38:Q38"/>
    <mergeCell ref="M39:Q39"/>
    <mergeCell ref="M29:Q29"/>
    <mergeCell ref="M30:Q30"/>
    <mergeCell ref="M31:Q31"/>
    <mergeCell ref="M32:Q32"/>
    <mergeCell ref="M33:Q33"/>
    <mergeCell ref="M23:P23"/>
    <mergeCell ref="M24:P24"/>
    <mergeCell ref="M25:P25"/>
    <mergeCell ref="M26:T26"/>
    <mergeCell ref="M28:U28"/>
    <mergeCell ref="M17:U17"/>
    <mergeCell ref="M18:P18"/>
    <mergeCell ref="M20:P20"/>
    <mergeCell ref="M21:P21"/>
    <mergeCell ref="M22:P22"/>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34:I34"/>
    <mergeCell ref="B36:J36"/>
    <mergeCell ref="B37:F37"/>
    <mergeCell ref="B38:F38"/>
    <mergeCell ref="B39:F39"/>
    <mergeCell ref="B33:F33"/>
    <mergeCell ref="B21:E21"/>
    <mergeCell ref="B22:E22"/>
    <mergeCell ref="B23:E23"/>
    <mergeCell ref="B24:E24"/>
    <mergeCell ref="B25:E25"/>
    <mergeCell ref="B26:I26"/>
    <mergeCell ref="B28:J28"/>
    <mergeCell ref="B29:F29"/>
    <mergeCell ref="B30:F30"/>
    <mergeCell ref="B31:F31"/>
    <mergeCell ref="B32:F32"/>
    <mergeCell ref="B20:E20"/>
    <mergeCell ref="B7:J7"/>
    <mergeCell ref="B8:F8"/>
    <mergeCell ref="B9:F9"/>
    <mergeCell ref="B10:F10"/>
    <mergeCell ref="B11:F11"/>
    <mergeCell ref="B12:F12"/>
    <mergeCell ref="B13:F13"/>
    <mergeCell ref="B14:F14"/>
    <mergeCell ref="B15:I15"/>
    <mergeCell ref="B17:J17"/>
    <mergeCell ref="B18:E18"/>
    <mergeCell ref="B19:E19"/>
    <mergeCell ref="E6:H6"/>
    <mergeCell ref="A1:C4"/>
    <mergeCell ref="D1:J1"/>
    <mergeCell ref="D2:J2"/>
    <mergeCell ref="D3:J3"/>
    <mergeCell ref="D4:J4"/>
  </mergeCells>
  <hyperlinks>
    <hyperlink ref="C6" location="'PPTO HOJA'!A13" display="'PPTO HOJA'!A13" xr:uid="{00000000-0004-0000-2800-000000000000}"/>
    <hyperlink ref="N6" location="'PPTO HOJA'!A15" display="'PPTO HOJA'!A15" xr:uid="{00000000-0004-0000-2800-000001000000}"/>
  </hyperlinks>
  <pageMargins left="0.7" right="0.7" top="0.75" bottom="0.75" header="0.3" footer="0.3"/>
  <pageSetup paperSize="9" scale="35" orientation="portrait" r:id="rId1"/>
  <drawing r:id="rId2"/>
  <legacyDrawing r:id="rId3"/>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2800-000000000000}">
          <x14:formula1>
            <xm:f>CUADRILLAS!$B$86:$B$101</xm:f>
          </x14:formula1>
          <xm:sqref>B38:F41</xm:sqref>
        </x14:dataValidation>
      </x14:dataValidations>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9" tint="0.59999389629810485"/>
  </sheetPr>
  <dimension ref="A1:J66"/>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9" style="20" bestFit="1" customWidth="1"/>
    <col min="11" max="16384" width="11.44140625" style="20"/>
  </cols>
  <sheetData>
    <row r="1" spans="1:10" x14ac:dyDescent="0.25">
      <c r="A1" s="765"/>
      <c r="B1" s="765"/>
      <c r="C1" s="765"/>
      <c r="D1" s="766" t="str">
        <f>'PPTO HOJA'!A4</f>
        <v>DEPARTAMENTO DE ANTIOQUIA</v>
      </c>
      <c r="E1" s="766"/>
      <c r="F1" s="766"/>
      <c r="G1" s="766"/>
      <c r="H1" s="766"/>
      <c r="I1" s="766"/>
      <c r="J1" s="766"/>
    </row>
    <row r="2" spans="1:10" x14ac:dyDescent="0.25">
      <c r="A2" s="765"/>
      <c r="B2" s="765"/>
      <c r="C2" s="765"/>
      <c r="D2" s="766" t="str">
        <f>'PPTO HOJA'!A5</f>
        <v>MUNICIPIO DE ARBOLETES</v>
      </c>
      <c r="E2" s="766"/>
      <c r="F2" s="766"/>
      <c r="G2" s="766"/>
      <c r="H2" s="766"/>
      <c r="I2" s="766"/>
      <c r="J2" s="766"/>
    </row>
    <row r="3" spans="1:10"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row>
    <row r="4" spans="1:10" x14ac:dyDescent="0.25">
      <c r="A4" s="765"/>
      <c r="B4" s="765"/>
      <c r="C4" s="765"/>
      <c r="D4" s="766" t="s">
        <v>20</v>
      </c>
      <c r="E4" s="766"/>
      <c r="F4" s="766"/>
      <c r="G4" s="766"/>
      <c r="H4" s="766"/>
      <c r="I4" s="766"/>
      <c r="J4" s="766"/>
    </row>
    <row r="5" spans="1:10" ht="9.75" customHeight="1" x14ac:dyDescent="0.25">
      <c r="A5" s="22"/>
      <c r="J5" s="23"/>
    </row>
    <row r="6" spans="1:10" s="21" customFormat="1" ht="33" customHeight="1" x14ac:dyDescent="0.3">
      <c r="A6" s="30" t="s">
        <v>361</v>
      </c>
      <c r="B6" s="29" t="s">
        <v>22</v>
      </c>
      <c r="C6" s="116">
        <f>'PPTO HOJA'!A56</f>
        <v>6.03</v>
      </c>
      <c r="D6" s="28"/>
      <c r="E6" s="764" t="str">
        <f>'PPTO HOJA'!B56</f>
        <v>Construcción de pilote tipo Casisson h = 1.00 &lt; 2.00 m, diámetro interno de 1.20 m, Incluye anillo en concreto reforzado  e=10 cm (diámetro total de 1.40 m). Incluye excavación varia en material común bajo cualquier grado de humedad, transporte y disposición final de los materiales y medido en su posición original.</v>
      </c>
      <c r="F6" s="764"/>
      <c r="G6" s="764"/>
      <c r="H6" s="764"/>
      <c r="I6" s="30" t="s">
        <v>23</v>
      </c>
      <c r="J6" s="31" t="str">
        <f>'PPTO HOJA'!C56</f>
        <v>m</v>
      </c>
    </row>
    <row r="7" spans="1:10" ht="15" customHeight="1" x14ac:dyDescent="0.25">
      <c r="A7" s="22"/>
      <c r="B7" s="761" t="s">
        <v>24</v>
      </c>
      <c r="C7" s="761"/>
      <c r="D7" s="761"/>
      <c r="E7" s="761"/>
      <c r="F7" s="761"/>
      <c r="G7" s="761"/>
      <c r="H7" s="761"/>
      <c r="I7" s="761"/>
      <c r="J7" s="761"/>
    </row>
    <row r="8" spans="1:10" x14ac:dyDescent="0.25">
      <c r="A8" s="22"/>
      <c r="B8" s="763" t="s">
        <v>25</v>
      </c>
      <c r="C8" s="763"/>
      <c r="D8" s="763"/>
      <c r="E8" s="763"/>
      <c r="F8" s="763"/>
      <c r="G8" s="31" t="s">
        <v>26</v>
      </c>
      <c r="H8" s="31" t="s">
        <v>27</v>
      </c>
      <c r="I8" s="31" t="s">
        <v>28</v>
      </c>
      <c r="J8" s="32" t="s">
        <v>29</v>
      </c>
    </row>
    <row r="9" spans="1:10" ht="15" customHeight="1" x14ac:dyDescent="0.25">
      <c r="A9" s="22"/>
      <c r="B9" s="760" t="s">
        <v>30</v>
      </c>
      <c r="C9" s="760"/>
      <c r="D9" s="760"/>
      <c r="E9" s="760"/>
      <c r="F9" s="760"/>
      <c r="G9" s="31"/>
      <c r="H9" s="24"/>
      <c r="I9" s="33">
        <v>0.05</v>
      </c>
      <c r="J9" s="24">
        <f>ROUND(I9*J42,0)</f>
        <v>29478</v>
      </c>
    </row>
    <row r="10" spans="1:10" ht="15" customHeight="1" x14ac:dyDescent="0.25">
      <c r="A10" s="22"/>
      <c r="B10" s="764" t="s">
        <v>362</v>
      </c>
      <c r="C10" s="764"/>
      <c r="D10" s="764"/>
      <c r="E10" s="764"/>
      <c r="F10" s="764"/>
      <c r="G10" s="31" t="str">
        <f>IF(B10="","",VLOOKUP(B10,EQUIPOS!$B$7:$F$46,3,FALSE))</f>
        <v>Brist-stat</v>
      </c>
      <c r="H10" s="24">
        <f>IF(B10="","",VLOOKUP(B10,EQUIPOS!$B$7:$F$46,5,FALSE))</f>
        <v>80000</v>
      </c>
      <c r="I10" s="34">
        <f>+I11</f>
        <v>2</v>
      </c>
      <c r="J10" s="24">
        <f>IF(B10="",0,ROUND(H10/I10,0))</f>
        <v>40000</v>
      </c>
    </row>
    <row r="11" spans="1:10" ht="15" customHeight="1" x14ac:dyDescent="0.25">
      <c r="A11" s="22"/>
      <c r="B11" s="760" t="s">
        <v>107</v>
      </c>
      <c r="C11" s="760"/>
      <c r="D11" s="760"/>
      <c r="E11" s="760"/>
      <c r="F11" s="760"/>
      <c r="G11" s="31" t="str">
        <f>IF(B11="","",VLOOKUP(B11,EQUIPOS!$B$7:$F$46,3,FALSE))</f>
        <v>Gasolina</v>
      </c>
      <c r="H11" s="24">
        <f>IF(B11="","",VLOOKUP(B11,EQUIPOS!$B$7:$F$46,5,FALSE))</f>
        <v>85000</v>
      </c>
      <c r="I11" s="34">
        <f>+I38</f>
        <v>2</v>
      </c>
      <c r="J11" s="24">
        <f t="shared" ref="J11:J13" si="0">IF(B11="",0,ROUND(H11/I11,0))</f>
        <v>42500</v>
      </c>
    </row>
    <row r="12" spans="1:10" ht="15" customHeight="1" x14ac:dyDescent="0.25">
      <c r="A12" s="22"/>
      <c r="B12" s="760"/>
      <c r="C12" s="760"/>
      <c r="D12" s="760"/>
      <c r="E12" s="760"/>
      <c r="F12" s="760"/>
      <c r="G12" s="31" t="str">
        <f>IF(B12="","",VLOOKUP(B12,EQUIPOS!$B$7:$F$46,3,FALSE))</f>
        <v/>
      </c>
      <c r="H12" s="24" t="str">
        <f>IF(B12="","",VLOOKUP(B12,EQUIPOS!$B$7:$F$46,5,FALSE))</f>
        <v/>
      </c>
      <c r="I12" s="34"/>
      <c r="J12" s="24">
        <f t="shared" si="0"/>
        <v>0</v>
      </c>
    </row>
    <row r="13" spans="1:10" ht="15" customHeight="1" x14ac:dyDescent="0.25">
      <c r="A13" s="22"/>
      <c r="B13" s="760"/>
      <c r="C13" s="760"/>
      <c r="D13" s="760"/>
      <c r="E13" s="760"/>
      <c r="F13" s="760"/>
      <c r="G13" s="31" t="str">
        <f>IF(B13="","",VLOOKUP(B13,EQUIPOS!$B$7:$F$46,3,FALSE))</f>
        <v/>
      </c>
      <c r="H13" s="24" t="str">
        <f>IF(B13="","",VLOOKUP(B13,EQUIPOS!$B$7:$F$46,5,FALSE))</f>
        <v/>
      </c>
      <c r="I13" s="34"/>
      <c r="J13" s="24">
        <f t="shared" si="0"/>
        <v>0</v>
      </c>
    </row>
    <row r="14" spans="1:10" ht="15" customHeight="1" x14ac:dyDescent="0.25">
      <c r="A14" s="22"/>
      <c r="B14" s="760"/>
      <c r="C14" s="760"/>
      <c r="D14" s="760"/>
      <c r="E14" s="760"/>
      <c r="F14" s="760"/>
      <c r="G14" s="31" t="str">
        <f>IF(B14="","",VLOOKUP(B14,EQUIPOS!$B$7:$F$46,3,FALSE))</f>
        <v/>
      </c>
      <c r="H14" s="24" t="str">
        <f>IF(B14="","",VLOOKUP(B14,EQUIPOS!$B$7:$F$46,5,FALSE))</f>
        <v/>
      </c>
      <c r="I14" s="34"/>
      <c r="J14" s="24"/>
    </row>
    <row r="15" spans="1:10" ht="15" customHeight="1" x14ac:dyDescent="0.25">
      <c r="A15" s="22"/>
      <c r="B15" s="761" t="s">
        <v>31</v>
      </c>
      <c r="C15" s="761"/>
      <c r="D15" s="761"/>
      <c r="E15" s="761"/>
      <c r="F15" s="761"/>
      <c r="G15" s="761"/>
      <c r="H15" s="761"/>
      <c r="I15" s="761"/>
      <c r="J15" s="24">
        <f>SUM(J9:J14)</f>
        <v>111978</v>
      </c>
    </row>
    <row r="16" spans="1:10" ht="7.5" customHeight="1" x14ac:dyDescent="0.25">
      <c r="A16" s="22"/>
      <c r="B16" s="25"/>
      <c r="C16" s="25"/>
      <c r="D16" s="25"/>
      <c r="E16" s="25"/>
      <c r="F16" s="25"/>
      <c r="G16" s="25"/>
      <c r="H16" s="25"/>
      <c r="I16" s="25"/>
      <c r="J16" s="26"/>
    </row>
    <row r="17" spans="1:10" ht="15" customHeight="1" x14ac:dyDescent="0.25">
      <c r="A17" s="22"/>
      <c r="B17" s="761" t="s">
        <v>32</v>
      </c>
      <c r="C17" s="761"/>
      <c r="D17" s="761"/>
      <c r="E17" s="761"/>
      <c r="F17" s="761"/>
      <c r="G17" s="761"/>
      <c r="H17" s="761"/>
      <c r="I17" s="761"/>
      <c r="J17" s="761"/>
    </row>
    <row r="18" spans="1:10" ht="26.4" x14ac:dyDescent="0.25">
      <c r="A18" s="22"/>
      <c r="B18" s="763" t="s">
        <v>33</v>
      </c>
      <c r="C18" s="763"/>
      <c r="D18" s="763"/>
      <c r="E18" s="763"/>
      <c r="F18" s="28" t="s">
        <v>19</v>
      </c>
      <c r="G18" s="31" t="s">
        <v>34</v>
      </c>
      <c r="H18" s="32" t="s">
        <v>35</v>
      </c>
      <c r="I18" s="32" t="s">
        <v>36</v>
      </c>
      <c r="J18" s="32" t="s">
        <v>29</v>
      </c>
    </row>
    <row r="19" spans="1:10" x14ac:dyDescent="0.25">
      <c r="A19" s="22"/>
      <c r="B19" s="791" t="str">
        <f>+'PPTO HOJA'!B12</f>
        <v>Excavación manual en material común bajo cualquier grado de humedad</v>
      </c>
      <c r="C19" s="792"/>
      <c r="D19" s="792"/>
      <c r="E19" s="793"/>
      <c r="F19" s="180">
        <f>+PI()*0.7^2*1</f>
        <v>1.5393804002589984</v>
      </c>
      <c r="G19" s="206" t="s">
        <v>261</v>
      </c>
      <c r="H19" s="207"/>
      <c r="I19" s="280">
        <f>+'PPTO HOJA'!E12</f>
        <v>41268</v>
      </c>
      <c r="J19" s="24">
        <f>IF(I19="",0,ROUND((+F19*I19*(1+H19)),0))</f>
        <v>63527</v>
      </c>
    </row>
    <row r="20" spans="1:10" ht="14.25" customHeight="1" x14ac:dyDescent="0.25">
      <c r="A20" s="22"/>
      <c r="B20" s="791" t="s">
        <v>514</v>
      </c>
      <c r="C20" s="792"/>
      <c r="D20" s="792"/>
      <c r="E20" s="793"/>
      <c r="F20" s="180">
        <f>+PI()*(0.7^2-0.6^2)*1</f>
        <v>0.40840704496667296</v>
      </c>
      <c r="G20" s="31" t="str">
        <f>+'APU BÁSICOS'!J6</f>
        <v>m3</v>
      </c>
      <c r="H20" s="107">
        <v>0.1</v>
      </c>
      <c r="I20" s="24">
        <f>+'APU BÁSICOS'!J91</f>
        <v>1003196</v>
      </c>
      <c r="J20" s="24">
        <f>IF(I20="",0,ROUND((+F20*I20*(1+H20)),0))</f>
        <v>450684</v>
      </c>
    </row>
    <row r="21" spans="1:10" ht="15" customHeight="1" x14ac:dyDescent="0.25">
      <c r="A21" s="22"/>
      <c r="B21" s="764" t="s">
        <v>509</v>
      </c>
      <c r="C21" s="764"/>
      <c r="D21" s="764"/>
      <c r="E21" s="764"/>
      <c r="F21" s="34">
        <f>+(PI()*0.6^2*1)*0.7</f>
        <v>0.79168134870462781</v>
      </c>
      <c r="G21" s="31" t="str">
        <f>+'APU BÁSICOS'!J6</f>
        <v>m3</v>
      </c>
      <c r="H21" s="107">
        <v>0.1</v>
      </c>
      <c r="I21" s="24">
        <f>+'APU BÁSICOS'!J45</f>
        <v>1024596</v>
      </c>
      <c r="J21" s="24">
        <f t="shared" ref="J21:J25" si="1">IF(I21="",0,ROUND((+F21*I21*(1+H21)),0))</f>
        <v>892269</v>
      </c>
    </row>
    <row r="22" spans="1:10" ht="15" customHeight="1" x14ac:dyDescent="0.25">
      <c r="A22" s="22"/>
      <c r="B22" s="760" t="s">
        <v>265</v>
      </c>
      <c r="C22" s="760"/>
      <c r="D22" s="760"/>
      <c r="E22" s="760"/>
      <c r="F22" s="34">
        <f>+(PI()*0.6^2*1)*0.3</f>
        <v>0.33929200658769765</v>
      </c>
      <c r="G22" s="31" t="str">
        <f>IF(F22=0,"",VLOOKUP(B22,'LISTADO DE MATERIALES'!$B$6:$D$311,2,FALSE))</f>
        <v>m3</v>
      </c>
      <c r="H22" s="107">
        <v>0.1</v>
      </c>
      <c r="I22" s="24">
        <f>IF(F22=0,"",VLOOKUP(B22,'LISTADO DE MATERIALES'!$B$6:$D$311,3,FALSE))</f>
        <v>182390</v>
      </c>
      <c r="J22" s="24">
        <f t="shared" si="1"/>
        <v>68072</v>
      </c>
    </row>
    <row r="23" spans="1:10" ht="15" customHeight="1" x14ac:dyDescent="0.25">
      <c r="A23" s="22"/>
      <c r="B23" s="760" t="s">
        <v>250</v>
      </c>
      <c r="C23" s="760"/>
      <c r="D23" s="760"/>
      <c r="E23" s="760"/>
      <c r="F23" s="34">
        <f>+F66</f>
        <v>89.701779999999999</v>
      </c>
      <c r="G23" s="31" t="str">
        <f>IF(F23=0,"",VLOOKUP(B23,'LISTADO DE MATERIALES'!$B$6:$D$311,2,FALSE))</f>
        <v>Kg</v>
      </c>
      <c r="H23" s="107">
        <v>0.05</v>
      </c>
      <c r="I23" s="24">
        <f>IF(F23=0,"",VLOOKUP(B23,'LISTADO DE MATERIALES'!$B$6:$D$311,3,FALSE))</f>
        <v>6225</v>
      </c>
      <c r="J23" s="24">
        <f t="shared" si="1"/>
        <v>586313</v>
      </c>
    </row>
    <row r="24" spans="1:10" ht="15" customHeight="1" x14ac:dyDescent="0.25">
      <c r="A24" s="22"/>
      <c r="B24" s="760" t="s">
        <v>251</v>
      </c>
      <c r="C24" s="760"/>
      <c r="D24" s="760"/>
      <c r="E24" s="760"/>
      <c r="F24" s="34">
        <f>+F23*0.05</f>
        <v>4.4850890000000003</v>
      </c>
      <c r="G24" s="31" t="str">
        <f>IF(F24=0,"",VLOOKUP(B24,'LISTADO DE MATERIALES'!$B$6:$D$311,2,FALSE))</f>
        <v>Kg</v>
      </c>
      <c r="H24" s="107">
        <v>0.05</v>
      </c>
      <c r="I24" s="24">
        <f>IF(F24=0,"",VLOOKUP(B24,'LISTADO DE MATERIALES'!$B$6:$D$311,3,FALSE))</f>
        <v>12450</v>
      </c>
      <c r="J24" s="24">
        <f t="shared" si="1"/>
        <v>58631</v>
      </c>
    </row>
    <row r="25" spans="1:10" ht="27.6" customHeight="1" x14ac:dyDescent="0.25">
      <c r="A25" s="22"/>
      <c r="B25" s="764" t="s">
        <v>508</v>
      </c>
      <c r="C25" s="764"/>
      <c r="D25" s="764"/>
      <c r="E25" s="764"/>
      <c r="F25" s="34">
        <f>((2*PI()*0.6)/0.3)/3</f>
        <v>4.1887902047863905</v>
      </c>
      <c r="G25" s="31" t="str">
        <f>IF(F25=0,"",VLOOKUP(B25,'LISTADO DE MATERIALES'!$B$6:$D$311,2,FALSE))</f>
        <v>und</v>
      </c>
      <c r="H25" s="107">
        <v>0.05</v>
      </c>
      <c r="I25" s="24">
        <f>IF(F25=0,"",VLOOKUP(B25,'LISTADO DE MATERIALES'!$B$6:$D$311,3,FALSE))</f>
        <v>25000</v>
      </c>
      <c r="J25" s="24">
        <f t="shared" si="1"/>
        <v>109956</v>
      </c>
    </row>
    <row r="26" spans="1:10" ht="15" customHeight="1" x14ac:dyDescent="0.25">
      <c r="A26" s="22"/>
      <c r="B26" s="761" t="s">
        <v>37</v>
      </c>
      <c r="C26" s="761"/>
      <c r="D26" s="761"/>
      <c r="E26" s="761"/>
      <c r="F26" s="761"/>
      <c r="G26" s="761"/>
      <c r="H26" s="761"/>
      <c r="I26" s="761"/>
      <c r="J26" s="24">
        <f>SUM(J19:J25)</f>
        <v>2229452</v>
      </c>
    </row>
    <row r="27" spans="1:10" ht="7.5" customHeight="1" x14ac:dyDescent="0.25">
      <c r="A27" s="22"/>
      <c r="B27" s="25"/>
      <c r="C27" s="25"/>
      <c r="D27" s="25"/>
      <c r="E27" s="25"/>
      <c r="F27" s="25"/>
      <c r="G27" s="25"/>
      <c r="H27" s="25"/>
      <c r="I27" s="25"/>
      <c r="J27" s="26"/>
    </row>
    <row r="28" spans="1:10" ht="15" customHeight="1" x14ac:dyDescent="0.25">
      <c r="A28" s="22"/>
      <c r="B28" s="761" t="s">
        <v>38</v>
      </c>
      <c r="C28" s="761"/>
      <c r="D28" s="761"/>
      <c r="E28" s="761"/>
      <c r="F28" s="761"/>
      <c r="G28" s="761"/>
      <c r="H28" s="761"/>
      <c r="I28" s="761"/>
      <c r="J28" s="761"/>
    </row>
    <row r="29" spans="1:10" x14ac:dyDescent="0.25">
      <c r="A29" s="22"/>
      <c r="B29" s="763" t="s">
        <v>33</v>
      </c>
      <c r="C29" s="763"/>
      <c r="D29" s="763"/>
      <c r="E29" s="763"/>
      <c r="F29" s="763"/>
      <c r="G29" s="31" t="s">
        <v>133</v>
      </c>
      <c r="H29" s="31" t="s">
        <v>132</v>
      </c>
      <c r="I29" s="31" t="s">
        <v>39</v>
      </c>
      <c r="J29" s="32" t="s">
        <v>29</v>
      </c>
    </row>
    <row r="30" spans="1:10" ht="15" customHeight="1" x14ac:dyDescent="0.25">
      <c r="A30" s="22"/>
      <c r="B30" s="760" t="s">
        <v>510</v>
      </c>
      <c r="C30" s="760"/>
      <c r="D30" s="760"/>
      <c r="E30" s="760"/>
      <c r="F30" s="760"/>
      <c r="G30" s="34">
        <f>+F19*1.3</f>
        <v>2.0011945203366981</v>
      </c>
      <c r="H30" s="34">
        <f>+TRANSPORTE!B7</f>
        <v>10.5</v>
      </c>
      <c r="I30" s="319">
        <f>+TRANSPORTE!C7</f>
        <v>1667</v>
      </c>
      <c r="J30" s="24">
        <f>ROUND((I30*H30*G30),0)</f>
        <v>35028</v>
      </c>
    </row>
    <row r="31" spans="1:10" ht="15" customHeight="1" x14ac:dyDescent="0.25">
      <c r="A31" s="22"/>
      <c r="B31" s="760" t="s">
        <v>580</v>
      </c>
      <c r="C31" s="760"/>
      <c r="D31" s="760"/>
      <c r="E31" s="760"/>
      <c r="F31" s="760"/>
      <c r="G31" s="34">
        <f>+F22</f>
        <v>0.33929200658769765</v>
      </c>
      <c r="H31" s="34">
        <f>+TRANSPORTE!B6</f>
        <v>70</v>
      </c>
      <c r="I31" s="319">
        <f>+TRANSPORTE!C6</f>
        <v>1241.46</v>
      </c>
      <c r="J31" s="24">
        <f>ROUND((I31*H31*G31),0)</f>
        <v>29485</v>
      </c>
    </row>
    <row r="32" spans="1:10" ht="15" customHeight="1" x14ac:dyDescent="0.25">
      <c r="A32" s="22"/>
      <c r="B32" s="760"/>
      <c r="C32" s="760"/>
      <c r="D32" s="760"/>
      <c r="E32" s="760"/>
      <c r="F32" s="760"/>
      <c r="G32" s="31"/>
      <c r="H32" s="34"/>
      <c r="I32" s="24"/>
      <c r="J32" s="24">
        <v>0</v>
      </c>
    </row>
    <row r="33" spans="1:10" ht="15" customHeight="1" x14ac:dyDescent="0.25">
      <c r="A33" s="22"/>
      <c r="B33" s="760"/>
      <c r="C33" s="760"/>
      <c r="D33" s="760"/>
      <c r="E33" s="760"/>
      <c r="F33" s="760"/>
      <c r="G33" s="31"/>
      <c r="H33" s="31"/>
      <c r="I33" s="24"/>
      <c r="J33" s="24">
        <v>0</v>
      </c>
    </row>
    <row r="34" spans="1:10" ht="15" customHeight="1" x14ac:dyDescent="0.25">
      <c r="A34" s="22"/>
      <c r="B34" s="761" t="s">
        <v>40</v>
      </c>
      <c r="C34" s="761"/>
      <c r="D34" s="761"/>
      <c r="E34" s="761"/>
      <c r="F34" s="761"/>
      <c r="G34" s="761"/>
      <c r="H34" s="761"/>
      <c r="I34" s="761"/>
      <c r="J34" s="24">
        <f>SUM(J30:J33)</f>
        <v>64513</v>
      </c>
    </row>
    <row r="35" spans="1:10" ht="7.5" customHeight="1" x14ac:dyDescent="0.25">
      <c r="A35" s="22"/>
      <c r="B35" s="25"/>
      <c r="C35" s="25"/>
      <c r="D35" s="25"/>
      <c r="E35" s="25"/>
      <c r="F35" s="25"/>
      <c r="G35" s="25"/>
      <c r="H35" s="25"/>
      <c r="I35" s="25"/>
      <c r="J35" s="26"/>
    </row>
    <row r="36" spans="1:10" ht="15" customHeight="1" x14ac:dyDescent="0.25">
      <c r="A36" s="22"/>
      <c r="B36" s="761" t="s">
        <v>41</v>
      </c>
      <c r="C36" s="761"/>
      <c r="D36" s="761"/>
      <c r="E36" s="761"/>
      <c r="F36" s="761"/>
      <c r="G36" s="761"/>
      <c r="H36" s="761"/>
      <c r="I36" s="761"/>
      <c r="J36" s="761"/>
    </row>
    <row r="37" spans="1:10" ht="26.4" x14ac:dyDescent="0.25">
      <c r="A37" s="22"/>
      <c r="B37" s="763" t="s">
        <v>4</v>
      </c>
      <c r="C37" s="763"/>
      <c r="D37" s="763"/>
      <c r="E37" s="763"/>
      <c r="F37" s="763"/>
      <c r="G37" s="32" t="s">
        <v>51</v>
      </c>
      <c r="H37" s="32" t="s">
        <v>19</v>
      </c>
      <c r="I37" s="32" t="s">
        <v>28</v>
      </c>
      <c r="J37" s="32" t="s">
        <v>29</v>
      </c>
    </row>
    <row r="38" spans="1:10" ht="15" customHeight="1" x14ac:dyDescent="0.25">
      <c r="A38" s="22"/>
      <c r="B38" s="760" t="s">
        <v>68</v>
      </c>
      <c r="C38" s="760"/>
      <c r="D38" s="760"/>
      <c r="E38" s="760"/>
      <c r="F38" s="760"/>
      <c r="G38" s="24">
        <f>IF(B38="","",VLOOKUP(B38,CUADRILLAS!$B$87:$C$101,2,FALSE))</f>
        <v>235820.59999999998</v>
      </c>
      <c r="H38" s="31">
        <v>1</v>
      </c>
      <c r="I38" s="34">
        <v>2</v>
      </c>
      <c r="J38" s="24">
        <f>ROUND(+IF(I38=0,0,G38*H38/I38),0)</f>
        <v>117910</v>
      </c>
    </row>
    <row r="39" spans="1:10" ht="15" customHeight="1" x14ac:dyDescent="0.25">
      <c r="A39" s="22"/>
      <c r="B39" s="760" t="s">
        <v>120</v>
      </c>
      <c r="C39" s="760"/>
      <c r="D39" s="760"/>
      <c r="E39" s="760"/>
      <c r="F39" s="760"/>
      <c r="G39" s="24">
        <f>IF(B39="","",VLOOKUP(B39,CUADRILLAS!$B$87:$C$101,2,FALSE))</f>
        <v>157213.73333333334</v>
      </c>
      <c r="H39" s="31">
        <v>2</v>
      </c>
      <c r="I39" s="34">
        <f>+I38</f>
        <v>2</v>
      </c>
      <c r="J39" s="24">
        <f>ROUND(+IF(I39=0,0,G39*H39/I39),0)</f>
        <v>157214</v>
      </c>
    </row>
    <row r="40" spans="1:10" ht="15" customHeight="1" x14ac:dyDescent="0.25">
      <c r="A40" s="22"/>
      <c r="B40" s="760" t="s">
        <v>121</v>
      </c>
      <c r="C40" s="760"/>
      <c r="D40" s="760"/>
      <c r="E40" s="760"/>
      <c r="F40" s="760"/>
      <c r="G40" s="24">
        <f>IF(B40="","",VLOOKUP(B40,CUADRILLAS!$B$87:$C$101,2,FALSE))</f>
        <v>78606.866666666669</v>
      </c>
      <c r="H40" s="31">
        <v>8</v>
      </c>
      <c r="I40" s="34">
        <f>+I39</f>
        <v>2</v>
      </c>
      <c r="J40" s="24">
        <f>ROUND(+IF(I40=0,0,G40*H40/I40),0)</f>
        <v>314427</v>
      </c>
    </row>
    <row r="41" spans="1:10" ht="15" customHeight="1" x14ac:dyDescent="0.25">
      <c r="A41" s="22"/>
      <c r="B41" s="760"/>
      <c r="C41" s="760"/>
      <c r="D41" s="760"/>
      <c r="E41" s="760"/>
      <c r="F41" s="760"/>
      <c r="G41" s="24" t="str">
        <f>IF(B41="","",VLOOKUP(B41,CUADRILLAS!$B$87:$C$101,2,FALSE))</f>
        <v/>
      </c>
      <c r="H41" s="31"/>
      <c r="I41" s="34"/>
      <c r="J41" s="24">
        <f t="shared" ref="J41" si="2">+IF(I41=0,0,G41*H41/I41)</f>
        <v>0</v>
      </c>
    </row>
    <row r="42" spans="1:10" ht="15" customHeight="1" x14ac:dyDescent="0.25">
      <c r="A42" s="22"/>
      <c r="B42" s="761" t="s">
        <v>42</v>
      </c>
      <c r="C42" s="761"/>
      <c r="D42" s="761"/>
      <c r="E42" s="761"/>
      <c r="F42" s="761"/>
      <c r="G42" s="761"/>
      <c r="H42" s="761"/>
      <c r="I42" s="761"/>
      <c r="J42" s="24">
        <f>SUM(J38:J41)</f>
        <v>589551</v>
      </c>
    </row>
    <row r="43" spans="1:10" ht="7.5" customHeight="1" x14ac:dyDescent="0.25">
      <c r="A43" s="22"/>
      <c r="B43" s="25"/>
      <c r="C43" s="25"/>
      <c r="D43" s="25"/>
      <c r="E43" s="25"/>
      <c r="F43" s="25"/>
      <c r="G43" s="25"/>
      <c r="H43" s="25"/>
      <c r="I43" s="25"/>
      <c r="J43" s="26"/>
    </row>
    <row r="44" spans="1:10" ht="15.75" customHeight="1" x14ac:dyDescent="0.25">
      <c r="A44" s="27"/>
      <c r="B44" s="762" t="s">
        <v>43</v>
      </c>
      <c r="C44" s="762"/>
      <c r="D44" s="762"/>
      <c r="E44" s="762"/>
      <c r="F44" s="762"/>
      <c r="G44" s="762"/>
      <c r="H44" s="762"/>
      <c r="I44" s="762"/>
      <c r="J44" s="106">
        <f>+J42+J34+J15+J26</f>
        <v>2995494</v>
      </c>
    </row>
    <row r="45" spans="1:10" x14ac:dyDescent="0.25">
      <c r="B45" s="21"/>
      <c r="C45" s="21"/>
      <c r="D45" s="21"/>
      <c r="E45" s="21"/>
      <c r="F45" s="21"/>
      <c r="G45" s="21"/>
      <c r="H45" s="21"/>
      <c r="I45" s="21"/>
      <c r="J45" s="21"/>
    </row>
    <row r="47" spans="1:10" x14ac:dyDescent="0.25">
      <c r="E47" s="801" t="s">
        <v>516</v>
      </c>
      <c r="F47" s="802"/>
      <c r="G47" s="802"/>
      <c r="H47" s="803"/>
    </row>
    <row r="48" spans="1:10" x14ac:dyDescent="0.25">
      <c r="E48" s="804" t="s">
        <v>515</v>
      </c>
      <c r="F48" s="805"/>
      <c r="G48" s="805"/>
      <c r="H48" s="806"/>
    </row>
    <row r="49" spans="5:9" x14ac:dyDescent="0.25">
      <c r="E49" s="296" t="s">
        <v>524</v>
      </c>
      <c r="H49" s="23"/>
    </row>
    <row r="50" spans="5:9" x14ac:dyDescent="0.25">
      <c r="E50" s="296" t="s">
        <v>518</v>
      </c>
      <c r="F50" s="279">
        <f>6*(1.05+0.42)</f>
        <v>8.82</v>
      </c>
      <c r="G50" s="20" t="s">
        <v>190</v>
      </c>
      <c r="H50" s="23"/>
    </row>
    <row r="51" spans="5:9" x14ac:dyDescent="0.25">
      <c r="E51" s="296" t="s">
        <v>519</v>
      </c>
      <c r="F51" s="279">
        <f>+F50*0.559</f>
        <v>4.9303800000000004</v>
      </c>
      <c r="G51" s="20" t="s">
        <v>181</v>
      </c>
      <c r="H51" s="23"/>
    </row>
    <row r="52" spans="5:9" x14ac:dyDescent="0.25">
      <c r="E52" s="22"/>
      <c r="H52" s="23"/>
    </row>
    <row r="53" spans="5:9" x14ac:dyDescent="0.25">
      <c r="E53" s="296" t="s">
        <v>520</v>
      </c>
      <c r="H53" s="23"/>
    </row>
    <row r="54" spans="5:9" x14ac:dyDescent="0.25">
      <c r="E54" s="296" t="s">
        <v>518</v>
      </c>
      <c r="F54" s="279">
        <f>3*5.2</f>
        <v>15.600000000000001</v>
      </c>
      <c r="G54" s="20" t="s">
        <v>190</v>
      </c>
      <c r="H54" s="23"/>
    </row>
    <row r="55" spans="5:9" x14ac:dyDescent="0.25">
      <c r="E55" s="297" t="s">
        <v>519</v>
      </c>
      <c r="F55" s="298">
        <f>+F54*0.559</f>
        <v>8.7204000000000015</v>
      </c>
      <c r="G55" s="299" t="s">
        <v>181</v>
      </c>
      <c r="H55" s="300"/>
    </row>
    <row r="57" spans="5:9" x14ac:dyDescent="0.25">
      <c r="E57" s="804" t="s">
        <v>521</v>
      </c>
      <c r="F57" s="805"/>
      <c r="G57" s="805"/>
      <c r="H57" s="806"/>
      <c r="I57" s="279"/>
    </row>
    <row r="58" spans="5:9" x14ac:dyDescent="0.25">
      <c r="E58" s="296" t="s">
        <v>525</v>
      </c>
      <c r="H58" s="23"/>
    </row>
    <row r="59" spans="5:9" x14ac:dyDescent="0.25">
      <c r="E59" s="296" t="s">
        <v>518</v>
      </c>
      <c r="F59" s="279">
        <f>20*1</f>
        <v>20</v>
      </c>
      <c r="G59" s="20" t="s">
        <v>190</v>
      </c>
      <c r="H59" s="23"/>
    </row>
    <row r="60" spans="5:9" x14ac:dyDescent="0.25">
      <c r="E60" s="296" t="s">
        <v>519</v>
      </c>
      <c r="F60" s="279">
        <f>+F59*2.237</f>
        <v>44.74</v>
      </c>
      <c r="G60" s="20" t="s">
        <v>181</v>
      </c>
      <c r="H60" s="23"/>
    </row>
    <row r="61" spans="5:9" x14ac:dyDescent="0.25">
      <c r="E61" s="22"/>
      <c r="H61" s="23"/>
    </row>
    <row r="62" spans="5:9" x14ac:dyDescent="0.25">
      <c r="E62" s="296" t="s">
        <v>526</v>
      </c>
      <c r="H62" s="23"/>
    </row>
    <row r="63" spans="5:9" x14ac:dyDescent="0.25">
      <c r="E63" s="296" t="s">
        <v>518</v>
      </c>
      <c r="F63" s="279">
        <f>9*3.5</f>
        <v>31.5</v>
      </c>
      <c r="G63" s="20" t="s">
        <v>190</v>
      </c>
      <c r="H63" s="23"/>
    </row>
    <row r="64" spans="5:9" x14ac:dyDescent="0.25">
      <c r="E64" s="297" t="s">
        <v>519</v>
      </c>
      <c r="F64" s="298">
        <f>+F63*0.994</f>
        <v>31.311</v>
      </c>
      <c r="G64" s="299" t="s">
        <v>181</v>
      </c>
      <c r="H64" s="300"/>
    </row>
    <row r="66" spans="5:7" x14ac:dyDescent="0.25">
      <c r="E66" s="301" t="s">
        <v>71</v>
      </c>
      <c r="F66" s="302">
        <f>+F64+F60+F55+F51</f>
        <v>89.701779999999999</v>
      </c>
      <c r="G66" s="303" t="s">
        <v>181</v>
      </c>
    </row>
  </sheetData>
  <mergeCells count="43">
    <mergeCell ref="E47:H47"/>
    <mergeCell ref="E48:H48"/>
    <mergeCell ref="E57:H57"/>
    <mergeCell ref="E6:H6"/>
    <mergeCell ref="B7:J7"/>
    <mergeCell ref="B8:F8"/>
    <mergeCell ref="B12:F12"/>
    <mergeCell ref="B13:F13"/>
    <mergeCell ref="B14:F14"/>
    <mergeCell ref="B9:F9"/>
    <mergeCell ref="B10:F10"/>
    <mergeCell ref="B11:F11"/>
    <mergeCell ref="B20:E20"/>
    <mergeCell ref="B21:E21"/>
    <mergeCell ref="B22:E22"/>
    <mergeCell ref="B15:I15"/>
    <mergeCell ref="A1:C4"/>
    <mergeCell ref="D1:J1"/>
    <mergeCell ref="D2:J2"/>
    <mergeCell ref="D3:J3"/>
    <mergeCell ref="D4:J4"/>
    <mergeCell ref="B17:J17"/>
    <mergeCell ref="B18:E18"/>
    <mergeCell ref="B19:E19"/>
    <mergeCell ref="B26:I26"/>
    <mergeCell ref="B28:J28"/>
    <mergeCell ref="B29:F29"/>
    <mergeCell ref="B23:E23"/>
    <mergeCell ref="B24:E24"/>
    <mergeCell ref="B25:E25"/>
    <mergeCell ref="B33:F33"/>
    <mergeCell ref="B34:I34"/>
    <mergeCell ref="B36:J36"/>
    <mergeCell ref="B30:F30"/>
    <mergeCell ref="B31:F31"/>
    <mergeCell ref="B32:F32"/>
    <mergeCell ref="B44:I44"/>
    <mergeCell ref="B40:F40"/>
    <mergeCell ref="B41:F41"/>
    <mergeCell ref="B42:I42"/>
    <mergeCell ref="B37:F37"/>
    <mergeCell ref="B38:F38"/>
    <mergeCell ref="B39:F39"/>
  </mergeCells>
  <hyperlinks>
    <hyperlink ref="C6" location="'PPTO HOJA'!A13" display="'PPTO HOJA'!A13" xr:uid="{00000000-0004-0000-2900-000000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2900-000000000000}">
          <x14:formula1>
            <xm:f>CUADRILLAS!$B$86:$B$101</xm:f>
          </x14:formula1>
          <xm:sqref>B38:F41</xm:sqref>
        </x14:dataValidation>
      </x14:dataValidations>
    </ext>
  </extLs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9" tint="0.59999389629810485"/>
  </sheetPr>
  <dimension ref="A1:J66"/>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9" style="20" bestFit="1" customWidth="1"/>
    <col min="11" max="16384" width="11.44140625" style="20"/>
  </cols>
  <sheetData>
    <row r="1" spans="1:10" x14ac:dyDescent="0.25">
      <c r="A1" s="765"/>
      <c r="B1" s="765"/>
      <c r="C1" s="765"/>
      <c r="D1" s="766" t="str">
        <f>'PPTO HOJA'!A4</f>
        <v>DEPARTAMENTO DE ANTIOQUIA</v>
      </c>
      <c r="E1" s="766"/>
      <c r="F1" s="766"/>
      <c r="G1" s="766"/>
      <c r="H1" s="766"/>
      <c r="I1" s="766"/>
      <c r="J1" s="766"/>
    </row>
    <row r="2" spans="1:10" x14ac:dyDescent="0.25">
      <c r="A2" s="765"/>
      <c r="B2" s="765"/>
      <c r="C2" s="765"/>
      <c r="D2" s="766" t="str">
        <f>'PPTO HOJA'!A5</f>
        <v>MUNICIPIO DE ARBOLETES</v>
      </c>
      <c r="E2" s="766"/>
      <c r="F2" s="766"/>
      <c r="G2" s="766"/>
      <c r="H2" s="766"/>
      <c r="I2" s="766"/>
      <c r="J2" s="766"/>
    </row>
    <row r="3" spans="1:10"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row>
    <row r="4" spans="1:10" x14ac:dyDescent="0.25">
      <c r="A4" s="765"/>
      <c r="B4" s="765"/>
      <c r="C4" s="765"/>
      <c r="D4" s="766" t="s">
        <v>20</v>
      </c>
      <c r="E4" s="766"/>
      <c r="F4" s="766"/>
      <c r="G4" s="766"/>
      <c r="H4" s="766"/>
      <c r="I4" s="766"/>
      <c r="J4" s="766"/>
    </row>
    <row r="5" spans="1:10" ht="9.75" customHeight="1" x14ac:dyDescent="0.25">
      <c r="A5" s="22"/>
      <c r="J5" s="23"/>
    </row>
    <row r="6" spans="1:10" s="21" customFormat="1" ht="33" customHeight="1" x14ac:dyDescent="0.3">
      <c r="A6" s="30" t="s">
        <v>361</v>
      </c>
      <c r="B6" s="29" t="s">
        <v>22</v>
      </c>
      <c r="C6" s="116">
        <f>'PPTO HOJA'!A57</f>
        <v>6.04</v>
      </c>
      <c r="D6" s="28"/>
      <c r="E6" s="764" t="str">
        <f>'PPTO HOJA'!B57</f>
        <v>Construcción de pilote tipo Casisson h = 2.00 &lt; 3.00 m, diámetro interno de 1.20 m, Incluye anillo en concreto reforzado  e=10 cm (diámetro total de 1.40 m). Incluye excavación varia en material común bajo cualquier grado de humedad, transporte y disposición final de los materiales y medido en su posición original.</v>
      </c>
      <c r="F6" s="764"/>
      <c r="G6" s="764"/>
      <c r="H6" s="764"/>
      <c r="I6" s="30" t="s">
        <v>23</v>
      </c>
      <c r="J6" s="31" t="str">
        <f>'PPTO HOJA'!C57</f>
        <v>m</v>
      </c>
    </row>
    <row r="7" spans="1:10" ht="15" customHeight="1" x14ac:dyDescent="0.25">
      <c r="A7" s="22"/>
      <c r="B7" s="761" t="s">
        <v>24</v>
      </c>
      <c r="C7" s="761"/>
      <c r="D7" s="761"/>
      <c r="E7" s="761"/>
      <c r="F7" s="761"/>
      <c r="G7" s="761"/>
      <c r="H7" s="761"/>
      <c r="I7" s="761"/>
      <c r="J7" s="761"/>
    </row>
    <row r="8" spans="1:10" x14ac:dyDescent="0.25">
      <c r="A8" s="22"/>
      <c r="B8" s="763" t="s">
        <v>25</v>
      </c>
      <c r="C8" s="763"/>
      <c r="D8" s="763"/>
      <c r="E8" s="763"/>
      <c r="F8" s="763"/>
      <c r="G8" s="31" t="s">
        <v>26</v>
      </c>
      <c r="H8" s="31" t="s">
        <v>27</v>
      </c>
      <c r="I8" s="31" t="s">
        <v>28</v>
      </c>
      <c r="J8" s="32" t="s">
        <v>29</v>
      </c>
    </row>
    <row r="9" spans="1:10" ht="15" customHeight="1" x14ac:dyDescent="0.25">
      <c r="A9" s="22"/>
      <c r="B9" s="760" t="s">
        <v>30</v>
      </c>
      <c r="C9" s="760"/>
      <c r="D9" s="760"/>
      <c r="E9" s="760"/>
      <c r="F9" s="760"/>
      <c r="G9" s="31"/>
      <c r="H9" s="24"/>
      <c r="I9" s="33">
        <v>0.05</v>
      </c>
      <c r="J9" s="24">
        <f>ROUND(I9*J42,0)</f>
        <v>58955</v>
      </c>
    </row>
    <row r="10" spans="1:10" ht="15" customHeight="1" x14ac:dyDescent="0.25">
      <c r="A10" s="22"/>
      <c r="B10" s="764" t="s">
        <v>362</v>
      </c>
      <c r="C10" s="764"/>
      <c r="D10" s="764"/>
      <c r="E10" s="764"/>
      <c r="F10" s="764"/>
      <c r="G10" s="31" t="str">
        <f>IF(B10="","",VLOOKUP(B10,EQUIPOS!$B$7:$F$46,3,FALSE))</f>
        <v>Brist-stat</v>
      </c>
      <c r="H10" s="24">
        <f>IF(B10="","",VLOOKUP(B10,EQUIPOS!$B$7:$F$46,5,FALSE))</f>
        <v>80000</v>
      </c>
      <c r="I10" s="34">
        <f>+I11</f>
        <v>1</v>
      </c>
      <c r="J10" s="24">
        <f>IF(B10="",0,ROUND(H10/I10,0))</f>
        <v>80000</v>
      </c>
    </row>
    <row r="11" spans="1:10" ht="15" customHeight="1" x14ac:dyDescent="0.25">
      <c r="A11" s="22"/>
      <c r="B11" s="760" t="s">
        <v>107</v>
      </c>
      <c r="C11" s="760"/>
      <c r="D11" s="760"/>
      <c r="E11" s="760"/>
      <c r="F11" s="760"/>
      <c r="G11" s="31" t="str">
        <f>IF(B11="","",VLOOKUP(B11,EQUIPOS!$B$7:$F$46,3,FALSE))</f>
        <v>Gasolina</v>
      </c>
      <c r="H11" s="24">
        <f>IF(B11="","",VLOOKUP(B11,EQUIPOS!$B$7:$F$46,5,FALSE))</f>
        <v>85000</v>
      </c>
      <c r="I11" s="34">
        <f>+I38</f>
        <v>1</v>
      </c>
      <c r="J11" s="24">
        <f t="shared" ref="J11:J13" si="0">IF(B11="",0,ROUND(H11/I11,0))</f>
        <v>85000</v>
      </c>
    </row>
    <row r="12" spans="1:10" ht="15" customHeight="1" x14ac:dyDescent="0.25">
      <c r="A12" s="22"/>
      <c r="B12" s="760"/>
      <c r="C12" s="760"/>
      <c r="D12" s="760"/>
      <c r="E12" s="760"/>
      <c r="F12" s="760"/>
      <c r="G12" s="31" t="str">
        <f>IF(B12="","",VLOOKUP(B12,EQUIPOS!$B$7:$F$46,3,FALSE))</f>
        <v/>
      </c>
      <c r="H12" s="24" t="str">
        <f>IF(B12="","",VLOOKUP(B12,EQUIPOS!$B$7:$F$46,5,FALSE))</f>
        <v/>
      </c>
      <c r="I12" s="34"/>
      <c r="J12" s="24">
        <f t="shared" si="0"/>
        <v>0</v>
      </c>
    </row>
    <row r="13" spans="1:10" ht="15" customHeight="1" x14ac:dyDescent="0.25">
      <c r="A13" s="22"/>
      <c r="B13" s="760"/>
      <c r="C13" s="760"/>
      <c r="D13" s="760"/>
      <c r="E13" s="760"/>
      <c r="F13" s="760"/>
      <c r="G13" s="31" t="str">
        <f>IF(B13="","",VLOOKUP(B13,EQUIPOS!$B$7:$F$46,3,FALSE))</f>
        <v/>
      </c>
      <c r="H13" s="24" t="str">
        <f>IF(B13="","",VLOOKUP(B13,EQUIPOS!$B$7:$F$46,5,FALSE))</f>
        <v/>
      </c>
      <c r="I13" s="34"/>
      <c r="J13" s="24">
        <f t="shared" si="0"/>
        <v>0</v>
      </c>
    </row>
    <row r="14" spans="1:10" ht="15" customHeight="1" x14ac:dyDescent="0.25">
      <c r="A14" s="22"/>
      <c r="B14" s="760"/>
      <c r="C14" s="760"/>
      <c r="D14" s="760"/>
      <c r="E14" s="760"/>
      <c r="F14" s="760"/>
      <c r="G14" s="31" t="str">
        <f>IF(B14="","",VLOOKUP(B14,EQUIPOS!$B$7:$F$46,3,FALSE))</f>
        <v/>
      </c>
      <c r="H14" s="24" t="str">
        <f>IF(B14="","",VLOOKUP(B14,EQUIPOS!$B$7:$F$46,5,FALSE))</f>
        <v/>
      </c>
      <c r="I14" s="34"/>
      <c r="J14" s="24"/>
    </row>
    <row r="15" spans="1:10" ht="15" customHeight="1" x14ac:dyDescent="0.25">
      <c r="A15" s="22"/>
      <c r="B15" s="761" t="s">
        <v>31</v>
      </c>
      <c r="C15" s="761"/>
      <c r="D15" s="761"/>
      <c r="E15" s="761"/>
      <c r="F15" s="761"/>
      <c r="G15" s="761"/>
      <c r="H15" s="761"/>
      <c r="I15" s="761"/>
      <c r="J15" s="24">
        <f>SUM(J9:J14)</f>
        <v>223955</v>
      </c>
    </row>
    <row r="16" spans="1:10" ht="7.5" customHeight="1" x14ac:dyDescent="0.25">
      <c r="A16" s="22"/>
      <c r="B16" s="25"/>
      <c r="C16" s="25"/>
      <c r="D16" s="25"/>
      <c r="E16" s="25"/>
      <c r="F16" s="25"/>
      <c r="G16" s="25"/>
      <c r="H16" s="25"/>
      <c r="I16" s="25"/>
      <c r="J16" s="26"/>
    </row>
    <row r="17" spans="1:10" ht="15" customHeight="1" x14ac:dyDescent="0.25">
      <c r="A17" s="22"/>
      <c r="B17" s="761" t="s">
        <v>32</v>
      </c>
      <c r="C17" s="761"/>
      <c r="D17" s="761"/>
      <c r="E17" s="761"/>
      <c r="F17" s="761"/>
      <c r="G17" s="761"/>
      <c r="H17" s="761"/>
      <c r="I17" s="761"/>
      <c r="J17" s="761"/>
    </row>
    <row r="18" spans="1:10" ht="26.4" x14ac:dyDescent="0.25">
      <c r="A18" s="22"/>
      <c r="B18" s="763" t="s">
        <v>33</v>
      </c>
      <c r="C18" s="763"/>
      <c r="D18" s="763"/>
      <c r="E18" s="763"/>
      <c r="F18" s="28" t="s">
        <v>19</v>
      </c>
      <c r="G18" s="31" t="s">
        <v>34</v>
      </c>
      <c r="H18" s="32" t="s">
        <v>35</v>
      </c>
      <c r="I18" s="32" t="s">
        <v>36</v>
      </c>
      <c r="J18" s="32" t="s">
        <v>29</v>
      </c>
    </row>
    <row r="19" spans="1:10" x14ac:dyDescent="0.25">
      <c r="A19" s="22"/>
      <c r="B19" s="791" t="str">
        <f>+'PPTO HOJA'!B12</f>
        <v>Excavación manual en material común bajo cualquier grado de humedad</v>
      </c>
      <c r="C19" s="792"/>
      <c r="D19" s="792"/>
      <c r="E19" s="793"/>
      <c r="F19" s="180">
        <f>+PI()*0.7^2*1</f>
        <v>1.5393804002589984</v>
      </c>
      <c r="G19" s="206" t="s">
        <v>261</v>
      </c>
      <c r="H19" s="207"/>
      <c r="I19" s="280">
        <f>+'PPTO HOJA'!E12</f>
        <v>41268</v>
      </c>
      <c r="J19" s="24">
        <f>IF(I19="",0,ROUND((+F19*I19*(1+H19)),0))</f>
        <v>63527</v>
      </c>
    </row>
    <row r="20" spans="1:10" ht="14.25" customHeight="1" x14ac:dyDescent="0.25">
      <c r="A20" s="22"/>
      <c r="B20" s="791" t="s">
        <v>514</v>
      </c>
      <c r="C20" s="792"/>
      <c r="D20" s="792"/>
      <c r="E20" s="793"/>
      <c r="F20" s="180">
        <f>+PI()*(0.7^2-0.6^2)*1</f>
        <v>0.40840704496667296</v>
      </c>
      <c r="G20" s="31" t="str">
        <f>+'APU BÁSICOS'!J6</f>
        <v>m3</v>
      </c>
      <c r="H20" s="107">
        <v>0.1</v>
      </c>
      <c r="I20" s="24">
        <f>+'APU BÁSICOS'!J91</f>
        <v>1003196</v>
      </c>
      <c r="J20" s="24">
        <f>IF(I20="",0,ROUND((+F20*I20*(1+H20)),0))</f>
        <v>450684</v>
      </c>
    </row>
    <row r="21" spans="1:10" ht="15" customHeight="1" x14ac:dyDescent="0.25">
      <c r="A21" s="22"/>
      <c r="B21" s="764" t="s">
        <v>509</v>
      </c>
      <c r="C21" s="764"/>
      <c r="D21" s="764"/>
      <c r="E21" s="764"/>
      <c r="F21" s="34">
        <f>+(PI()*0.6^2*1)*0.7</f>
        <v>0.79168134870462781</v>
      </c>
      <c r="G21" s="31" t="str">
        <f>+'APU BÁSICOS'!J6</f>
        <v>m3</v>
      </c>
      <c r="H21" s="107">
        <v>0.1</v>
      </c>
      <c r="I21" s="24">
        <f>+'APU BÁSICOS'!J45</f>
        <v>1024596</v>
      </c>
      <c r="J21" s="24">
        <f t="shared" ref="J21:J25" si="1">IF(I21="",0,ROUND((+F21*I21*(1+H21)),0))</f>
        <v>892269</v>
      </c>
    </row>
    <row r="22" spans="1:10" ht="15" customHeight="1" x14ac:dyDescent="0.25">
      <c r="A22" s="22"/>
      <c r="B22" s="760" t="s">
        <v>265</v>
      </c>
      <c r="C22" s="760"/>
      <c r="D22" s="760"/>
      <c r="E22" s="760"/>
      <c r="F22" s="34">
        <f>+(PI()*0.6^2*1)*0.3</f>
        <v>0.33929200658769765</v>
      </c>
      <c r="G22" s="31" t="str">
        <f>IF(F22=0,"",VLOOKUP(B22,'LISTADO DE MATERIALES'!$B$6:$D$311,2,FALSE))</f>
        <v>m3</v>
      </c>
      <c r="H22" s="107">
        <v>0.1</v>
      </c>
      <c r="I22" s="24">
        <f>IF(F22=0,"",VLOOKUP(B22,'LISTADO DE MATERIALES'!$B$6:$D$311,3,FALSE))</f>
        <v>182390</v>
      </c>
      <c r="J22" s="24">
        <f t="shared" si="1"/>
        <v>68072</v>
      </c>
    </row>
    <row r="23" spans="1:10" ht="15" customHeight="1" x14ac:dyDescent="0.25">
      <c r="A23" s="22"/>
      <c r="B23" s="760" t="s">
        <v>250</v>
      </c>
      <c r="C23" s="760"/>
      <c r="D23" s="760"/>
      <c r="E23" s="760"/>
      <c r="F23" s="34">
        <f>+F66</f>
        <v>72.306780000000003</v>
      </c>
      <c r="G23" s="31" t="str">
        <f>IF(F23=0,"",VLOOKUP(B23,'LISTADO DE MATERIALES'!$B$6:$D$311,2,FALSE))</f>
        <v>Kg</v>
      </c>
      <c r="H23" s="107">
        <v>0.05</v>
      </c>
      <c r="I23" s="24">
        <f>IF(F23=0,"",VLOOKUP(B23,'LISTADO DE MATERIALES'!$B$6:$D$311,3,FALSE))</f>
        <v>6225</v>
      </c>
      <c r="J23" s="24">
        <f t="shared" si="1"/>
        <v>472615</v>
      </c>
    </row>
    <row r="24" spans="1:10" ht="15" customHeight="1" x14ac:dyDescent="0.25">
      <c r="A24" s="22"/>
      <c r="B24" s="760" t="s">
        <v>251</v>
      </c>
      <c r="C24" s="760"/>
      <c r="D24" s="760"/>
      <c r="E24" s="760"/>
      <c r="F24" s="34">
        <f>+F23*0.05</f>
        <v>3.6153390000000005</v>
      </c>
      <c r="G24" s="31" t="str">
        <f>IF(F24=0,"",VLOOKUP(B24,'LISTADO DE MATERIALES'!$B$6:$D$311,2,FALSE))</f>
        <v>Kg</v>
      </c>
      <c r="H24" s="107">
        <v>0.05</v>
      </c>
      <c r="I24" s="24">
        <f>IF(F24=0,"",VLOOKUP(B24,'LISTADO DE MATERIALES'!$B$6:$D$311,3,FALSE))</f>
        <v>12450</v>
      </c>
      <c r="J24" s="24">
        <f t="shared" si="1"/>
        <v>47262</v>
      </c>
    </row>
    <row r="25" spans="1:10" ht="27.6" customHeight="1" x14ac:dyDescent="0.25">
      <c r="A25" s="22"/>
      <c r="B25" s="764" t="s">
        <v>508</v>
      </c>
      <c r="C25" s="764"/>
      <c r="D25" s="764"/>
      <c r="E25" s="764"/>
      <c r="F25" s="34">
        <f>((2*PI()*0.6)/0.3)/3</f>
        <v>4.1887902047863905</v>
      </c>
      <c r="G25" s="31" t="str">
        <f>IF(F25=0,"",VLOOKUP(B25,'LISTADO DE MATERIALES'!$B$6:$D$311,2,FALSE))</f>
        <v>und</v>
      </c>
      <c r="H25" s="107">
        <v>0.05</v>
      </c>
      <c r="I25" s="24">
        <f>IF(F25=0,"",VLOOKUP(B25,'LISTADO DE MATERIALES'!$B$6:$D$311,3,FALSE))</f>
        <v>25000</v>
      </c>
      <c r="J25" s="24">
        <f t="shared" si="1"/>
        <v>109956</v>
      </c>
    </row>
    <row r="26" spans="1:10" ht="15" customHeight="1" x14ac:dyDescent="0.25">
      <c r="A26" s="22"/>
      <c r="B26" s="761" t="s">
        <v>37</v>
      </c>
      <c r="C26" s="761"/>
      <c r="D26" s="761"/>
      <c r="E26" s="761"/>
      <c r="F26" s="761"/>
      <c r="G26" s="761"/>
      <c r="H26" s="761"/>
      <c r="I26" s="761"/>
      <c r="J26" s="24">
        <f>SUM(J19:J25)</f>
        <v>2104385</v>
      </c>
    </row>
    <row r="27" spans="1:10" ht="7.5" customHeight="1" x14ac:dyDescent="0.25">
      <c r="A27" s="22"/>
      <c r="B27" s="25"/>
      <c r="C27" s="25"/>
      <c r="D27" s="25"/>
      <c r="E27" s="25"/>
      <c r="F27" s="25"/>
      <c r="G27" s="25"/>
      <c r="H27" s="25"/>
      <c r="I27" s="25"/>
      <c r="J27" s="26"/>
    </row>
    <row r="28" spans="1:10" ht="15" customHeight="1" x14ac:dyDescent="0.25">
      <c r="A28" s="22"/>
      <c r="B28" s="761" t="s">
        <v>38</v>
      </c>
      <c r="C28" s="761"/>
      <c r="D28" s="761"/>
      <c r="E28" s="761"/>
      <c r="F28" s="761"/>
      <c r="G28" s="761"/>
      <c r="H28" s="761"/>
      <c r="I28" s="761"/>
      <c r="J28" s="761"/>
    </row>
    <row r="29" spans="1:10" x14ac:dyDescent="0.25">
      <c r="A29" s="22"/>
      <c r="B29" s="763" t="s">
        <v>33</v>
      </c>
      <c r="C29" s="763"/>
      <c r="D29" s="763"/>
      <c r="E29" s="763"/>
      <c r="F29" s="763"/>
      <c r="G29" s="31" t="s">
        <v>133</v>
      </c>
      <c r="H29" s="31" t="s">
        <v>132</v>
      </c>
      <c r="I29" s="31" t="s">
        <v>39</v>
      </c>
      <c r="J29" s="32" t="s">
        <v>29</v>
      </c>
    </row>
    <row r="30" spans="1:10" ht="15" customHeight="1" x14ac:dyDescent="0.25">
      <c r="A30" s="22"/>
      <c r="B30" s="760" t="s">
        <v>510</v>
      </c>
      <c r="C30" s="760"/>
      <c r="D30" s="760"/>
      <c r="E30" s="760"/>
      <c r="F30" s="760"/>
      <c r="G30" s="34">
        <f>+F19*1.3</f>
        <v>2.0011945203366981</v>
      </c>
      <c r="H30" s="34">
        <f>+TRANSPORTE!B7</f>
        <v>10.5</v>
      </c>
      <c r="I30" s="319">
        <f>+TRANSPORTE!C7</f>
        <v>1667</v>
      </c>
      <c r="J30" s="24">
        <f>ROUND((I30*H30*G30),0)</f>
        <v>35028</v>
      </c>
    </row>
    <row r="31" spans="1:10" ht="15" customHeight="1" x14ac:dyDescent="0.25">
      <c r="A31" s="22"/>
      <c r="B31" s="760" t="s">
        <v>580</v>
      </c>
      <c r="C31" s="760"/>
      <c r="D31" s="760"/>
      <c r="E31" s="760"/>
      <c r="F31" s="760"/>
      <c r="G31" s="34">
        <f>+F22</f>
        <v>0.33929200658769765</v>
      </c>
      <c r="H31" s="34">
        <f>+TRANSPORTE!B6</f>
        <v>70</v>
      </c>
      <c r="I31" s="319">
        <f>+TRANSPORTE!C6</f>
        <v>1241.46</v>
      </c>
      <c r="J31" s="24">
        <f>ROUND((I31*H31*G31),0)</f>
        <v>29485</v>
      </c>
    </row>
    <row r="32" spans="1:10" ht="15" customHeight="1" x14ac:dyDescent="0.25">
      <c r="A32" s="22"/>
      <c r="B32" s="760"/>
      <c r="C32" s="760"/>
      <c r="D32" s="760"/>
      <c r="E32" s="760"/>
      <c r="F32" s="760"/>
      <c r="G32" s="31"/>
      <c r="H32" s="34"/>
      <c r="I32" s="24"/>
      <c r="J32" s="24">
        <v>0</v>
      </c>
    </row>
    <row r="33" spans="1:10" ht="15" customHeight="1" x14ac:dyDescent="0.25">
      <c r="A33" s="22"/>
      <c r="B33" s="760"/>
      <c r="C33" s="760"/>
      <c r="D33" s="760"/>
      <c r="E33" s="760"/>
      <c r="F33" s="760"/>
      <c r="G33" s="31"/>
      <c r="H33" s="31"/>
      <c r="I33" s="24"/>
      <c r="J33" s="24">
        <v>0</v>
      </c>
    </row>
    <row r="34" spans="1:10" ht="15" customHeight="1" x14ac:dyDescent="0.25">
      <c r="A34" s="22"/>
      <c r="B34" s="761" t="s">
        <v>40</v>
      </c>
      <c r="C34" s="761"/>
      <c r="D34" s="761"/>
      <c r="E34" s="761"/>
      <c r="F34" s="761"/>
      <c r="G34" s="761"/>
      <c r="H34" s="761"/>
      <c r="I34" s="761"/>
      <c r="J34" s="24">
        <f>SUM(J30:J33)</f>
        <v>64513</v>
      </c>
    </row>
    <row r="35" spans="1:10" ht="7.5" customHeight="1" x14ac:dyDescent="0.25">
      <c r="A35" s="22"/>
      <c r="B35" s="25"/>
      <c r="C35" s="25"/>
      <c r="D35" s="25"/>
      <c r="E35" s="25"/>
      <c r="F35" s="25"/>
      <c r="G35" s="25"/>
      <c r="H35" s="25"/>
      <c r="I35" s="25"/>
      <c r="J35" s="26"/>
    </row>
    <row r="36" spans="1:10" ht="15" customHeight="1" x14ac:dyDescent="0.25">
      <c r="A36" s="22"/>
      <c r="B36" s="761" t="s">
        <v>41</v>
      </c>
      <c r="C36" s="761"/>
      <c r="D36" s="761"/>
      <c r="E36" s="761"/>
      <c r="F36" s="761"/>
      <c r="G36" s="761"/>
      <c r="H36" s="761"/>
      <c r="I36" s="761"/>
      <c r="J36" s="761"/>
    </row>
    <row r="37" spans="1:10" ht="26.4" x14ac:dyDescent="0.25">
      <c r="A37" s="22"/>
      <c r="B37" s="763" t="s">
        <v>4</v>
      </c>
      <c r="C37" s="763"/>
      <c r="D37" s="763"/>
      <c r="E37" s="763"/>
      <c r="F37" s="763"/>
      <c r="G37" s="32" t="s">
        <v>51</v>
      </c>
      <c r="H37" s="32" t="s">
        <v>19</v>
      </c>
      <c r="I37" s="32" t="s">
        <v>28</v>
      </c>
      <c r="J37" s="32" t="s">
        <v>29</v>
      </c>
    </row>
    <row r="38" spans="1:10" ht="15" customHeight="1" x14ac:dyDescent="0.25">
      <c r="A38" s="22"/>
      <c r="B38" s="760" t="s">
        <v>68</v>
      </c>
      <c r="C38" s="760"/>
      <c r="D38" s="760"/>
      <c r="E38" s="760"/>
      <c r="F38" s="760"/>
      <c r="G38" s="24">
        <f>IF(B38="","",VLOOKUP(B38,CUADRILLAS!$B$87:$C$101,2,FALSE))</f>
        <v>235820.59999999998</v>
      </c>
      <c r="H38" s="31">
        <v>1</v>
      </c>
      <c r="I38" s="34">
        <v>1</v>
      </c>
      <c r="J38" s="24">
        <f>ROUND(+IF(I38=0,0,G38*H38/I38),0)</f>
        <v>235821</v>
      </c>
    </row>
    <row r="39" spans="1:10" ht="15" customHeight="1" x14ac:dyDescent="0.25">
      <c r="A39" s="22"/>
      <c r="B39" s="760" t="s">
        <v>120</v>
      </c>
      <c r="C39" s="760"/>
      <c r="D39" s="760"/>
      <c r="E39" s="760"/>
      <c r="F39" s="760"/>
      <c r="G39" s="24">
        <f>IF(B39="","",VLOOKUP(B39,CUADRILLAS!$B$87:$C$101,2,FALSE))</f>
        <v>157213.73333333334</v>
      </c>
      <c r="H39" s="31">
        <v>2</v>
      </c>
      <c r="I39" s="34">
        <f>+I38</f>
        <v>1</v>
      </c>
      <c r="J39" s="24">
        <f>ROUND(+IF(I39=0,0,G39*H39/I39),0)</f>
        <v>314427</v>
      </c>
    </row>
    <row r="40" spans="1:10" ht="15" customHeight="1" x14ac:dyDescent="0.25">
      <c r="A40" s="22"/>
      <c r="B40" s="760" t="s">
        <v>121</v>
      </c>
      <c r="C40" s="760"/>
      <c r="D40" s="760"/>
      <c r="E40" s="760"/>
      <c r="F40" s="760"/>
      <c r="G40" s="24">
        <f>IF(B40="","",VLOOKUP(B40,CUADRILLAS!$B$87:$C$101,2,FALSE))</f>
        <v>78606.866666666669</v>
      </c>
      <c r="H40" s="31">
        <v>8</v>
      </c>
      <c r="I40" s="34">
        <f>+I39</f>
        <v>1</v>
      </c>
      <c r="J40" s="24">
        <f>ROUND(+IF(I40=0,0,G40*H40/I40),0)</f>
        <v>628855</v>
      </c>
    </row>
    <row r="41" spans="1:10" ht="15" customHeight="1" x14ac:dyDescent="0.25">
      <c r="A41" s="22"/>
      <c r="B41" s="760"/>
      <c r="C41" s="760"/>
      <c r="D41" s="760"/>
      <c r="E41" s="760"/>
      <c r="F41" s="760"/>
      <c r="G41" s="24" t="str">
        <f>IF(B41="","",VLOOKUP(B41,CUADRILLAS!$B$87:$C$101,2,FALSE))</f>
        <v/>
      </c>
      <c r="H41" s="31"/>
      <c r="I41" s="34"/>
      <c r="J41" s="24">
        <f t="shared" ref="J41" si="2">+IF(I41=0,0,G41*H41/I41)</f>
        <v>0</v>
      </c>
    </row>
    <row r="42" spans="1:10" ht="15" customHeight="1" x14ac:dyDescent="0.25">
      <c r="A42" s="22"/>
      <c r="B42" s="761" t="s">
        <v>42</v>
      </c>
      <c r="C42" s="761"/>
      <c r="D42" s="761"/>
      <c r="E42" s="761"/>
      <c r="F42" s="761"/>
      <c r="G42" s="761"/>
      <c r="H42" s="761"/>
      <c r="I42" s="761"/>
      <c r="J42" s="24">
        <f>SUM(J38:J41)</f>
        <v>1179103</v>
      </c>
    </row>
    <row r="43" spans="1:10" ht="7.5" customHeight="1" x14ac:dyDescent="0.25">
      <c r="A43" s="22"/>
      <c r="B43" s="25"/>
      <c r="C43" s="25"/>
      <c r="D43" s="25"/>
      <c r="E43" s="25"/>
      <c r="F43" s="25"/>
      <c r="G43" s="25"/>
      <c r="H43" s="25"/>
      <c r="I43" s="25"/>
      <c r="J43" s="26"/>
    </row>
    <row r="44" spans="1:10" ht="15.75" customHeight="1" x14ac:dyDescent="0.25">
      <c r="A44" s="27"/>
      <c r="B44" s="762" t="s">
        <v>43</v>
      </c>
      <c r="C44" s="762"/>
      <c r="D44" s="762"/>
      <c r="E44" s="762"/>
      <c r="F44" s="762"/>
      <c r="G44" s="762"/>
      <c r="H44" s="762"/>
      <c r="I44" s="762"/>
      <c r="J44" s="106">
        <f>+J42+J34+J15+J26</f>
        <v>3571956</v>
      </c>
    </row>
    <row r="45" spans="1:10" x14ac:dyDescent="0.25">
      <c r="B45" s="21"/>
      <c r="C45" s="21"/>
      <c r="D45" s="21"/>
      <c r="E45" s="21"/>
      <c r="F45" s="21"/>
      <c r="G45" s="21"/>
      <c r="H45" s="21"/>
      <c r="I45" s="21"/>
      <c r="J45" s="21"/>
    </row>
    <row r="47" spans="1:10" x14ac:dyDescent="0.25">
      <c r="E47" s="801" t="s">
        <v>516</v>
      </c>
      <c r="F47" s="802"/>
      <c r="G47" s="802"/>
      <c r="H47" s="803"/>
    </row>
    <row r="48" spans="1:10" x14ac:dyDescent="0.25">
      <c r="E48" s="804" t="s">
        <v>515</v>
      </c>
      <c r="F48" s="805"/>
      <c r="G48" s="805"/>
      <c r="H48" s="806"/>
    </row>
    <row r="49" spans="5:9" x14ac:dyDescent="0.25">
      <c r="E49" s="296" t="s">
        <v>524</v>
      </c>
      <c r="H49" s="23"/>
    </row>
    <row r="50" spans="5:9" x14ac:dyDescent="0.25">
      <c r="E50" s="296" t="s">
        <v>518</v>
      </c>
      <c r="F50" s="279">
        <f>6*(1.05+0.42)</f>
        <v>8.82</v>
      </c>
      <c r="G50" s="20" t="s">
        <v>190</v>
      </c>
      <c r="H50" s="23"/>
    </row>
    <row r="51" spans="5:9" x14ac:dyDescent="0.25">
      <c r="E51" s="296" t="s">
        <v>519</v>
      </c>
      <c r="F51" s="279">
        <f>+F50*0.559</f>
        <v>4.9303800000000004</v>
      </c>
      <c r="G51" s="20" t="s">
        <v>181</v>
      </c>
      <c r="H51" s="23"/>
    </row>
    <row r="52" spans="5:9" x14ac:dyDescent="0.25">
      <c r="E52" s="22"/>
      <c r="H52" s="23"/>
    </row>
    <row r="53" spans="5:9" x14ac:dyDescent="0.25">
      <c r="E53" s="296" t="s">
        <v>520</v>
      </c>
      <c r="H53" s="23"/>
    </row>
    <row r="54" spans="5:9" x14ac:dyDescent="0.25">
      <c r="E54" s="296" t="s">
        <v>518</v>
      </c>
      <c r="F54" s="279">
        <f>3*5.2</f>
        <v>15.600000000000001</v>
      </c>
      <c r="G54" s="20" t="s">
        <v>190</v>
      </c>
      <c r="H54" s="23"/>
    </row>
    <row r="55" spans="5:9" x14ac:dyDescent="0.25">
      <c r="E55" s="297" t="s">
        <v>519</v>
      </c>
      <c r="F55" s="298">
        <f>+F54*0.559</f>
        <v>8.7204000000000015</v>
      </c>
      <c r="G55" s="299" t="s">
        <v>181</v>
      </c>
      <c r="H55" s="300"/>
    </row>
    <row r="57" spans="5:9" x14ac:dyDescent="0.25">
      <c r="E57" s="804" t="s">
        <v>521</v>
      </c>
      <c r="F57" s="805"/>
      <c r="G57" s="805"/>
      <c r="H57" s="806"/>
      <c r="I57" s="279"/>
    </row>
    <row r="58" spans="5:9" x14ac:dyDescent="0.25">
      <c r="E58" s="296" t="s">
        <v>525</v>
      </c>
      <c r="H58" s="23"/>
    </row>
    <row r="59" spans="5:9" x14ac:dyDescent="0.25">
      <c r="E59" s="296" t="s">
        <v>518</v>
      </c>
      <c r="F59" s="279">
        <f>20*1</f>
        <v>20</v>
      </c>
      <c r="G59" s="20" t="s">
        <v>190</v>
      </c>
      <c r="H59" s="23"/>
    </row>
    <row r="60" spans="5:9" x14ac:dyDescent="0.25">
      <c r="E60" s="296" t="s">
        <v>519</v>
      </c>
      <c r="F60" s="279">
        <f>+F59*2.237</f>
        <v>44.74</v>
      </c>
      <c r="G60" s="20" t="s">
        <v>181</v>
      </c>
      <c r="H60" s="23"/>
    </row>
    <row r="61" spans="5:9" x14ac:dyDescent="0.25">
      <c r="E61" s="22"/>
      <c r="H61" s="23"/>
    </row>
    <row r="62" spans="5:9" x14ac:dyDescent="0.25">
      <c r="E62" s="296" t="s">
        <v>527</v>
      </c>
      <c r="H62" s="23"/>
    </row>
    <row r="63" spans="5:9" x14ac:dyDescent="0.25">
      <c r="E63" s="296" t="s">
        <v>518</v>
      </c>
      <c r="F63" s="279">
        <f>4*3.5</f>
        <v>14</v>
      </c>
      <c r="G63" s="20" t="s">
        <v>190</v>
      </c>
      <c r="H63" s="23"/>
    </row>
    <row r="64" spans="5:9" x14ac:dyDescent="0.25">
      <c r="E64" s="297" t="s">
        <v>519</v>
      </c>
      <c r="F64" s="298">
        <f>+F63*0.994</f>
        <v>13.916</v>
      </c>
      <c r="G64" s="299" t="s">
        <v>181</v>
      </c>
      <c r="H64" s="300"/>
    </row>
    <row r="66" spans="5:7" x14ac:dyDescent="0.25">
      <c r="E66" s="301" t="s">
        <v>71</v>
      </c>
      <c r="F66" s="302">
        <f>+F64+F60+F55+F51</f>
        <v>72.306780000000003</v>
      </c>
      <c r="G66" s="303" t="s">
        <v>181</v>
      </c>
    </row>
  </sheetData>
  <mergeCells count="43">
    <mergeCell ref="E57:H57"/>
    <mergeCell ref="B41:F41"/>
    <mergeCell ref="B42:I42"/>
    <mergeCell ref="B44:I44"/>
    <mergeCell ref="B19:E19"/>
    <mergeCell ref="E47:H47"/>
    <mergeCell ref="E48:H48"/>
    <mergeCell ref="B34:I34"/>
    <mergeCell ref="B36:J36"/>
    <mergeCell ref="B37:F37"/>
    <mergeCell ref="B38:F38"/>
    <mergeCell ref="B39:F39"/>
    <mergeCell ref="B40:F40"/>
    <mergeCell ref="B28:J28"/>
    <mergeCell ref="B29:F29"/>
    <mergeCell ref="B30:F30"/>
    <mergeCell ref="B31:F31"/>
    <mergeCell ref="B32:F32"/>
    <mergeCell ref="B33:F33"/>
    <mergeCell ref="B21:E21"/>
    <mergeCell ref="B22:E22"/>
    <mergeCell ref="B23:E23"/>
    <mergeCell ref="B24:E24"/>
    <mergeCell ref="B25:E25"/>
    <mergeCell ref="B26:I26"/>
    <mergeCell ref="B20:E20"/>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13" display="'PPTO HOJA'!A13" xr:uid="{00000000-0004-0000-2A00-000000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2A00-000000000000}">
          <x14:formula1>
            <xm:f>CUADRILLAS!$B$86:$B$101</xm:f>
          </x14:formula1>
          <xm:sqref>B38:F41</xm:sqref>
        </x14:dataValidation>
      </x14:dataValidations>
    </ext>
  </extLst>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9" tint="0.59999389629810485"/>
  </sheetPr>
  <dimension ref="A1:J66"/>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9" style="20" bestFit="1" customWidth="1"/>
    <col min="11" max="16384" width="11.44140625" style="20"/>
  </cols>
  <sheetData>
    <row r="1" spans="1:10" x14ac:dyDescent="0.25">
      <c r="A1" s="765"/>
      <c r="B1" s="765"/>
      <c r="C1" s="765"/>
      <c r="D1" s="766" t="str">
        <f>'PPTO HOJA'!A4</f>
        <v>DEPARTAMENTO DE ANTIOQUIA</v>
      </c>
      <c r="E1" s="766"/>
      <c r="F1" s="766"/>
      <c r="G1" s="766"/>
      <c r="H1" s="766"/>
      <c r="I1" s="766"/>
      <c r="J1" s="766"/>
    </row>
    <row r="2" spans="1:10" x14ac:dyDescent="0.25">
      <c r="A2" s="765"/>
      <c r="B2" s="765"/>
      <c r="C2" s="765"/>
      <c r="D2" s="766" t="str">
        <f>'PPTO HOJA'!A5</f>
        <v>MUNICIPIO DE ARBOLETES</v>
      </c>
      <c r="E2" s="766"/>
      <c r="F2" s="766"/>
      <c r="G2" s="766"/>
      <c r="H2" s="766"/>
      <c r="I2" s="766"/>
      <c r="J2" s="766"/>
    </row>
    <row r="3" spans="1:10"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row>
    <row r="4" spans="1:10" x14ac:dyDescent="0.25">
      <c r="A4" s="765"/>
      <c r="B4" s="765"/>
      <c r="C4" s="765"/>
      <c r="D4" s="766" t="s">
        <v>20</v>
      </c>
      <c r="E4" s="766"/>
      <c r="F4" s="766"/>
      <c r="G4" s="766"/>
      <c r="H4" s="766"/>
      <c r="I4" s="766"/>
      <c r="J4" s="766"/>
    </row>
    <row r="5" spans="1:10" ht="9.75" customHeight="1" x14ac:dyDescent="0.25">
      <c r="A5" s="22"/>
      <c r="J5" s="23"/>
    </row>
    <row r="6" spans="1:10" s="21" customFormat="1" ht="33" customHeight="1" x14ac:dyDescent="0.3">
      <c r="A6" s="30" t="s">
        <v>361</v>
      </c>
      <c r="B6" s="29" t="s">
        <v>22</v>
      </c>
      <c r="C6" s="116">
        <f>'PPTO HOJA'!A58</f>
        <v>6.05</v>
      </c>
      <c r="D6" s="28"/>
      <c r="E6" s="764" t="str">
        <f>'PPTO HOJA'!B58</f>
        <v>Construcción de pilote tipo Casisson h = 3.00 &lt; 4.00 m, diámetro interno de 1.20 m, Incluye anillo en concreto reforzado  e=10 cm (diámetro total de 1.40 m). Incluye excavación varia en material común bajo cualquier grado de humedad, transporte y disposición final de los materiales y medido en su posición original.</v>
      </c>
      <c r="F6" s="764"/>
      <c r="G6" s="764"/>
      <c r="H6" s="764"/>
      <c r="I6" s="30" t="s">
        <v>23</v>
      </c>
      <c r="J6" s="31" t="str">
        <f>'PPTO HOJA'!C58</f>
        <v>m</v>
      </c>
    </row>
    <row r="7" spans="1:10" ht="15" customHeight="1" x14ac:dyDescent="0.25">
      <c r="A7" s="22"/>
      <c r="B7" s="761" t="s">
        <v>24</v>
      </c>
      <c r="C7" s="761"/>
      <c r="D7" s="761"/>
      <c r="E7" s="761"/>
      <c r="F7" s="761"/>
      <c r="G7" s="761"/>
      <c r="H7" s="761"/>
      <c r="I7" s="761"/>
      <c r="J7" s="761"/>
    </row>
    <row r="8" spans="1:10" x14ac:dyDescent="0.25">
      <c r="A8" s="22"/>
      <c r="B8" s="763" t="s">
        <v>25</v>
      </c>
      <c r="C8" s="763"/>
      <c r="D8" s="763"/>
      <c r="E8" s="763"/>
      <c r="F8" s="763"/>
      <c r="G8" s="31" t="s">
        <v>26</v>
      </c>
      <c r="H8" s="31" t="s">
        <v>27</v>
      </c>
      <c r="I8" s="31" t="s">
        <v>28</v>
      </c>
      <c r="J8" s="32" t="s">
        <v>29</v>
      </c>
    </row>
    <row r="9" spans="1:10" ht="15" customHeight="1" x14ac:dyDescent="0.25">
      <c r="A9" s="22"/>
      <c r="B9" s="760" t="s">
        <v>30</v>
      </c>
      <c r="C9" s="760"/>
      <c r="D9" s="760"/>
      <c r="E9" s="760"/>
      <c r="F9" s="760"/>
      <c r="G9" s="31"/>
      <c r="H9" s="24"/>
      <c r="I9" s="33">
        <v>0.05</v>
      </c>
      <c r="J9" s="24">
        <f>ROUND(I9*J42,0)</f>
        <v>73694</v>
      </c>
    </row>
    <row r="10" spans="1:10" ht="15" customHeight="1" x14ac:dyDescent="0.25">
      <c r="A10" s="22"/>
      <c r="B10" s="764" t="s">
        <v>362</v>
      </c>
      <c r="C10" s="764"/>
      <c r="D10" s="764"/>
      <c r="E10" s="764"/>
      <c r="F10" s="764"/>
      <c r="G10" s="31" t="str">
        <f>IF(B10="","",VLOOKUP(B10,EQUIPOS!$B$7:$F$46,3,FALSE))</f>
        <v>Brist-stat</v>
      </c>
      <c r="H10" s="24">
        <f>IF(B10="","",VLOOKUP(B10,EQUIPOS!$B$7:$F$46,5,FALSE))</f>
        <v>80000</v>
      </c>
      <c r="I10" s="34">
        <f>+I11</f>
        <v>0.8</v>
      </c>
      <c r="J10" s="24">
        <f>IF(B10="",0,ROUND(H10/I10,0))</f>
        <v>100000</v>
      </c>
    </row>
    <row r="11" spans="1:10" ht="15" customHeight="1" x14ac:dyDescent="0.25">
      <c r="A11" s="22"/>
      <c r="B11" s="760" t="s">
        <v>107</v>
      </c>
      <c r="C11" s="760"/>
      <c r="D11" s="760"/>
      <c r="E11" s="760"/>
      <c r="F11" s="760"/>
      <c r="G11" s="31" t="str">
        <f>IF(B11="","",VLOOKUP(B11,EQUIPOS!$B$7:$F$46,3,FALSE))</f>
        <v>Gasolina</v>
      </c>
      <c r="H11" s="24">
        <f>IF(B11="","",VLOOKUP(B11,EQUIPOS!$B$7:$F$46,5,FALSE))</f>
        <v>85000</v>
      </c>
      <c r="I11" s="34">
        <f>+I38</f>
        <v>0.8</v>
      </c>
      <c r="J11" s="24">
        <f t="shared" ref="J11:J13" si="0">IF(B11="",0,ROUND(H11/I11,0))</f>
        <v>106250</v>
      </c>
    </row>
    <row r="12" spans="1:10" ht="15" customHeight="1" x14ac:dyDescent="0.25">
      <c r="A12" s="22"/>
      <c r="B12" s="760"/>
      <c r="C12" s="760"/>
      <c r="D12" s="760"/>
      <c r="E12" s="760"/>
      <c r="F12" s="760"/>
      <c r="G12" s="31" t="str">
        <f>IF(B12="","",VLOOKUP(B12,EQUIPOS!$B$7:$F$46,3,FALSE))</f>
        <v/>
      </c>
      <c r="H12" s="24" t="str">
        <f>IF(B12="","",VLOOKUP(B12,EQUIPOS!$B$7:$F$46,5,FALSE))</f>
        <v/>
      </c>
      <c r="I12" s="34"/>
      <c r="J12" s="24">
        <f t="shared" si="0"/>
        <v>0</v>
      </c>
    </row>
    <row r="13" spans="1:10" ht="15" customHeight="1" x14ac:dyDescent="0.25">
      <c r="A13" s="22"/>
      <c r="B13" s="760"/>
      <c r="C13" s="760"/>
      <c r="D13" s="760"/>
      <c r="E13" s="760"/>
      <c r="F13" s="760"/>
      <c r="G13" s="31" t="str">
        <f>IF(B13="","",VLOOKUP(B13,EQUIPOS!$B$7:$F$46,3,FALSE))</f>
        <v/>
      </c>
      <c r="H13" s="24" t="str">
        <f>IF(B13="","",VLOOKUP(B13,EQUIPOS!$B$7:$F$46,5,FALSE))</f>
        <v/>
      </c>
      <c r="I13" s="34"/>
      <c r="J13" s="24">
        <f t="shared" si="0"/>
        <v>0</v>
      </c>
    </row>
    <row r="14" spans="1:10" ht="15" customHeight="1" x14ac:dyDescent="0.25">
      <c r="A14" s="22"/>
      <c r="B14" s="760"/>
      <c r="C14" s="760"/>
      <c r="D14" s="760"/>
      <c r="E14" s="760"/>
      <c r="F14" s="760"/>
      <c r="G14" s="31" t="str">
        <f>IF(B14="","",VLOOKUP(B14,EQUIPOS!$B$7:$F$46,3,FALSE))</f>
        <v/>
      </c>
      <c r="H14" s="24" t="str">
        <f>IF(B14="","",VLOOKUP(B14,EQUIPOS!$B$7:$F$46,5,FALSE))</f>
        <v/>
      </c>
      <c r="I14" s="34"/>
      <c r="J14" s="24"/>
    </row>
    <row r="15" spans="1:10" ht="15" customHeight="1" x14ac:dyDescent="0.25">
      <c r="A15" s="22"/>
      <c r="B15" s="761" t="s">
        <v>31</v>
      </c>
      <c r="C15" s="761"/>
      <c r="D15" s="761"/>
      <c r="E15" s="761"/>
      <c r="F15" s="761"/>
      <c r="G15" s="761"/>
      <c r="H15" s="761"/>
      <c r="I15" s="761"/>
      <c r="J15" s="24">
        <f>SUM(J9:J14)</f>
        <v>279944</v>
      </c>
    </row>
    <row r="16" spans="1:10" ht="7.5" customHeight="1" x14ac:dyDescent="0.25">
      <c r="A16" s="22"/>
      <c r="B16" s="25"/>
      <c r="C16" s="25"/>
      <c r="D16" s="25"/>
      <c r="E16" s="25"/>
      <c r="F16" s="25"/>
      <c r="G16" s="25"/>
      <c r="H16" s="25"/>
      <c r="I16" s="25"/>
      <c r="J16" s="26"/>
    </row>
    <row r="17" spans="1:10" ht="15" customHeight="1" x14ac:dyDescent="0.25">
      <c r="A17" s="22"/>
      <c r="B17" s="761" t="s">
        <v>32</v>
      </c>
      <c r="C17" s="761"/>
      <c r="D17" s="761"/>
      <c r="E17" s="761"/>
      <c r="F17" s="761"/>
      <c r="G17" s="761"/>
      <c r="H17" s="761"/>
      <c r="I17" s="761"/>
      <c r="J17" s="761"/>
    </row>
    <row r="18" spans="1:10" ht="26.4" x14ac:dyDescent="0.25">
      <c r="A18" s="22"/>
      <c r="B18" s="763" t="s">
        <v>33</v>
      </c>
      <c r="C18" s="763"/>
      <c r="D18" s="763"/>
      <c r="E18" s="763"/>
      <c r="F18" s="28" t="s">
        <v>19</v>
      </c>
      <c r="G18" s="31" t="s">
        <v>34</v>
      </c>
      <c r="H18" s="32" t="s">
        <v>35</v>
      </c>
      <c r="I18" s="32" t="s">
        <v>36</v>
      </c>
      <c r="J18" s="32" t="s">
        <v>29</v>
      </c>
    </row>
    <row r="19" spans="1:10" x14ac:dyDescent="0.25">
      <c r="A19" s="22"/>
      <c r="B19" s="791" t="str">
        <f>+'PPTO HOJA'!B12</f>
        <v>Excavación manual en material común bajo cualquier grado de humedad</v>
      </c>
      <c r="C19" s="792"/>
      <c r="D19" s="792"/>
      <c r="E19" s="793"/>
      <c r="F19" s="180">
        <f>+PI()*0.7^2*1</f>
        <v>1.5393804002589984</v>
      </c>
      <c r="G19" s="206" t="s">
        <v>261</v>
      </c>
      <c r="H19" s="207"/>
      <c r="I19" s="280">
        <f>+'PPTO HOJA'!E12</f>
        <v>41268</v>
      </c>
      <c r="J19" s="24">
        <f>IF(I19="",0,ROUND((+F19*I19*(1+H19)),0))</f>
        <v>63527</v>
      </c>
    </row>
    <row r="20" spans="1:10" ht="14.25" customHeight="1" x14ac:dyDescent="0.25">
      <c r="A20" s="22"/>
      <c r="B20" s="791" t="s">
        <v>514</v>
      </c>
      <c r="C20" s="792"/>
      <c r="D20" s="792"/>
      <c r="E20" s="793"/>
      <c r="F20" s="180">
        <f>+PI()*(0.7^2-0.6^2)*1</f>
        <v>0.40840704496667296</v>
      </c>
      <c r="G20" s="31" t="str">
        <f>+'APU BÁSICOS'!J6</f>
        <v>m3</v>
      </c>
      <c r="H20" s="107">
        <v>0.1</v>
      </c>
      <c r="I20" s="24">
        <f>+'APU BÁSICOS'!J91</f>
        <v>1003196</v>
      </c>
      <c r="J20" s="24">
        <f>IF(I20="",0,ROUND((+F20*I20*(1+H20)),0))</f>
        <v>450684</v>
      </c>
    </row>
    <row r="21" spans="1:10" ht="15" customHeight="1" x14ac:dyDescent="0.25">
      <c r="A21" s="22"/>
      <c r="B21" s="764" t="s">
        <v>509</v>
      </c>
      <c r="C21" s="764"/>
      <c r="D21" s="764"/>
      <c r="E21" s="764"/>
      <c r="F21" s="34">
        <f>+(PI()*0.6^2*1)*0.7</f>
        <v>0.79168134870462781</v>
      </c>
      <c r="G21" s="31" t="str">
        <f>+'APU BÁSICOS'!J6</f>
        <v>m3</v>
      </c>
      <c r="H21" s="107">
        <v>0.1</v>
      </c>
      <c r="I21" s="24">
        <f>+'APU BÁSICOS'!J45</f>
        <v>1024596</v>
      </c>
      <c r="J21" s="24">
        <f t="shared" ref="J21:J25" si="1">IF(I21="",0,ROUND((+F21*I21*(1+H21)),0))</f>
        <v>892269</v>
      </c>
    </row>
    <row r="22" spans="1:10" ht="15" customHeight="1" x14ac:dyDescent="0.25">
      <c r="A22" s="22"/>
      <c r="B22" s="760" t="s">
        <v>265</v>
      </c>
      <c r="C22" s="760"/>
      <c r="D22" s="760"/>
      <c r="E22" s="760"/>
      <c r="F22" s="34">
        <f>+(PI()*0.6^2*1)*0.3</f>
        <v>0.33929200658769765</v>
      </c>
      <c r="G22" s="31" t="str">
        <f>IF(F22=0,"",VLOOKUP(B22,'LISTADO DE MATERIALES'!$B$6:$D$311,2,FALSE))</f>
        <v>m3</v>
      </c>
      <c r="H22" s="107">
        <v>0.1</v>
      </c>
      <c r="I22" s="24">
        <f>IF(F22=0,"",VLOOKUP(B22,'LISTADO DE MATERIALES'!$B$6:$D$311,3,FALSE))</f>
        <v>182390</v>
      </c>
      <c r="J22" s="24">
        <f t="shared" si="1"/>
        <v>68072</v>
      </c>
    </row>
    <row r="23" spans="1:10" ht="15" customHeight="1" x14ac:dyDescent="0.25">
      <c r="A23" s="22"/>
      <c r="B23" s="760" t="s">
        <v>250</v>
      </c>
      <c r="C23" s="760"/>
      <c r="D23" s="760"/>
      <c r="E23" s="760"/>
      <c r="F23" s="34">
        <f>+F66</f>
        <v>72.306780000000003</v>
      </c>
      <c r="G23" s="31" t="str">
        <f>IF(F23=0,"",VLOOKUP(B23,'LISTADO DE MATERIALES'!$B$6:$D$311,2,FALSE))</f>
        <v>Kg</v>
      </c>
      <c r="H23" s="107">
        <v>0.05</v>
      </c>
      <c r="I23" s="24">
        <f>IF(F23=0,"",VLOOKUP(B23,'LISTADO DE MATERIALES'!$B$6:$D$311,3,FALSE))</f>
        <v>6225</v>
      </c>
      <c r="J23" s="24">
        <f t="shared" si="1"/>
        <v>472615</v>
      </c>
    </row>
    <row r="24" spans="1:10" ht="15" customHeight="1" x14ac:dyDescent="0.25">
      <c r="A24" s="22"/>
      <c r="B24" s="760" t="s">
        <v>251</v>
      </c>
      <c r="C24" s="760"/>
      <c r="D24" s="760"/>
      <c r="E24" s="760"/>
      <c r="F24" s="34">
        <f>+F23*0.05</f>
        <v>3.6153390000000005</v>
      </c>
      <c r="G24" s="31" t="str">
        <f>IF(F24=0,"",VLOOKUP(B24,'LISTADO DE MATERIALES'!$B$6:$D$311,2,FALSE))</f>
        <v>Kg</v>
      </c>
      <c r="H24" s="107">
        <v>0.05</v>
      </c>
      <c r="I24" s="24">
        <f>IF(F24=0,"",VLOOKUP(B24,'LISTADO DE MATERIALES'!$B$6:$D$311,3,FALSE))</f>
        <v>12450</v>
      </c>
      <c r="J24" s="24">
        <f t="shared" si="1"/>
        <v>47262</v>
      </c>
    </row>
    <row r="25" spans="1:10" ht="27.6" customHeight="1" x14ac:dyDescent="0.25">
      <c r="A25" s="22"/>
      <c r="B25" s="764" t="s">
        <v>508</v>
      </c>
      <c r="C25" s="764"/>
      <c r="D25" s="764"/>
      <c r="E25" s="764"/>
      <c r="F25" s="34">
        <f>((2*PI()*0.6)/0.3)/3</f>
        <v>4.1887902047863905</v>
      </c>
      <c r="G25" s="31" t="str">
        <f>IF(F25=0,"",VLOOKUP(B25,'LISTADO DE MATERIALES'!$B$6:$D$311,2,FALSE))</f>
        <v>und</v>
      </c>
      <c r="H25" s="107">
        <v>0.05</v>
      </c>
      <c r="I25" s="24">
        <f>IF(F25=0,"",VLOOKUP(B25,'LISTADO DE MATERIALES'!$B$6:$D$311,3,FALSE))</f>
        <v>25000</v>
      </c>
      <c r="J25" s="24">
        <f t="shared" si="1"/>
        <v>109956</v>
      </c>
    </row>
    <row r="26" spans="1:10" ht="15" customHeight="1" x14ac:dyDescent="0.25">
      <c r="A26" s="22"/>
      <c r="B26" s="761" t="s">
        <v>37</v>
      </c>
      <c r="C26" s="761"/>
      <c r="D26" s="761"/>
      <c r="E26" s="761"/>
      <c r="F26" s="761"/>
      <c r="G26" s="761"/>
      <c r="H26" s="761"/>
      <c r="I26" s="761"/>
      <c r="J26" s="24">
        <f>SUM(J19:J25)</f>
        <v>2104385</v>
      </c>
    </row>
    <row r="27" spans="1:10" ht="7.5" customHeight="1" x14ac:dyDescent="0.25">
      <c r="A27" s="22"/>
      <c r="B27" s="25"/>
      <c r="C27" s="25"/>
      <c r="D27" s="25"/>
      <c r="E27" s="25"/>
      <c r="F27" s="25"/>
      <c r="G27" s="25"/>
      <c r="H27" s="25"/>
      <c r="I27" s="25"/>
      <c r="J27" s="26"/>
    </row>
    <row r="28" spans="1:10" ht="15" customHeight="1" x14ac:dyDescent="0.25">
      <c r="A28" s="22"/>
      <c r="B28" s="761" t="s">
        <v>38</v>
      </c>
      <c r="C28" s="761"/>
      <c r="D28" s="761"/>
      <c r="E28" s="761"/>
      <c r="F28" s="761"/>
      <c r="G28" s="761"/>
      <c r="H28" s="761"/>
      <c r="I28" s="761"/>
      <c r="J28" s="761"/>
    </row>
    <row r="29" spans="1:10" x14ac:dyDescent="0.25">
      <c r="A29" s="22"/>
      <c r="B29" s="763" t="s">
        <v>33</v>
      </c>
      <c r="C29" s="763"/>
      <c r="D29" s="763"/>
      <c r="E29" s="763"/>
      <c r="F29" s="763"/>
      <c r="G29" s="31" t="s">
        <v>133</v>
      </c>
      <c r="H29" s="31" t="s">
        <v>132</v>
      </c>
      <c r="I29" s="31" t="s">
        <v>39</v>
      </c>
      <c r="J29" s="32" t="s">
        <v>29</v>
      </c>
    </row>
    <row r="30" spans="1:10" ht="15" customHeight="1" x14ac:dyDescent="0.25">
      <c r="A30" s="22"/>
      <c r="B30" s="760" t="s">
        <v>510</v>
      </c>
      <c r="C30" s="760"/>
      <c r="D30" s="760"/>
      <c r="E30" s="760"/>
      <c r="F30" s="760"/>
      <c r="G30" s="34">
        <f>+F19*1.3</f>
        <v>2.0011945203366981</v>
      </c>
      <c r="H30" s="34">
        <f>+TRANSPORTE!B7</f>
        <v>10.5</v>
      </c>
      <c r="I30" s="319">
        <f>+TRANSPORTE!C7</f>
        <v>1667</v>
      </c>
      <c r="J30" s="24">
        <f>ROUND((I30*H30*G30),0)</f>
        <v>35028</v>
      </c>
    </row>
    <row r="31" spans="1:10" ht="15" customHeight="1" x14ac:dyDescent="0.25">
      <c r="A31" s="22"/>
      <c r="B31" s="760" t="s">
        <v>580</v>
      </c>
      <c r="C31" s="760"/>
      <c r="D31" s="760"/>
      <c r="E31" s="760"/>
      <c r="F31" s="760"/>
      <c r="G31" s="34">
        <f>+F22</f>
        <v>0.33929200658769765</v>
      </c>
      <c r="H31" s="34">
        <f>+TRANSPORTE!B6</f>
        <v>70</v>
      </c>
      <c r="I31" s="319">
        <f>+TRANSPORTE!C6</f>
        <v>1241.46</v>
      </c>
      <c r="J31" s="24">
        <f>ROUND((I31*H31*G31),0)</f>
        <v>29485</v>
      </c>
    </row>
    <row r="32" spans="1:10" ht="15" customHeight="1" x14ac:dyDescent="0.25">
      <c r="A32" s="22"/>
      <c r="B32" s="760"/>
      <c r="C32" s="760"/>
      <c r="D32" s="760"/>
      <c r="E32" s="760"/>
      <c r="F32" s="760"/>
      <c r="G32" s="31"/>
      <c r="H32" s="34"/>
      <c r="I32" s="24"/>
      <c r="J32" s="24">
        <v>0</v>
      </c>
    </row>
    <row r="33" spans="1:10" ht="15" customHeight="1" x14ac:dyDescent="0.25">
      <c r="A33" s="22"/>
      <c r="B33" s="760"/>
      <c r="C33" s="760"/>
      <c r="D33" s="760"/>
      <c r="E33" s="760"/>
      <c r="F33" s="760"/>
      <c r="G33" s="31"/>
      <c r="H33" s="31"/>
      <c r="I33" s="24"/>
      <c r="J33" s="24">
        <v>0</v>
      </c>
    </row>
    <row r="34" spans="1:10" ht="15" customHeight="1" x14ac:dyDescent="0.25">
      <c r="A34" s="22"/>
      <c r="B34" s="761" t="s">
        <v>40</v>
      </c>
      <c r="C34" s="761"/>
      <c r="D34" s="761"/>
      <c r="E34" s="761"/>
      <c r="F34" s="761"/>
      <c r="G34" s="761"/>
      <c r="H34" s="761"/>
      <c r="I34" s="761"/>
      <c r="J34" s="24">
        <f>SUM(J30:J33)</f>
        <v>64513</v>
      </c>
    </row>
    <row r="35" spans="1:10" ht="7.5" customHeight="1" x14ac:dyDescent="0.25">
      <c r="A35" s="22"/>
      <c r="B35" s="25"/>
      <c r="C35" s="25"/>
      <c r="D35" s="25"/>
      <c r="E35" s="25"/>
      <c r="F35" s="25"/>
      <c r="G35" s="25"/>
      <c r="H35" s="25"/>
      <c r="I35" s="25"/>
      <c r="J35" s="26"/>
    </row>
    <row r="36" spans="1:10" ht="15" customHeight="1" x14ac:dyDescent="0.25">
      <c r="A36" s="22"/>
      <c r="B36" s="761" t="s">
        <v>41</v>
      </c>
      <c r="C36" s="761"/>
      <c r="D36" s="761"/>
      <c r="E36" s="761"/>
      <c r="F36" s="761"/>
      <c r="G36" s="761"/>
      <c r="H36" s="761"/>
      <c r="I36" s="761"/>
      <c r="J36" s="761"/>
    </row>
    <row r="37" spans="1:10" ht="26.4" x14ac:dyDescent="0.25">
      <c r="A37" s="22"/>
      <c r="B37" s="763" t="s">
        <v>4</v>
      </c>
      <c r="C37" s="763"/>
      <c r="D37" s="763"/>
      <c r="E37" s="763"/>
      <c r="F37" s="763"/>
      <c r="G37" s="32" t="s">
        <v>51</v>
      </c>
      <c r="H37" s="32" t="s">
        <v>19</v>
      </c>
      <c r="I37" s="32" t="s">
        <v>28</v>
      </c>
      <c r="J37" s="32" t="s">
        <v>29</v>
      </c>
    </row>
    <row r="38" spans="1:10" ht="15" customHeight="1" x14ac:dyDescent="0.25">
      <c r="A38" s="22"/>
      <c r="B38" s="760" t="s">
        <v>68</v>
      </c>
      <c r="C38" s="760"/>
      <c r="D38" s="760"/>
      <c r="E38" s="760"/>
      <c r="F38" s="760"/>
      <c r="G38" s="24">
        <f>IF(B38="","",VLOOKUP(B38,CUADRILLAS!$B$87:$C$101,2,FALSE))</f>
        <v>235820.59999999998</v>
      </c>
      <c r="H38" s="31">
        <v>1</v>
      </c>
      <c r="I38" s="34">
        <v>0.8</v>
      </c>
      <c r="J38" s="24">
        <f>ROUND(+IF(I38=0,0,G38*H38/I38),0)</f>
        <v>294776</v>
      </c>
    </row>
    <row r="39" spans="1:10" ht="15" customHeight="1" x14ac:dyDescent="0.25">
      <c r="A39" s="22"/>
      <c r="B39" s="760" t="s">
        <v>120</v>
      </c>
      <c r="C39" s="760"/>
      <c r="D39" s="760"/>
      <c r="E39" s="760"/>
      <c r="F39" s="760"/>
      <c r="G39" s="24">
        <f>IF(B39="","",VLOOKUP(B39,CUADRILLAS!$B$87:$C$101,2,FALSE))</f>
        <v>157213.73333333334</v>
      </c>
      <c r="H39" s="31">
        <v>2</v>
      </c>
      <c r="I39" s="34">
        <f>+I38</f>
        <v>0.8</v>
      </c>
      <c r="J39" s="24">
        <f>ROUND(+IF(I39=0,0,G39*H39/I39),0)</f>
        <v>393034</v>
      </c>
    </row>
    <row r="40" spans="1:10" ht="15" customHeight="1" x14ac:dyDescent="0.25">
      <c r="A40" s="22"/>
      <c r="B40" s="760" t="s">
        <v>121</v>
      </c>
      <c r="C40" s="760"/>
      <c r="D40" s="760"/>
      <c r="E40" s="760"/>
      <c r="F40" s="760"/>
      <c r="G40" s="24">
        <f>IF(B40="","",VLOOKUP(B40,CUADRILLAS!$B$87:$C$101,2,FALSE))</f>
        <v>78606.866666666669</v>
      </c>
      <c r="H40" s="31">
        <v>8</v>
      </c>
      <c r="I40" s="34">
        <f>+I39</f>
        <v>0.8</v>
      </c>
      <c r="J40" s="24">
        <f>ROUND(+IF(I40=0,0,G40*H40/I40),0)</f>
        <v>786069</v>
      </c>
    </row>
    <row r="41" spans="1:10" ht="15" customHeight="1" x14ac:dyDescent="0.25">
      <c r="A41" s="22"/>
      <c r="B41" s="760"/>
      <c r="C41" s="760"/>
      <c r="D41" s="760"/>
      <c r="E41" s="760"/>
      <c r="F41" s="760"/>
      <c r="G41" s="24" t="str">
        <f>IF(B41="","",VLOOKUP(B41,CUADRILLAS!$B$87:$C$101,2,FALSE))</f>
        <v/>
      </c>
      <c r="H41" s="31"/>
      <c r="I41" s="34"/>
      <c r="J41" s="24">
        <f t="shared" ref="J41" si="2">+IF(I41=0,0,G41*H41/I41)</f>
        <v>0</v>
      </c>
    </row>
    <row r="42" spans="1:10" ht="15" customHeight="1" x14ac:dyDescent="0.25">
      <c r="A42" s="22"/>
      <c r="B42" s="761" t="s">
        <v>42</v>
      </c>
      <c r="C42" s="761"/>
      <c r="D42" s="761"/>
      <c r="E42" s="761"/>
      <c r="F42" s="761"/>
      <c r="G42" s="761"/>
      <c r="H42" s="761"/>
      <c r="I42" s="761"/>
      <c r="J42" s="24">
        <f>SUM(J38:J41)</f>
        <v>1473879</v>
      </c>
    </row>
    <row r="43" spans="1:10" ht="7.5" customHeight="1" x14ac:dyDescent="0.25">
      <c r="A43" s="22"/>
      <c r="B43" s="25"/>
      <c r="C43" s="25"/>
      <c r="D43" s="25"/>
      <c r="E43" s="25"/>
      <c r="F43" s="25"/>
      <c r="G43" s="25"/>
      <c r="H43" s="25"/>
      <c r="I43" s="25"/>
      <c r="J43" s="26"/>
    </row>
    <row r="44" spans="1:10" ht="15.75" customHeight="1" x14ac:dyDescent="0.25">
      <c r="A44" s="27"/>
      <c r="B44" s="762" t="s">
        <v>43</v>
      </c>
      <c r="C44" s="762"/>
      <c r="D44" s="762"/>
      <c r="E44" s="762"/>
      <c r="F44" s="762"/>
      <c r="G44" s="762"/>
      <c r="H44" s="762"/>
      <c r="I44" s="762"/>
      <c r="J44" s="106">
        <f>+J42+J34+J15+J26</f>
        <v>3922721</v>
      </c>
    </row>
    <row r="45" spans="1:10" x14ac:dyDescent="0.25">
      <c r="B45" s="21"/>
      <c r="C45" s="21"/>
      <c r="D45" s="21"/>
      <c r="E45" s="21"/>
      <c r="F45" s="21"/>
      <c r="G45" s="21"/>
      <c r="H45" s="21"/>
      <c r="I45" s="21"/>
      <c r="J45" s="21"/>
    </row>
    <row r="47" spans="1:10" x14ac:dyDescent="0.25">
      <c r="E47" s="801" t="s">
        <v>516</v>
      </c>
      <c r="F47" s="802"/>
      <c r="G47" s="802"/>
      <c r="H47" s="803"/>
    </row>
    <row r="48" spans="1:10" x14ac:dyDescent="0.25">
      <c r="E48" s="804" t="s">
        <v>515</v>
      </c>
      <c r="F48" s="805"/>
      <c r="G48" s="805"/>
      <c r="H48" s="806"/>
    </row>
    <row r="49" spans="5:9" x14ac:dyDescent="0.25">
      <c r="E49" s="296" t="s">
        <v>524</v>
      </c>
      <c r="H49" s="23"/>
    </row>
    <row r="50" spans="5:9" x14ac:dyDescent="0.25">
      <c r="E50" s="296" t="s">
        <v>518</v>
      </c>
      <c r="F50" s="279">
        <f>6*(1.05+0.42)</f>
        <v>8.82</v>
      </c>
      <c r="G50" s="20" t="s">
        <v>190</v>
      </c>
      <c r="H50" s="23"/>
    </row>
    <row r="51" spans="5:9" x14ac:dyDescent="0.25">
      <c r="E51" s="296" t="s">
        <v>519</v>
      </c>
      <c r="F51" s="279">
        <f>+F50*0.559</f>
        <v>4.9303800000000004</v>
      </c>
      <c r="G51" s="20" t="s">
        <v>181</v>
      </c>
      <c r="H51" s="23"/>
    </row>
    <row r="52" spans="5:9" x14ac:dyDescent="0.25">
      <c r="E52" s="22"/>
      <c r="H52" s="23"/>
    </row>
    <row r="53" spans="5:9" x14ac:dyDescent="0.25">
      <c r="E53" s="296" t="s">
        <v>520</v>
      </c>
      <c r="H53" s="23"/>
    </row>
    <row r="54" spans="5:9" x14ac:dyDescent="0.25">
      <c r="E54" s="296" t="s">
        <v>518</v>
      </c>
      <c r="F54" s="279">
        <f>3*5.2</f>
        <v>15.600000000000001</v>
      </c>
      <c r="G54" s="20" t="s">
        <v>190</v>
      </c>
      <c r="H54" s="23"/>
    </row>
    <row r="55" spans="5:9" x14ac:dyDescent="0.25">
      <c r="E55" s="297" t="s">
        <v>519</v>
      </c>
      <c r="F55" s="298">
        <f>+F54*0.559</f>
        <v>8.7204000000000015</v>
      </c>
      <c r="G55" s="299" t="s">
        <v>181</v>
      </c>
      <c r="H55" s="300"/>
    </row>
    <row r="57" spans="5:9" x14ac:dyDescent="0.25">
      <c r="E57" s="804" t="s">
        <v>521</v>
      </c>
      <c r="F57" s="805"/>
      <c r="G57" s="805"/>
      <c r="H57" s="806"/>
      <c r="I57" s="279"/>
    </row>
    <row r="58" spans="5:9" x14ac:dyDescent="0.25">
      <c r="E58" s="296" t="s">
        <v>525</v>
      </c>
      <c r="H58" s="23"/>
    </row>
    <row r="59" spans="5:9" x14ac:dyDescent="0.25">
      <c r="E59" s="296" t="s">
        <v>518</v>
      </c>
      <c r="F59" s="279">
        <f>20*1</f>
        <v>20</v>
      </c>
      <c r="G59" s="20" t="s">
        <v>190</v>
      </c>
      <c r="H59" s="23"/>
    </row>
    <row r="60" spans="5:9" x14ac:dyDescent="0.25">
      <c r="E60" s="296" t="s">
        <v>519</v>
      </c>
      <c r="F60" s="279">
        <f>+F59*2.237</f>
        <v>44.74</v>
      </c>
      <c r="G60" s="20" t="s">
        <v>181</v>
      </c>
      <c r="H60" s="23"/>
    </row>
    <row r="61" spans="5:9" x14ac:dyDescent="0.25">
      <c r="E61" s="22"/>
      <c r="H61" s="23"/>
    </row>
    <row r="62" spans="5:9" x14ac:dyDescent="0.25">
      <c r="E62" s="296" t="s">
        <v>527</v>
      </c>
      <c r="H62" s="23"/>
    </row>
    <row r="63" spans="5:9" x14ac:dyDescent="0.25">
      <c r="E63" s="296" t="s">
        <v>518</v>
      </c>
      <c r="F63" s="279">
        <f>4*3.5</f>
        <v>14</v>
      </c>
      <c r="G63" s="20" t="s">
        <v>190</v>
      </c>
      <c r="H63" s="23"/>
    </row>
    <row r="64" spans="5:9" x14ac:dyDescent="0.25">
      <c r="E64" s="297" t="s">
        <v>519</v>
      </c>
      <c r="F64" s="298">
        <f>+F63*0.994</f>
        <v>13.916</v>
      </c>
      <c r="G64" s="299" t="s">
        <v>181</v>
      </c>
      <c r="H64" s="300"/>
    </row>
    <row r="66" spans="5:7" x14ac:dyDescent="0.25">
      <c r="E66" s="301" t="s">
        <v>71</v>
      </c>
      <c r="F66" s="302">
        <f>+F64+F60+F55+F51</f>
        <v>72.306780000000003</v>
      </c>
      <c r="G66" s="303" t="s">
        <v>181</v>
      </c>
    </row>
  </sheetData>
  <mergeCells count="43">
    <mergeCell ref="E57:H57"/>
    <mergeCell ref="B41:F41"/>
    <mergeCell ref="B42:I42"/>
    <mergeCell ref="B44:I44"/>
    <mergeCell ref="B19:E19"/>
    <mergeCell ref="E47:H47"/>
    <mergeCell ref="E48:H48"/>
    <mergeCell ref="B34:I34"/>
    <mergeCell ref="B36:J36"/>
    <mergeCell ref="B37:F37"/>
    <mergeCell ref="B38:F38"/>
    <mergeCell ref="B39:F39"/>
    <mergeCell ref="B40:F40"/>
    <mergeCell ref="B28:J28"/>
    <mergeCell ref="B29:F29"/>
    <mergeCell ref="B30:F30"/>
    <mergeCell ref="B31:F31"/>
    <mergeCell ref="B32:F32"/>
    <mergeCell ref="B33:F33"/>
    <mergeCell ref="B21:E21"/>
    <mergeCell ref="B22:E22"/>
    <mergeCell ref="B23:E23"/>
    <mergeCell ref="B24:E24"/>
    <mergeCell ref="B25:E25"/>
    <mergeCell ref="B26:I26"/>
    <mergeCell ref="B20:E20"/>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13" display="'PPTO HOJA'!A13" xr:uid="{00000000-0004-0000-2B00-000000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2B00-000000000000}">
          <x14:formula1>
            <xm:f>CUADRILLAS!$B$86:$B$101</xm:f>
          </x14:formula1>
          <xm:sqref>B38:F41</xm:sqref>
        </x14:dataValidation>
      </x14:dataValidations>
    </ext>
  </extLs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59999389629810485"/>
  </sheetPr>
  <dimension ref="A1:J66"/>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9" style="20" bestFit="1" customWidth="1"/>
    <col min="11" max="16384" width="11.44140625" style="20"/>
  </cols>
  <sheetData>
    <row r="1" spans="1:10" x14ac:dyDescent="0.25">
      <c r="A1" s="765"/>
      <c r="B1" s="765"/>
      <c r="C1" s="765"/>
      <c r="D1" s="766" t="str">
        <f>'PPTO HOJA'!A4</f>
        <v>DEPARTAMENTO DE ANTIOQUIA</v>
      </c>
      <c r="E1" s="766"/>
      <c r="F1" s="766"/>
      <c r="G1" s="766"/>
      <c r="H1" s="766"/>
      <c r="I1" s="766"/>
      <c r="J1" s="766"/>
    </row>
    <row r="2" spans="1:10" x14ac:dyDescent="0.25">
      <c r="A2" s="765"/>
      <c r="B2" s="765"/>
      <c r="C2" s="765"/>
      <c r="D2" s="766" t="str">
        <f>'PPTO HOJA'!A5</f>
        <v>MUNICIPIO DE ARBOLETES</v>
      </c>
      <c r="E2" s="766"/>
      <c r="F2" s="766"/>
      <c r="G2" s="766"/>
      <c r="H2" s="766"/>
      <c r="I2" s="766"/>
      <c r="J2" s="766"/>
    </row>
    <row r="3" spans="1:10"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row>
    <row r="4" spans="1:10" x14ac:dyDescent="0.25">
      <c r="A4" s="765"/>
      <c r="B4" s="765"/>
      <c r="C4" s="765"/>
      <c r="D4" s="766" t="s">
        <v>20</v>
      </c>
      <c r="E4" s="766"/>
      <c r="F4" s="766"/>
      <c r="G4" s="766"/>
      <c r="H4" s="766"/>
      <c r="I4" s="766"/>
      <c r="J4" s="766"/>
    </row>
    <row r="5" spans="1:10" ht="9.75" customHeight="1" x14ac:dyDescent="0.25">
      <c r="A5" s="22"/>
      <c r="J5" s="23"/>
    </row>
    <row r="6" spans="1:10" s="21" customFormat="1" ht="33" customHeight="1" x14ac:dyDescent="0.3">
      <c r="A6" s="30" t="s">
        <v>361</v>
      </c>
      <c r="B6" s="29" t="s">
        <v>22</v>
      </c>
      <c r="C6" s="116">
        <f>'PPTO HOJA'!A59</f>
        <v>6.06</v>
      </c>
      <c r="D6" s="28"/>
      <c r="E6" s="764" t="str">
        <f>'PPTO HOJA'!B59</f>
        <v>Construcción de pilote tipo Casisson h = 4.00 &lt; 5.00 m, diámetro interno de 1.20 m, Incluye anillo en concreto reforzado  e=10 cm (diámetro total de 1.40 m). Incluye excavación varia en material común bajo cualquier grado de humedad, transporte y disposición final de los materiales y medido en su posición original.</v>
      </c>
      <c r="F6" s="764"/>
      <c r="G6" s="764"/>
      <c r="H6" s="764"/>
      <c r="I6" s="30" t="s">
        <v>23</v>
      </c>
      <c r="J6" s="31" t="str">
        <f>'PPTO HOJA'!C59</f>
        <v>m</v>
      </c>
    </row>
    <row r="7" spans="1:10" ht="15" customHeight="1" x14ac:dyDescent="0.25">
      <c r="A7" s="22"/>
      <c r="B7" s="761" t="s">
        <v>24</v>
      </c>
      <c r="C7" s="761"/>
      <c r="D7" s="761"/>
      <c r="E7" s="761"/>
      <c r="F7" s="761"/>
      <c r="G7" s="761"/>
      <c r="H7" s="761"/>
      <c r="I7" s="761"/>
      <c r="J7" s="761"/>
    </row>
    <row r="8" spans="1:10" x14ac:dyDescent="0.25">
      <c r="A8" s="22"/>
      <c r="B8" s="763" t="s">
        <v>25</v>
      </c>
      <c r="C8" s="763"/>
      <c r="D8" s="763"/>
      <c r="E8" s="763"/>
      <c r="F8" s="763"/>
      <c r="G8" s="31" t="s">
        <v>26</v>
      </c>
      <c r="H8" s="31" t="s">
        <v>27</v>
      </c>
      <c r="I8" s="31" t="s">
        <v>28</v>
      </c>
      <c r="J8" s="32" t="s">
        <v>29</v>
      </c>
    </row>
    <row r="9" spans="1:10" ht="15" customHeight="1" x14ac:dyDescent="0.25">
      <c r="A9" s="22"/>
      <c r="B9" s="760" t="s">
        <v>30</v>
      </c>
      <c r="C9" s="760"/>
      <c r="D9" s="760"/>
      <c r="E9" s="760"/>
      <c r="F9" s="760"/>
      <c r="G9" s="31"/>
      <c r="H9" s="24"/>
      <c r="I9" s="33">
        <v>0.05</v>
      </c>
      <c r="J9" s="24">
        <f>ROUND(I9*J42,0)</f>
        <v>88433</v>
      </c>
    </row>
    <row r="10" spans="1:10" ht="15" customHeight="1" x14ac:dyDescent="0.25">
      <c r="A10" s="22"/>
      <c r="B10" s="764" t="s">
        <v>362</v>
      </c>
      <c r="C10" s="764"/>
      <c r="D10" s="764"/>
      <c r="E10" s="764"/>
      <c r="F10" s="764"/>
      <c r="G10" s="31" t="str">
        <f>IF(B10="","",VLOOKUP(B10,EQUIPOS!$B$7:$F$46,3,FALSE))</f>
        <v>Brist-stat</v>
      </c>
      <c r="H10" s="24">
        <f>IF(B10="","",VLOOKUP(B10,EQUIPOS!$B$7:$F$46,5,FALSE))</f>
        <v>80000</v>
      </c>
      <c r="I10" s="34">
        <f>+I11</f>
        <v>0.66666666666666663</v>
      </c>
      <c r="J10" s="24">
        <f>IF(B10="",0,ROUND(H10/I10,0))</f>
        <v>120000</v>
      </c>
    </row>
    <row r="11" spans="1:10" ht="15" customHeight="1" x14ac:dyDescent="0.25">
      <c r="A11" s="22"/>
      <c r="B11" s="760" t="s">
        <v>107</v>
      </c>
      <c r="C11" s="760"/>
      <c r="D11" s="760"/>
      <c r="E11" s="760"/>
      <c r="F11" s="760"/>
      <c r="G11" s="31" t="str">
        <f>IF(B11="","",VLOOKUP(B11,EQUIPOS!$B$7:$F$46,3,FALSE))</f>
        <v>Gasolina</v>
      </c>
      <c r="H11" s="24">
        <f>IF(B11="","",VLOOKUP(B11,EQUIPOS!$B$7:$F$46,5,FALSE))</f>
        <v>85000</v>
      </c>
      <c r="I11" s="34">
        <f>+I38</f>
        <v>0.66666666666666663</v>
      </c>
      <c r="J11" s="24">
        <f t="shared" ref="J11:J13" si="0">IF(B11="",0,ROUND(H11/I11,0))</f>
        <v>127500</v>
      </c>
    </row>
    <row r="12" spans="1:10" ht="15" customHeight="1" x14ac:dyDescent="0.25">
      <c r="A12" s="22"/>
      <c r="B12" s="760"/>
      <c r="C12" s="760"/>
      <c r="D12" s="760"/>
      <c r="E12" s="760"/>
      <c r="F12" s="760"/>
      <c r="G12" s="31" t="str">
        <f>IF(B12="","",VLOOKUP(B12,EQUIPOS!$B$7:$F$46,3,FALSE))</f>
        <v/>
      </c>
      <c r="H12" s="24" t="str">
        <f>IF(B12="","",VLOOKUP(B12,EQUIPOS!$B$7:$F$46,5,FALSE))</f>
        <v/>
      </c>
      <c r="I12" s="34"/>
      <c r="J12" s="24">
        <f t="shared" si="0"/>
        <v>0</v>
      </c>
    </row>
    <row r="13" spans="1:10" ht="15" customHeight="1" x14ac:dyDescent="0.25">
      <c r="A13" s="22"/>
      <c r="B13" s="760"/>
      <c r="C13" s="760"/>
      <c r="D13" s="760"/>
      <c r="E13" s="760"/>
      <c r="F13" s="760"/>
      <c r="G13" s="31" t="str">
        <f>IF(B13="","",VLOOKUP(B13,EQUIPOS!$B$7:$F$46,3,FALSE))</f>
        <v/>
      </c>
      <c r="H13" s="24" t="str">
        <f>IF(B13="","",VLOOKUP(B13,EQUIPOS!$B$7:$F$46,5,FALSE))</f>
        <v/>
      </c>
      <c r="I13" s="34"/>
      <c r="J13" s="24">
        <f t="shared" si="0"/>
        <v>0</v>
      </c>
    </row>
    <row r="14" spans="1:10" ht="15" customHeight="1" x14ac:dyDescent="0.25">
      <c r="A14" s="22"/>
      <c r="B14" s="760"/>
      <c r="C14" s="760"/>
      <c r="D14" s="760"/>
      <c r="E14" s="760"/>
      <c r="F14" s="760"/>
      <c r="G14" s="31" t="str">
        <f>IF(B14="","",VLOOKUP(B14,EQUIPOS!$B$7:$F$46,3,FALSE))</f>
        <v/>
      </c>
      <c r="H14" s="24" t="str">
        <f>IF(B14="","",VLOOKUP(B14,EQUIPOS!$B$7:$F$46,5,FALSE))</f>
        <v/>
      </c>
      <c r="I14" s="34"/>
      <c r="J14" s="24"/>
    </row>
    <row r="15" spans="1:10" ht="15" customHeight="1" x14ac:dyDescent="0.25">
      <c r="A15" s="22"/>
      <c r="B15" s="761" t="s">
        <v>31</v>
      </c>
      <c r="C15" s="761"/>
      <c r="D15" s="761"/>
      <c r="E15" s="761"/>
      <c r="F15" s="761"/>
      <c r="G15" s="761"/>
      <c r="H15" s="761"/>
      <c r="I15" s="761"/>
      <c r="J15" s="24">
        <f>SUM(J9:J14)</f>
        <v>335933</v>
      </c>
    </row>
    <row r="16" spans="1:10" ht="7.5" customHeight="1" x14ac:dyDescent="0.25">
      <c r="A16" s="22"/>
      <c r="B16" s="25"/>
      <c r="C16" s="25"/>
      <c r="D16" s="25"/>
      <c r="E16" s="25"/>
      <c r="F16" s="25"/>
      <c r="G16" s="25"/>
      <c r="H16" s="25"/>
      <c r="I16" s="25"/>
      <c r="J16" s="26"/>
    </row>
    <row r="17" spans="1:10" ht="15" customHeight="1" x14ac:dyDescent="0.25">
      <c r="A17" s="22"/>
      <c r="B17" s="761" t="s">
        <v>32</v>
      </c>
      <c r="C17" s="761"/>
      <c r="D17" s="761"/>
      <c r="E17" s="761"/>
      <c r="F17" s="761"/>
      <c r="G17" s="761"/>
      <c r="H17" s="761"/>
      <c r="I17" s="761"/>
      <c r="J17" s="761"/>
    </row>
    <row r="18" spans="1:10" ht="26.4" x14ac:dyDescent="0.25">
      <c r="A18" s="22"/>
      <c r="B18" s="763" t="s">
        <v>33</v>
      </c>
      <c r="C18" s="763"/>
      <c r="D18" s="763"/>
      <c r="E18" s="763"/>
      <c r="F18" s="28" t="s">
        <v>19</v>
      </c>
      <c r="G18" s="31" t="s">
        <v>34</v>
      </c>
      <c r="H18" s="32" t="s">
        <v>35</v>
      </c>
      <c r="I18" s="32" t="s">
        <v>36</v>
      </c>
      <c r="J18" s="32" t="s">
        <v>29</v>
      </c>
    </row>
    <row r="19" spans="1:10" x14ac:dyDescent="0.25">
      <c r="A19" s="22"/>
      <c r="B19" s="791" t="str">
        <f>+'PPTO HOJA'!B12</f>
        <v>Excavación manual en material común bajo cualquier grado de humedad</v>
      </c>
      <c r="C19" s="792"/>
      <c r="D19" s="792"/>
      <c r="E19" s="793"/>
      <c r="F19" s="180">
        <f>+PI()*0.7^2*1</f>
        <v>1.5393804002589984</v>
      </c>
      <c r="G19" s="206" t="s">
        <v>261</v>
      </c>
      <c r="H19" s="207"/>
      <c r="I19" s="280">
        <f>+'PPTO HOJA'!E12</f>
        <v>41268</v>
      </c>
      <c r="J19" s="24">
        <f>IF(I19="",0,ROUND((+F19*I19*(1+H19)),0))</f>
        <v>63527</v>
      </c>
    </row>
    <row r="20" spans="1:10" ht="14.25" customHeight="1" x14ac:dyDescent="0.25">
      <c r="A20" s="22"/>
      <c r="B20" s="791" t="s">
        <v>514</v>
      </c>
      <c r="C20" s="792"/>
      <c r="D20" s="792"/>
      <c r="E20" s="793"/>
      <c r="F20" s="180">
        <f>+PI()*(0.7^2-0.6^2)*1</f>
        <v>0.40840704496667296</v>
      </c>
      <c r="G20" s="31" t="str">
        <f>+'APU BÁSICOS'!J6</f>
        <v>m3</v>
      </c>
      <c r="H20" s="107">
        <v>0.1</v>
      </c>
      <c r="I20" s="24">
        <f>+'APU BÁSICOS'!J91</f>
        <v>1003196</v>
      </c>
      <c r="J20" s="24">
        <f>IF(I20="",0,ROUND((+F20*I20*(1+H20)),0))</f>
        <v>450684</v>
      </c>
    </row>
    <row r="21" spans="1:10" ht="15" customHeight="1" x14ac:dyDescent="0.25">
      <c r="A21" s="22"/>
      <c r="B21" s="764" t="s">
        <v>509</v>
      </c>
      <c r="C21" s="764"/>
      <c r="D21" s="764"/>
      <c r="E21" s="764"/>
      <c r="F21" s="34">
        <f>+(PI()*0.6^2*1)*0.7</f>
        <v>0.79168134870462781</v>
      </c>
      <c r="G21" s="31" t="str">
        <f>+'APU BÁSICOS'!J6</f>
        <v>m3</v>
      </c>
      <c r="H21" s="107">
        <v>0.1</v>
      </c>
      <c r="I21" s="24">
        <f>+'APU BÁSICOS'!J45</f>
        <v>1024596</v>
      </c>
      <c r="J21" s="24">
        <f t="shared" ref="J21:J25" si="1">IF(I21="",0,ROUND((+F21*I21*(1+H21)),0))</f>
        <v>892269</v>
      </c>
    </row>
    <row r="22" spans="1:10" ht="15" customHeight="1" x14ac:dyDescent="0.25">
      <c r="A22" s="22"/>
      <c r="B22" s="760" t="s">
        <v>265</v>
      </c>
      <c r="C22" s="760"/>
      <c r="D22" s="760"/>
      <c r="E22" s="760"/>
      <c r="F22" s="34">
        <f>+(PI()*0.6^2*1)*0.3</f>
        <v>0.33929200658769765</v>
      </c>
      <c r="G22" s="31" t="str">
        <f>IF(F22=0,"",VLOOKUP(B22,'LISTADO DE MATERIALES'!$B$6:$D$311,2,FALSE))</f>
        <v>m3</v>
      </c>
      <c r="H22" s="107">
        <v>0.1</v>
      </c>
      <c r="I22" s="24">
        <f>IF(F22=0,"",VLOOKUP(B22,'LISTADO DE MATERIALES'!$B$6:$D$311,3,FALSE))</f>
        <v>182390</v>
      </c>
      <c r="J22" s="24">
        <f t="shared" si="1"/>
        <v>68072</v>
      </c>
    </row>
    <row r="23" spans="1:10" ht="15" customHeight="1" x14ac:dyDescent="0.25">
      <c r="A23" s="22"/>
      <c r="B23" s="760" t="s">
        <v>250</v>
      </c>
      <c r="C23" s="760"/>
      <c r="D23" s="760"/>
      <c r="E23" s="760"/>
      <c r="F23" s="34">
        <f>+F66</f>
        <v>72.306780000000003</v>
      </c>
      <c r="G23" s="31" t="str">
        <f>IF(F23=0,"",VLOOKUP(B23,'LISTADO DE MATERIALES'!$B$6:$D$311,2,FALSE))</f>
        <v>Kg</v>
      </c>
      <c r="H23" s="107">
        <v>0.05</v>
      </c>
      <c r="I23" s="24">
        <f>IF(F23=0,"",VLOOKUP(B23,'LISTADO DE MATERIALES'!$B$6:$D$311,3,FALSE))</f>
        <v>6225</v>
      </c>
      <c r="J23" s="24">
        <f t="shared" si="1"/>
        <v>472615</v>
      </c>
    </row>
    <row r="24" spans="1:10" ht="15" customHeight="1" x14ac:dyDescent="0.25">
      <c r="A24" s="22"/>
      <c r="B24" s="760" t="s">
        <v>251</v>
      </c>
      <c r="C24" s="760"/>
      <c r="D24" s="760"/>
      <c r="E24" s="760"/>
      <c r="F24" s="34">
        <f>+F23*0.05</f>
        <v>3.6153390000000005</v>
      </c>
      <c r="G24" s="31" t="str">
        <f>IF(F24=0,"",VLOOKUP(B24,'LISTADO DE MATERIALES'!$B$6:$D$311,2,FALSE))</f>
        <v>Kg</v>
      </c>
      <c r="H24" s="107">
        <v>0.05</v>
      </c>
      <c r="I24" s="24">
        <f>IF(F24=0,"",VLOOKUP(B24,'LISTADO DE MATERIALES'!$B$6:$D$311,3,FALSE))</f>
        <v>12450</v>
      </c>
      <c r="J24" s="24">
        <f t="shared" si="1"/>
        <v>47262</v>
      </c>
    </row>
    <row r="25" spans="1:10" ht="27.6" customHeight="1" x14ac:dyDescent="0.25">
      <c r="A25" s="22"/>
      <c r="B25" s="764" t="s">
        <v>508</v>
      </c>
      <c r="C25" s="764"/>
      <c r="D25" s="764"/>
      <c r="E25" s="764"/>
      <c r="F25" s="34">
        <f>((2*PI()*0.6)/0.3)/3</f>
        <v>4.1887902047863905</v>
      </c>
      <c r="G25" s="31" t="str">
        <f>IF(F25=0,"",VLOOKUP(B25,'LISTADO DE MATERIALES'!$B$6:$D$311,2,FALSE))</f>
        <v>und</v>
      </c>
      <c r="H25" s="107">
        <v>0.05</v>
      </c>
      <c r="I25" s="24">
        <f>IF(F25=0,"",VLOOKUP(B25,'LISTADO DE MATERIALES'!$B$6:$D$311,3,FALSE))</f>
        <v>25000</v>
      </c>
      <c r="J25" s="24">
        <f t="shared" si="1"/>
        <v>109956</v>
      </c>
    </row>
    <row r="26" spans="1:10" ht="15" customHeight="1" x14ac:dyDescent="0.25">
      <c r="A26" s="22"/>
      <c r="B26" s="761" t="s">
        <v>37</v>
      </c>
      <c r="C26" s="761"/>
      <c r="D26" s="761"/>
      <c r="E26" s="761"/>
      <c r="F26" s="761"/>
      <c r="G26" s="761"/>
      <c r="H26" s="761"/>
      <c r="I26" s="761"/>
      <c r="J26" s="24">
        <f>SUM(J19:J25)</f>
        <v>2104385</v>
      </c>
    </row>
    <row r="27" spans="1:10" ht="7.5" customHeight="1" x14ac:dyDescent="0.25">
      <c r="A27" s="22"/>
      <c r="B27" s="25"/>
      <c r="C27" s="25"/>
      <c r="D27" s="25"/>
      <c r="E27" s="25"/>
      <c r="F27" s="25"/>
      <c r="G27" s="25"/>
      <c r="H27" s="25"/>
      <c r="I27" s="25"/>
      <c r="J27" s="26"/>
    </row>
    <row r="28" spans="1:10" ht="15" customHeight="1" x14ac:dyDescent="0.25">
      <c r="A28" s="22"/>
      <c r="B28" s="761" t="s">
        <v>38</v>
      </c>
      <c r="C28" s="761"/>
      <c r="D28" s="761"/>
      <c r="E28" s="761"/>
      <c r="F28" s="761"/>
      <c r="G28" s="761"/>
      <c r="H28" s="761"/>
      <c r="I28" s="761"/>
      <c r="J28" s="761"/>
    </row>
    <row r="29" spans="1:10" x14ac:dyDescent="0.25">
      <c r="A29" s="22"/>
      <c r="B29" s="763" t="s">
        <v>33</v>
      </c>
      <c r="C29" s="763"/>
      <c r="D29" s="763"/>
      <c r="E29" s="763"/>
      <c r="F29" s="763"/>
      <c r="G29" s="31" t="s">
        <v>133</v>
      </c>
      <c r="H29" s="31" t="s">
        <v>132</v>
      </c>
      <c r="I29" s="31" t="s">
        <v>39</v>
      </c>
      <c r="J29" s="32" t="s">
        <v>29</v>
      </c>
    </row>
    <row r="30" spans="1:10" ht="15" customHeight="1" x14ac:dyDescent="0.25">
      <c r="A30" s="22"/>
      <c r="B30" s="760" t="s">
        <v>510</v>
      </c>
      <c r="C30" s="760"/>
      <c r="D30" s="760"/>
      <c r="E30" s="760"/>
      <c r="F30" s="760"/>
      <c r="G30" s="34">
        <f>+F19*1.3</f>
        <v>2.0011945203366981</v>
      </c>
      <c r="H30" s="34">
        <f>+TRANSPORTE!B7</f>
        <v>10.5</v>
      </c>
      <c r="I30" s="319">
        <f>+TRANSPORTE!C7</f>
        <v>1667</v>
      </c>
      <c r="J30" s="24">
        <f>ROUND((I30*H30*G30),0)</f>
        <v>35028</v>
      </c>
    </row>
    <row r="31" spans="1:10" ht="15" customHeight="1" x14ac:dyDescent="0.25">
      <c r="A31" s="22"/>
      <c r="B31" s="760" t="s">
        <v>580</v>
      </c>
      <c r="C31" s="760"/>
      <c r="D31" s="760"/>
      <c r="E31" s="760"/>
      <c r="F31" s="760"/>
      <c r="G31" s="34">
        <f>+F22</f>
        <v>0.33929200658769765</v>
      </c>
      <c r="H31" s="34">
        <f>+TRANSPORTE!B6</f>
        <v>70</v>
      </c>
      <c r="I31" s="319">
        <f>+TRANSPORTE!C6</f>
        <v>1241.46</v>
      </c>
      <c r="J31" s="24">
        <f>ROUND((I31*H31*G31),0)</f>
        <v>29485</v>
      </c>
    </row>
    <row r="32" spans="1:10" ht="15" customHeight="1" x14ac:dyDescent="0.25">
      <c r="A32" s="22"/>
      <c r="B32" s="760"/>
      <c r="C32" s="760"/>
      <c r="D32" s="760"/>
      <c r="E32" s="760"/>
      <c r="F32" s="760"/>
      <c r="G32" s="31"/>
      <c r="H32" s="34"/>
      <c r="I32" s="24"/>
      <c r="J32" s="24">
        <v>0</v>
      </c>
    </row>
    <row r="33" spans="1:10" ht="15" customHeight="1" x14ac:dyDescent="0.25">
      <c r="A33" s="22"/>
      <c r="B33" s="760"/>
      <c r="C33" s="760"/>
      <c r="D33" s="760"/>
      <c r="E33" s="760"/>
      <c r="F33" s="760"/>
      <c r="G33" s="31"/>
      <c r="H33" s="31"/>
      <c r="I33" s="24"/>
      <c r="J33" s="24">
        <v>0</v>
      </c>
    </row>
    <row r="34" spans="1:10" ht="15" customHeight="1" x14ac:dyDescent="0.25">
      <c r="A34" s="22"/>
      <c r="B34" s="761" t="s">
        <v>40</v>
      </c>
      <c r="C34" s="761"/>
      <c r="D34" s="761"/>
      <c r="E34" s="761"/>
      <c r="F34" s="761"/>
      <c r="G34" s="761"/>
      <c r="H34" s="761"/>
      <c r="I34" s="761"/>
      <c r="J34" s="24">
        <f>SUM(J30:J33)</f>
        <v>64513</v>
      </c>
    </row>
    <row r="35" spans="1:10" ht="7.5" customHeight="1" x14ac:dyDescent="0.25">
      <c r="A35" s="22"/>
      <c r="B35" s="25"/>
      <c r="C35" s="25"/>
      <c r="D35" s="25"/>
      <c r="E35" s="25"/>
      <c r="F35" s="25"/>
      <c r="G35" s="25"/>
      <c r="H35" s="25"/>
      <c r="I35" s="25"/>
      <c r="J35" s="26"/>
    </row>
    <row r="36" spans="1:10" ht="15" customHeight="1" x14ac:dyDescent="0.25">
      <c r="A36" s="22"/>
      <c r="B36" s="761" t="s">
        <v>41</v>
      </c>
      <c r="C36" s="761"/>
      <c r="D36" s="761"/>
      <c r="E36" s="761"/>
      <c r="F36" s="761"/>
      <c r="G36" s="761"/>
      <c r="H36" s="761"/>
      <c r="I36" s="761"/>
      <c r="J36" s="761"/>
    </row>
    <row r="37" spans="1:10" ht="26.4" x14ac:dyDescent="0.25">
      <c r="A37" s="22"/>
      <c r="B37" s="763" t="s">
        <v>4</v>
      </c>
      <c r="C37" s="763"/>
      <c r="D37" s="763"/>
      <c r="E37" s="763"/>
      <c r="F37" s="763"/>
      <c r="G37" s="32" t="s">
        <v>51</v>
      </c>
      <c r="H37" s="32" t="s">
        <v>19</v>
      </c>
      <c r="I37" s="32" t="s">
        <v>28</v>
      </c>
      <c r="J37" s="32" t="s">
        <v>29</v>
      </c>
    </row>
    <row r="38" spans="1:10" ht="15" customHeight="1" x14ac:dyDescent="0.25">
      <c r="A38" s="22"/>
      <c r="B38" s="760" t="s">
        <v>68</v>
      </c>
      <c r="C38" s="760"/>
      <c r="D38" s="760"/>
      <c r="E38" s="760"/>
      <c r="F38" s="760"/>
      <c r="G38" s="24">
        <f>IF(B38="","",VLOOKUP(B38,CUADRILLAS!$B$87:$C$101,2,FALSE))</f>
        <v>235820.59999999998</v>
      </c>
      <c r="H38" s="31">
        <v>1</v>
      </c>
      <c r="I38" s="34">
        <f>1/1.5</f>
        <v>0.66666666666666663</v>
      </c>
      <c r="J38" s="24">
        <f>ROUND(+IF(I38=0,0,G38*H38/I38),0)</f>
        <v>353731</v>
      </c>
    </row>
    <row r="39" spans="1:10" ht="15" customHeight="1" x14ac:dyDescent="0.25">
      <c r="A39" s="22"/>
      <c r="B39" s="760" t="s">
        <v>120</v>
      </c>
      <c r="C39" s="760"/>
      <c r="D39" s="760"/>
      <c r="E39" s="760"/>
      <c r="F39" s="760"/>
      <c r="G39" s="24">
        <f>IF(B39="","",VLOOKUP(B39,CUADRILLAS!$B$87:$C$101,2,FALSE))</f>
        <v>157213.73333333334</v>
      </c>
      <c r="H39" s="31">
        <v>2</v>
      </c>
      <c r="I39" s="34">
        <f>+I38</f>
        <v>0.66666666666666663</v>
      </c>
      <c r="J39" s="24">
        <f>ROUND(+IF(I39=0,0,G39*H39/I39),0)</f>
        <v>471641</v>
      </c>
    </row>
    <row r="40" spans="1:10" ht="15" customHeight="1" x14ac:dyDescent="0.25">
      <c r="A40" s="22"/>
      <c r="B40" s="760" t="s">
        <v>121</v>
      </c>
      <c r="C40" s="760"/>
      <c r="D40" s="760"/>
      <c r="E40" s="760"/>
      <c r="F40" s="760"/>
      <c r="G40" s="24">
        <f>IF(B40="","",VLOOKUP(B40,CUADRILLAS!$B$87:$C$101,2,FALSE))</f>
        <v>78606.866666666669</v>
      </c>
      <c r="H40" s="31">
        <v>8</v>
      </c>
      <c r="I40" s="34">
        <f>+I39</f>
        <v>0.66666666666666663</v>
      </c>
      <c r="J40" s="24">
        <f>ROUND(+IF(I40=0,0,G40*H40/I40),0)</f>
        <v>943282</v>
      </c>
    </row>
    <row r="41" spans="1:10" ht="15" customHeight="1" x14ac:dyDescent="0.25">
      <c r="A41" s="22"/>
      <c r="B41" s="760"/>
      <c r="C41" s="760"/>
      <c r="D41" s="760"/>
      <c r="E41" s="760"/>
      <c r="F41" s="760"/>
      <c r="G41" s="24" t="str">
        <f>IF(B41="","",VLOOKUP(B41,CUADRILLAS!$B$87:$C$101,2,FALSE))</f>
        <v/>
      </c>
      <c r="H41" s="31"/>
      <c r="I41" s="34"/>
      <c r="J41" s="24">
        <f t="shared" ref="J41" si="2">+IF(I41=0,0,G41*H41/I41)</f>
        <v>0</v>
      </c>
    </row>
    <row r="42" spans="1:10" ht="15" customHeight="1" x14ac:dyDescent="0.25">
      <c r="A42" s="22"/>
      <c r="B42" s="761" t="s">
        <v>42</v>
      </c>
      <c r="C42" s="761"/>
      <c r="D42" s="761"/>
      <c r="E42" s="761"/>
      <c r="F42" s="761"/>
      <c r="G42" s="761"/>
      <c r="H42" s="761"/>
      <c r="I42" s="761"/>
      <c r="J42" s="24">
        <f>SUM(J38:J41)</f>
        <v>1768654</v>
      </c>
    </row>
    <row r="43" spans="1:10" ht="7.5" customHeight="1" x14ac:dyDescent="0.25">
      <c r="A43" s="22"/>
      <c r="B43" s="25"/>
      <c r="C43" s="25"/>
      <c r="D43" s="25"/>
      <c r="E43" s="25"/>
      <c r="F43" s="25"/>
      <c r="G43" s="25"/>
      <c r="H43" s="25"/>
      <c r="I43" s="25"/>
      <c r="J43" s="26"/>
    </row>
    <row r="44" spans="1:10" ht="15.75" customHeight="1" x14ac:dyDescent="0.25">
      <c r="A44" s="27"/>
      <c r="B44" s="762" t="s">
        <v>43</v>
      </c>
      <c r="C44" s="762"/>
      <c r="D44" s="762"/>
      <c r="E44" s="762"/>
      <c r="F44" s="762"/>
      <c r="G44" s="762"/>
      <c r="H44" s="762"/>
      <c r="I44" s="762"/>
      <c r="J44" s="106">
        <f>+J42+J34+J15+J26</f>
        <v>4273485</v>
      </c>
    </row>
    <row r="45" spans="1:10" x14ac:dyDescent="0.25">
      <c r="B45" s="21"/>
      <c r="C45" s="21"/>
      <c r="D45" s="21"/>
      <c r="E45" s="21"/>
      <c r="F45" s="21"/>
      <c r="G45" s="21"/>
      <c r="H45" s="21"/>
      <c r="I45" s="21"/>
      <c r="J45" s="21"/>
    </row>
    <row r="47" spans="1:10" x14ac:dyDescent="0.25">
      <c r="E47" s="801" t="s">
        <v>516</v>
      </c>
      <c r="F47" s="802"/>
      <c r="G47" s="802"/>
      <c r="H47" s="803"/>
    </row>
    <row r="48" spans="1:10" x14ac:dyDescent="0.25">
      <c r="E48" s="804" t="s">
        <v>515</v>
      </c>
      <c r="F48" s="805"/>
      <c r="G48" s="805"/>
      <c r="H48" s="806"/>
    </row>
    <row r="49" spans="5:9" x14ac:dyDescent="0.25">
      <c r="E49" s="296" t="s">
        <v>524</v>
      </c>
      <c r="H49" s="23"/>
    </row>
    <row r="50" spans="5:9" x14ac:dyDescent="0.25">
      <c r="E50" s="296" t="s">
        <v>518</v>
      </c>
      <c r="F50" s="279">
        <f>6*(1.05+0.42)</f>
        <v>8.82</v>
      </c>
      <c r="G50" s="20" t="s">
        <v>190</v>
      </c>
      <c r="H50" s="23"/>
    </row>
    <row r="51" spans="5:9" x14ac:dyDescent="0.25">
      <c r="E51" s="296" t="s">
        <v>519</v>
      </c>
      <c r="F51" s="279">
        <f>+F50*0.559</f>
        <v>4.9303800000000004</v>
      </c>
      <c r="G51" s="20" t="s">
        <v>181</v>
      </c>
      <c r="H51" s="23"/>
    </row>
    <row r="52" spans="5:9" x14ac:dyDescent="0.25">
      <c r="E52" s="22"/>
      <c r="H52" s="23"/>
    </row>
    <row r="53" spans="5:9" x14ac:dyDescent="0.25">
      <c r="E53" s="296" t="s">
        <v>520</v>
      </c>
      <c r="H53" s="23"/>
    </row>
    <row r="54" spans="5:9" x14ac:dyDescent="0.25">
      <c r="E54" s="296" t="s">
        <v>518</v>
      </c>
      <c r="F54" s="279">
        <f>3*5.2</f>
        <v>15.600000000000001</v>
      </c>
      <c r="G54" s="20" t="s">
        <v>190</v>
      </c>
      <c r="H54" s="23"/>
    </row>
    <row r="55" spans="5:9" x14ac:dyDescent="0.25">
      <c r="E55" s="297" t="s">
        <v>519</v>
      </c>
      <c r="F55" s="298">
        <f>+F54*0.559</f>
        <v>8.7204000000000015</v>
      </c>
      <c r="G55" s="299" t="s">
        <v>181</v>
      </c>
      <c r="H55" s="300"/>
    </row>
    <row r="57" spans="5:9" x14ac:dyDescent="0.25">
      <c r="E57" s="804" t="s">
        <v>521</v>
      </c>
      <c r="F57" s="805"/>
      <c r="G57" s="805"/>
      <c r="H57" s="806"/>
      <c r="I57" s="279"/>
    </row>
    <row r="58" spans="5:9" x14ac:dyDescent="0.25">
      <c r="E58" s="296" t="s">
        <v>525</v>
      </c>
      <c r="H58" s="23"/>
    </row>
    <row r="59" spans="5:9" x14ac:dyDescent="0.25">
      <c r="E59" s="296" t="s">
        <v>518</v>
      </c>
      <c r="F59" s="279">
        <f>20*1</f>
        <v>20</v>
      </c>
      <c r="G59" s="20" t="s">
        <v>190</v>
      </c>
      <c r="H59" s="23"/>
    </row>
    <row r="60" spans="5:9" x14ac:dyDescent="0.25">
      <c r="E60" s="296" t="s">
        <v>519</v>
      </c>
      <c r="F60" s="279">
        <f>+F59*2.237</f>
        <v>44.74</v>
      </c>
      <c r="G60" s="20" t="s">
        <v>181</v>
      </c>
      <c r="H60" s="23"/>
    </row>
    <row r="61" spans="5:9" x14ac:dyDescent="0.25">
      <c r="E61" s="22"/>
      <c r="H61" s="23"/>
    </row>
    <row r="62" spans="5:9" x14ac:dyDescent="0.25">
      <c r="E62" s="296" t="s">
        <v>527</v>
      </c>
      <c r="H62" s="23"/>
    </row>
    <row r="63" spans="5:9" x14ac:dyDescent="0.25">
      <c r="E63" s="296" t="s">
        <v>518</v>
      </c>
      <c r="F63" s="279">
        <f>4*3.5</f>
        <v>14</v>
      </c>
      <c r="G63" s="20" t="s">
        <v>190</v>
      </c>
      <c r="H63" s="23"/>
    </row>
    <row r="64" spans="5:9" x14ac:dyDescent="0.25">
      <c r="E64" s="297" t="s">
        <v>519</v>
      </c>
      <c r="F64" s="298">
        <f>+F63*0.994</f>
        <v>13.916</v>
      </c>
      <c r="G64" s="299" t="s">
        <v>181</v>
      </c>
      <c r="H64" s="300"/>
    </row>
    <row r="66" spans="5:7" x14ac:dyDescent="0.25">
      <c r="E66" s="301" t="s">
        <v>71</v>
      </c>
      <c r="F66" s="302">
        <f>+F64+F60+F55+F51</f>
        <v>72.306780000000003</v>
      </c>
      <c r="G66" s="303" t="s">
        <v>181</v>
      </c>
    </row>
  </sheetData>
  <mergeCells count="43">
    <mergeCell ref="E57:H57"/>
    <mergeCell ref="B41:F41"/>
    <mergeCell ref="B42:I42"/>
    <mergeCell ref="B44:I44"/>
    <mergeCell ref="B19:E19"/>
    <mergeCell ref="E47:H47"/>
    <mergeCell ref="E48:H48"/>
    <mergeCell ref="B34:I34"/>
    <mergeCell ref="B36:J36"/>
    <mergeCell ref="B37:F37"/>
    <mergeCell ref="B38:F38"/>
    <mergeCell ref="B39:F39"/>
    <mergeCell ref="B40:F40"/>
    <mergeCell ref="B28:J28"/>
    <mergeCell ref="B29:F29"/>
    <mergeCell ref="B30:F30"/>
    <mergeCell ref="B31:F31"/>
    <mergeCell ref="B32:F32"/>
    <mergeCell ref="B33:F33"/>
    <mergeCell ref="B21:E21"/>
    <mergeCell ref="B22:E22"/>
    <mergeCell ref="B23:E23"/>
    <mergeCell ref="B24:E24"/>
    <mergeCell ref="B25:E25"/>
    <mergeCell ref="B26:I26"/>
    <mergeCell ref="B20:E20"/>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13" display="'PPTO HOJA'!A13" xr:uid="{00000000-0004-0000-2C00-000000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2C00-000000000000}">
          <x14:formula1>
            <xm:f>CUADRILLAS!$B$86:$B$101</xm:f>
          </x14:formula1>
          <xm:sqref>B38:F41</xm:sqref>
        </x14:dataValidation>
      </x14:dataValidations>
    </ext>
  </extLst>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59999389629810485"/>
  </sheetPr>
  <dimension ref="A1:J66"/>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9" style="20" bestFit="1" customWidth="1"/>
    <col min="11" max="16384" width="11.44140625" style="20"/>
  </cols>
  <sheetData>
    <row r="1" spans="1:10" x14ac:dyDescent="0.25">
      <c r="A1" s="765"/>
      <c r="B1" s="765"/>
      <c r="C1" s="765"/>
      <c r="D1" s="766" t="str">
        <f>'PPTO HOJA'!A4</f>
        <v>DEPARTAMENTO DE ANTIOQUIA</v>
      </c>
      <c r="E1" s="766"/>
      <c r="F1" s="766"/>
      <c r="G1" s="766"/>
      <c r="H1" s="766"/>
      <c r="I1" s="766"/>
      <c r="J1" s="766"/>
    </row>
    <row r="2" spans="1:10" x14ac:dyDescent="0.25">
      <c r="A2" s="765"/>
      <c r="B2" s="765"/>
      <c r="C2" s="765"/>
      <c r="D2" s="766" t="str">
        <f>'PPTO HOJA'!A5</f>
        <v>MUNICIPIO DE ARBOLETES</v>
      </c>
      <c r="E2" s="766"/>
      <c r="F2" s="766"/>
      <c r="G2" s="766"/>
      <c r="H2" s="766"/>
      <c r="I2" s="766"/>
      <c r="J2" s="766"/>
    </row>
    <row r="3" spans="1:10"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row>
    <row r="4" spans="1:10" x14ac:dyDescent="0.25">
      <c r="A4" s="765"/>
      <c r="B4" s="765"/>
      <c r="C4" s="765"/>
      <c r="D4" s="766" t="s">
        <v>20</v>
      </c>
      <c r="E4" s="766"/>
      <c r="F4" s="766"/>
      <c r="G4" s="766"/>
      <c r="H4" s="766"/>
      <c r="I4" s="766"/>
      <c r="J4" s="766"/>
    </row>
    <row r="5" spans="1:10" ht="9.75" customHeight="1" x14ac:dyDescent="0.25">
      <c r="A5" s="22"/>
      <c r="J5" s="23"/>
    </row>
    <row r="6" spans="1:10" s="21" customFormat="1" ht="33" customHeight="1" x14ac:dyDescent="0.3">
      <c r="A6" s="30" t="s">
        <v>361</v>
      </c>
      <c r="B6" s="29" t="s">
        <v>22</v>
      </c>
      <c r="C6" s="116">
        <f>'PPTO HOJA'!A60</f>
        <v>6.07</v>
      </c>
      <c r="D6" s="28"/>
      <c r="E6" s="764" t="str">
        <f>'PPTO HOJA'!B60</f>
        <v>Construcción de pilote tipo Casisson h = 5.00 &lt; 6.00 m, diámetro interno de 1.20 m, Incluye anillo en concreto reforzado  e=10 cm (diámetro total de 1.40 m). Incluye excavación varia en material común bajo cualquier grado de humedad, transporte y disposición final de los materiales y medido en su posición original.</v>
      </c>
      <c r="F6" s="764"/>
      <c r="G6" s="764"/>
      <c r="H6" s="764"/>
      <c r="I6" s="30" t="s">
        <v>23</v>
      </c>
      <c r="J6" s="31" t="str">
        <f>'PPTO HOJA'!C60</f>
        <v>m</v>
      </c>
    </row>
    <row r="7" spans="1:10" ht="15" customHeight="1" x14ac:dyDescent="0.25">
      <c r="A7" s="22"/>
      <c r="B7" s="761" t="s">
        <v>24</v>
      </c>
      <c r="C7" s="761"/>
      <c r="D7" s="761"/>
      <c r="E7" s="761"/>
      <c r="F7" s="761"/>
      <c r="G7" s="761"/>
      <c r="H7" s="761"/>
      <c r="I7" s="761"/>
      <c r="J7" s="761"/>
    </row>
    <row r="8" spans="1:10" x14ac:dyDescent="0.25">
      <c r="A8" s="22"/>
      <c r="B8" s="763" t="s">
        <v>25</v>
      </c>
      <c r="C8" s="763"/>
      <c r="D8" s="763"/>
      <c r="E8" s="763"/>
      <c r="F8" s="763"/>
      <c r="G8" s="31" t="s">
        <v>26</v>
      </c>
      <c r="H8" s="31" t="s">
        <v>27</v>
      </c>
      <c r="I8" s="31" t="s">
        <v>28</v>
      </c>
      <c r="J8" s="32" t="s">
        <v>29</v>
      </c>
    </row>
    <row r="9" spans="1:10" ht="15" customHeight="1" x14ac:dyDescent="0.25">
      <c r="A9" s="22"/>
      <c r="B9" s="760" t="s">
        <v>30</v>
      </c>
      <c r="C9" s="760"/>
      <c r="D9" s="760"/>
      <c r="E9" s="760"/>
      <c r="F9" s="760"/>
      <c r="G9" s="31"/>
      <c r="H9" s="24"/>
      <c r="I9" s="33">
        <v>0.05</v>
      </c>
      <c r="J9" s="24">
        <f>ROUND(I9*J42,0)</f>
        <v>103172</v>
      </c>
    </row>
    <row r="10" spans="1:10" ht="15" customHeight="1" x14ac:dyDescent="0.25">
      <c r="A10" s="22"/>
      <c r="B10" s="764" t="s">
        <v>362</v>
      </c>
      <c r="C10" s="764"/>
      <c r="D10" s="764"/>
      <c r="E10" s="764"/>
      <c r="F10" s="764"/>
      <c r="G10" s="31" t="str">
        <f>IF(B10="","",VLOOKUP(B10,EQUIPOS!$B$7:$F$46,3,FALSE))</f>
        <v>Brist-stat</v>
      </c>
      <c r="H10" s="24">
        <f>IF(B10="","",VLOOKUP(B10,EQUIPOS!$B$7:$F$46,5,FALSE))</f>
        <v>80000</v>
      </c>
      <c r="I10" s="34">
        <f>+I11</f>
        <v>0.5714285714285714</v>
      </c>
      <c r="J10" s="24">
        <f>IF(B10="",0,ROUND(H10/I10,0))</f>
        <v>140000</v>
      </c>
    </row>
    <row r="11" spans="1:10" ht="15" customHeight="1" x14ac:dyDescent="0.25">
      <c r="A11" s="22"/>
      <c r="B11" s="760" t="s">
        <v>107</v>
      </c>
      <c r="C11" s="760"/>
      <c r="D11" s="760"/>
      <c r="E11" s="760"/>
      <c r="F11" s="760"/>
      <c r="G11" s="31" t="str">
        <f>IF(B11="","",VLOOKUP(B11,EQUIPOS!$B$7:$F$46,3,FALSE))</f>
        <v>Gasolina</v>
      </c>
      <c r="H11" s="24">
        <f>IF(B11="","",VLOOKUP(B11,EQUIPOS!$B$7:$F$46,5,FALSE))</f>
        <v>85000</v>
      </c>
      <c r="I11" s="34">
        <f>+I38</f>
        <v>0.5714285714285714</v>
      </c>
      <c r="J11" s="24">
        <f t="shared" ref="J11:J13" si="0">IF(B11="",0,ROUND(H11/I11,0))</f>
        <v>148750</v>
      </c>
    </row>
    <row r="12" spans="1:10" ht="15" customHeight="1" x14ac:dyDescent="0.25">
      <c r="A12" s="22"/>
      <c r="B12" s="760"/>
      <c r="C12" s="760"/>
      <c r="D12" s="760"/>
      <c r="E12" s="760"/>
      <c r="F12" s="760"/>
      <c r="G12" s="31" t="str">
        <f>IF(B12="","",VLOOKUP(B12,EQUIPOS!$B$7:$F$46,3,FALSE))</f>
        <v/>
      </c>
      <c r="H12" s="24" t="str">
        <f>IF(B12="","",VLOOKUP(B12,EQUIPOS!$B$7:$F$46,5,FALSE))</f>
        <v/>
      </c>
      <c r="I12" s="34"/>
      <c r="J12" s="24">
        <f t="shared" si="0"/>
        <v>0</v>
      </c>
    </row>
    <row r="13" spans="1:10" ht="15" customHeight="1" x14ac:dyDescent="0.25">
      <c r="A13" s="22"/>
      <c r="B13" s="760"/>
      <c r="C13" s="760"/>
      <c r="D13" s="760"/>
      <c r="E13" s="760"/>
      <c r="F13" s="760"/>
      <c r="G13" s="31" t="str">
        <f>IF(B13="","",VLOOKUP(B13,EQUIPOS!$B$7:$F$46,3,FALSE))</f>
        <v/>
      </c>
      <c r="H13" s="24" t="str">
        <f>IF(B13="","",VLOOKUP(B13,EQUIPOS!$B$7:$F$46,5,FALSE))</f>
        <v/>
      </c>
      <c r="I13" s="34"/>
      <c r="J13" s="24">
        <f t="shared" si="0"/>
        <v>0</v>
      </c>
    </row>
    <row r="14" spans="1:10" ht="15" customHeight="1" x14ac:dyDescent="0.25">
      <c r="A14" s="22"/>
      <c r="B14" s="760"/>
      <c r="C14" s="760"/>
      <c r="D14" s="760"/>
      <c r="E14" s="760"/>
      <c r="F14" s="760"/>
      <c r="G14" s="31" t="str">
        <f>IF(B14="","",VLOOKUP(B14,EQUIPOS!$B$7:$F$46,3,FALSE))</f>
        <v/>
      </c>
      <c r="H14" s="24" t="str">
        <f>IF(B14="","",VLOOKUP(B14,EQUIPOS!$B$7:$F$46,5,FALSE))</f>
        <v/>
      </c>
      <c r="I14" s="34"/>
      <c r="J14" s="24"/>
    </row>
    <row r="15" spans="1:10" ht="15" customHeight="1" x14ac:dyDescent="0.25">
      <c r="A15" s="22"/>
      <c r="B15" s="761" t="s">
        <v>31</v>
      </c>
      <c r="C15" s="761"/>
      <c r="D15" s="761"/>
      <c r="E15" s="761"/>
      <c r="F15" s="761"/>
      <c r="G15" s="761"/>
      <c r="H15" s="761"/>
      <c r="I15" s="761"/>
      <c r="J15" s="24">
        <f>SUM(J9:J14)</f>
        <v>391922</v>
      </c>
    </row>
    <row r="16" spans="1:10" ht="7.5" customHeight="1" x14ac:dyDescent="0.25">
      <c r="A16" s="22"/>
      <c r="B16" s="25"/>
      <c r="C16" s="25"/>
      <c r="D16" s="25"/>
      <c r="E16" s="25"/>
      <c r="F16" s="25"/>
      <c r="G16" s="25"/>
      <c r="H16" s="25"/>
      <c r="I16" s="25"/>
      <c r="J16" s="26"/>
    </row>
    <row r="17" spans="1:10" ht="15" customHeight="1" x14ac:dyDescent="0.25">
      <c r="A17" s="22"/>
      <c r="B17" s="761" t="s">
        <v>32</v>
      </c>
      <c r="C17" s="761"/>
      <c r="D17" s="761"/>
      <c r="E17" s="761"/>
      <c r="F17" s="761"/>
      <c r="G17" s="761"/>
      <c r="H17" s="761"/>
      <c r="I17" s="761"/>
      <c r="J17" s="761"/>
    </row>
    <row r="18" spans="1:10" ht="26.4" x14ac:dyDescent="0.25">
      <c r="A18" s="22"/>
      <c r="B18" s="763" t="s">
        <v>33</v>
      </c>
      <c r="C18" s="763"/>
      <c r="D18" s="763"/>
      <c r="E18" s="763"/>
      <c r="F18" s="28" t="s">
        <v>19</v>
      </c>
      <c r="G18" s="31" t="s">
        <v>34</v>
      </c>
      <c r="H18" s="32" t="s">
        <v>35</v>
      </c>
      <c r="I18" s="32" t="s">
        <v>36</v>
      </c>
      <c r="J18" s="32" t="s">
        <v>29</v>
      </c>
    </row>
    <row r="19" spans="1:10" x14ac:dyDescent="0.25">
      <c r="A19" s="22"/>
      <c r="B19" s="791" t="str">
        <f>+'PPTO HOJA'!B12</f>
        <v>Excavación manual en material común bajo cualquier grado de humedad</v>
      </c>
      <c r="C19" s="792"/>
      <c r="D19" s="792"/>
      <c r="E19" s="793"/>
      <c r="F19" s="180">
        <f>+PI()*0.7^2*1</f>
        <v>1.5393804002589984</v>
      </c>
      <c r="G19" s="206" t="s">
        <v>261</v>
      </c>
      <c r="H19" s="207"/>
      <c r="I19" s="280">
        <f>+'PPTO HOJA'!E12</f>
        <v>41268</v>
      </c>
      <c r="J19" s="24">
        <f>IF(I19="",0,ROUND((+F19*I19*(1+H19)),0))</f>
        <v>63527</v>
      </c>
    </row>
    <row r="20" spans="1:10" ht="14.25" customHeight="1" x14ac:dyDescent="0.25">
      <c r="A20" s="22"/>
      <c r="B20" s="791" t="s">
        <v>514</v>
      </c>
      <c r="C20" s="792"/>
      <c r="D20" s="792"/>
      <c r="E20" s="793"/>
      <c r="F20" s="180">
        <f>+PI()*(0.7^2-0.6^2)*1</f>
        <v>0.40840704496667296</v>
      </c>
      <c r="G20" s="31" t="str">
        <f>+'APU BÁSICOS'!J6</f>
        <v>m3</v>
      </c>
      <c r="H20" s="107">
        <v>0.1</v>
      </c>
      <c r="I20" s="24">
        <f>+'APU BÁSICOS'!J91</f>
        <v>1003196</v>
      </c>
      <c r="J20" s="24">
        <f>IF(I20="",0,ROUND((+F20*I20*(1+H20)),0))</f>
        <v>450684</v>
      </c>
    </row>
    <row r="21" spans="1:10" ht="15" customHeight="1" x14ac:dyDescent="0.25">
      <c r="A21" s="22"/>
      <c r="B21" s="764" t="s">
        <v>509</v>
      </c>
      <c r="C21" s="764"/>
      <c r="D21" s="764"/>
      <c r="E21" s="764"/>
      <c r="F21" s="34">
        <f>+(PI()*0.6^2*1)*0.7</f>
        <v>0.79168134870462781</v>
      </c>
      <c r="G21" s="31" t="str">
        <f>+'APU BÁSICOS'!J6</f>
        <v>m3</v>
      </c>
      <c r="H21" s="107">
        <v>0.1</v>
      </c>
      <c r="I21" s="24">
        <f>+'APU BÁSICOS'!J45</f>
        <v>1024596</v>
      </c>
      <c r="J21" s="24">
        <f t="shared" ref="J21:J25" si="1">IF(I21="",0,ROUND((+F21*I21*(1+H21)),0))</f>
        <v>892269</v>
      </c>
    </row>
    <row r="22" spans="1:10" ht="15" customHeight="1" x14ac:dyDescent="0.25">
      <c r="A22" s="22"/>
      <c r="B22" s="760" t="s">
        <v>265</v>
      </c>
      <c r="C22" s="760"/>
      <c r="D22" s="760"/>
      <c r="E22" s="760"/>
      <c r="F22" s="34">
        <f>+(PI()*0.6^2*1)*0.3</f>
        <v>0.33929200658769765</v>
      </c>
      <c r="G22" s="31" t="str">
        <f>IF(F22=0,"",VLOOKUP(B22,'LISTADO DE MATERIALES'!$B$6:$D$311,2,FALSE))</f>
        <v>m3</v>
      </c>
      <c r="H22" s="107">
        <v>0.1</v>
      </c>
      <c r="I22" s="24">
        <f>IF(F22=0,"",VLOOKUP(B22,'LISTADO DE MATERIALES'!$B$6:$D$311,3,FALSE))</f>
        <v>182390</v>
      </c>
      <c r="J22" s="24">
        <f t="shared" si="1"/>
        <v>68072</v>
      </c>
    </row>
    <row r="23" spans="1:10" ht="15" customHeight="1" x14ac:dyDescent="0.25">
      <c r="A23" s="22"/>
      <c r="B23" s="760" t="s">
        <v>250</v>
      </c>
      <c r="C23" s="760"/>
      <c r="D23" s="760"/>
      <c r="E23" s="760"/>
      <c r="F23" s="34">
        <f>+F66</f>
        <v>72.306780000000003</v>
      </c>
      <c r="G23" s="31" t="str">
        <f>IF(F23=0,"",VLOOKUP(B23,'LISTADO DE MATERIALES'!$B$6:$D$311,2,FALSE))</f>
        <v>Kg</v>
      </c>
      <c r="H23" s="107">
        <v>0.05</v>
      </c>
      <c r="I23" s="24">
        <f>IF(F23=0,"",VLOOKUP(B23,'LISTADO DE MATERIALES'!$B$6:$D$311,3,FALSE))</f>
        <v>6225</v>
      </c>
      <c r="J23" s="24">
        <f t="shared" si="1"/>
        <v>472615</v>
      </c>
    </row>
    <row r="24" spans="1:10" ht="15" customHeight="1" x14ac:dyDescent="0.25">
      <c r="A24" s="22"/>
      <c r="B24" s="760" t="s">
        <v>251</v>
      </c>
      <c r="C24" s="760"/>
      <c r="D24" s="760"/>
      <c r="E24" s="760"/>
      <c r="F24" s="34">
        <f>+F23*0.05</f>
        <v>3.6153390000000005</v>
      </c>
      <c r="G24" s="31" t="str">
        <f>IF(F24=0,"",VLOOKUP(B24,'LISTADO DE MATERIALES'!$B$6:$D$311,2,FALSE))</f>
        <v>Kg</v>
      </c>
      <c r="H24" s="107">
        <v>0.05</v>
      </c>
      <c r="I24" s="24">
        <f>IF(F24=0,"",VLOOKUP(B24,'LISTADO DE MATERIALES'!$B$6:$D$311,3,FALSE))</f>
        <v>12450</v>
      </c>
      <c r="J24" s="24">
        <f t="shared" si="1"/>
        <v>47262</v>
      </c>
    </row>
    <row r="25" spans="1:10" ht="27.6" customHeight="1" x14ac:dyDescent="0.25">
      <c r="A25" s="22"/>
      <c r="B25" s="764" t="s">
        <v>508</v>
      </c>
      <c r="C25" s="764"/>
      <c r="D25" s="764"/>
      <c r="E25" s="764"/>
      <c r="F25" s="34">
        <f>((2*PI()*0.6)/0.3)/3</f>
        <v>4.1887902047863905</v>
      </c>
      <c r="G25" s="31" t="str">
        <f>IF(F25=0,"",VLOOKUP(B25,'LISTADO DE MATERIALES'!$B$6:$D$311,2,FALSE))</f>
        <v>und</v>
      </c>
      <c r="H25" s="107">
        <v>0.05</v>
      </c>
      <c r="I25" s="24">
        <f>IF(F25=0,"",VLOOKUP(B25,'LISTADO DE MATERIALES'!$B$6:$D$311,3,FALSE))</f>
        <v>25000</v>
      </c>
      <c r="J25" s="24">
        <f t="shared" si="1"/>
        <v>109956</v>
      </c>
    </row>
    <row r="26" spans="1:10" ht="15" customHeight="1" x14ac:dyDescent="0.25">
      <c r="A26" s="22"/>
      <c r="B26" s="761" t="s">
        <v>37</v>
      </c>
      <c r="C26" s="761"/>
      <c r="D26" s="761"/>
      <c r="E26" s="761"/>
      <c r="F26" s="761"/>
      <c r="G26" s="761"/>
      <c r="H26" s="761"/>
      <c r="I26" s="761"/>
      <c r="J26" s="24">
        <f>SUM(J19:J25)</f>
        <v>2104385</v>
      </c>
    </row>
    <row r="27" spans="1:10" ht="7.5" customHeight="1" x14ac:dyDescent="0.25">
      <c r="A27" s="22"/>
      <c r="B27" s="25"/>
      <c r="C27" s="25"/>
      <c r="D27" s="25"/>
      <c r="E27" s="25"/>
      <c r="F27" s="25"/>
      <c r="G27" s="25"/>
      <c r="H27" s="25"/>
      <c r="I27" s="25"/>
      <c r="J27" s="26"/>
    </row>
    <row r="28" spans="1:10" ht="15" customHeight="1" x14ac:dyDescent="0.25">
      <c r="A28" s="22"/>
      <c r="B28" s="761" t="s">
        <v>38</v>
      </c>
      <c r="C28" s="761"/>
      <c r="D28" s="761"/>
      <c r="E28" s="761"/>
      <c r="F28" s="761"/>
      <c r="G28" s="761"/>
      <c r="H28" s="761"/>
      <c r="I28" s="761"/>
      <c r="J28" s="761"/>
    </row>
    <row r="29" spans="1:10" x14ac:dyDescent="0.25">
      <c r="A29" s="22"/>
      <c r="B29" s="763" t="s">
        <v>33</v>
      </c>
      <c r="C29" s="763"/>
      <c r="D29" s="763"/>
      <c r="E29" s="763"/>
      <c r="F29" s="763"/>
      <c r="G29" s="31" t="s">
        <v>133</v>
      </c>
      <c r="H29" s="31" t="s">
        <v>132</v>
      </c>
      <c r="I29" s="31" t="s">
        <v>39</v>
      </c>
      <c r="J29" s="32" t="s">
        <v>29</v>
      </c>
    </row>
    <row r="30" spans="1:10" ht="15" customHeight="1" x14ac:dyDescent="0.25">
      <c r="A30" s="22"/>
      <c r="B30" s="760" t="s">
        <v>510</v>
      </c>
      <c r="C30" s="760"/>
      <c r="D30" s="760"/>
      <c r="E30" s="760"/>
      <c r="F30" s="760"/>
      <c r="G30" s="34">
        <f>+F19*1.3</f>
        <v>2.0011945203366981</v>
      </c>
      <c r="H30" s="34">
        <f>+TRANSPORTE!B7</f>
        <v>10.5</v>
      </c>
      <c r="I30" s="319">
        <f>+TRANSPORTE!C7</f>
        <v>1667</v>
      </c>
      <c r="J30" s="24">
        <f>ROUND((I30*H30*G30),0)</f>
        <v>35028</v>
      </c>
    </row>
    <row r="31" spans="1:10" ht="15" customHeight="1" x14ac:dyDescent="0.25">
      <c r="A31" s="22"/>
      <c r="B31" s="760" t="s">
        <v>580</v>
      </c>
      <c r="C31" s="760"/>
      <c r="D31" s="760"/>
      <c r="E31" s="760"/>
      <c r="F31" s="760"/>
      <c r="G31" s="34">
        <f>+F22</f>
        <v>0.33929200658769765</v>
      </c>
      <c r="H31" s="34">
        <f>+TRANSPORTE!B6</f>
        <v>70</v>
      </c>
      <c r="I31" s="319">
        <f>+TRANSPORTE!C6</f>
        <v>1241.46</v>
      </c>
      <c r="J31" s="24">
        <f>ROUND((I31*H31*G31),0)</f>
        <v>29485</v>
      </c>
    </row>
    <row r="32" spans="1:10" ht="15" customHeight="1" x14ac:dyDescent="0.25">
      <c r="A32" s="22"/>
      <c r="B32" s="760"/>
      <c r="C32" s="760"/>
      <c r="D32" s="760"/>
      <c r="E32" s="760"/>
      <c r="F32" s="760"/>
      <c r="G32" s="31"/>
      <c r="H32" s="34"/>
      <c r="I32" s="24"/>
      <c r="J32" s="24">
        <v>0</v>
      </c>
    </row>
    <row r="33" spans="1:10" ht="15" customHeight="1" x14ac:dyDescent="0.25">
      <c r="A33" s="22"/>
      <c r="B33" s="760"/>
      <c r="C33" s="760"/>
      <c r="D33" s="760"/>
      <c r="E33" s="760"/>
      <c r="F33" s="760"/>
      <c r="G33" s="31"/>
      <c r="H33" s="31"/>
      <c r="I33" s="24"/>
      <c r="J33" s="24">
        <v>0</v>
      </c>
    </row>
    <row r="34" spans="1:10" ht="15" customHeight="1" x14ac:dyDescent="0.25">
      <c r="A34" s="22"/>
      <c r="B34" s="761" t="s">
        <v>40</v>
      </c>
      <c r="C34" s="761"/>
      <c r="D34" s="761"/>
      <c r="E34" s="761"/>
      <c r="F34" s="761"/>
      <c r="G34" s="761"/>
      <c r="H34" s="761"/>
      <c r="I34" s="761"/>
      <c r="J34" s="24">
        <f>SUM(J30:J33)</f>
        <v>64513</v>
      </c>
    </row>
    <row r="35" spans="1:10" ht="7.5" customHeight="1" x14ac:dyDescent="0.25">
      <c r="A35" s="22"/>
      <c r="B35" s="25"/>
      <c r="C35" s="25"/>
      <c r="D35" s="25"/>
      <c r="E35" s="25"/>
      <c r="F35" s="25"/>
      <c r="G35" s="25"/>
      <c r="H35" s="25"/>
      <c r="I35" s="25"/>
      <c r="J35" s="26"/>
    </row>
    <row r="36" spans="1:10" ht="15" customHeight="1" x14ac:dyDescent="0.25">
      <c r="A36" s="22"/>
      <c r="B36" s="761" t="s">
        <v>41</v>
      </c>
      <c r="C36" s="761"/>
      <c r="D36" s="761"/>
      <c r="E36" s="761"/>
      <c r="F36" s="761"/>
      <c r="G36" s="761"/>
      <c r="H36" s="761"/>
      <c r="I36" s="761"/>
      <c r="J36" s="761"/>
    </row>
    <row r="37" spans="1:10" ht="26.4" x14ac:dyDescent="0.25">
      <c r="A37" s="22"/>
      <c r="B37" s="763" t="s">
        <v>4</v>
      </c>
      <c r="C37" s="763"/>
      <c r="D37" s="763"/>
      <c r="E37" s="763"/>
      <c r="F37" s="763"/>
      <c r="G37" s="32" t="s">
        <v>51</v>
      </c>
      <c r="H37" s="32" t="s">
        <v>19</v>
      </c>
      <c r="I37" s="32" t="s">
        <v>28</v>
      </c>
      <c r="J37" s="32" t="s">
        <v>29</v>
      </c>
    </row>
    <row r="38" spans="1:10" ht="15" customHeight="1" x14ac:dyDescent="0.25">
      <c r="A38" s="22"/>
      <c r="B38" s="760" t="s">
        <v>68</v>
      </c>
      <c r="C38" s="760"/>
      <c r="D38" s="760"/>
      <c r="E38" s="760"/>
      <c r="F38" s="760"/>
      <c r="G38" s="24">
        <f>IF(B38="","",VLOOKUP(B38,CUADRILLAS!$B$87:$C$101,2,FALSE))</f>
        <v>235820.59999999998</v>
      </c>
      <c r="H38" s="31">
        <v>1</v>
      </c>
      <c r="I38" s="34">
        <f>1/1.75</f>
        <v>0.5714285714285714</v>
      </c>
      <c r="J38" s="24">
        <f>ROUND(+IF(I38=0,0,G38*H38/I38),0)</f>
        <v>412686</v>
      </c>
    </row>
    <row r="39" spans="1:10" ht="15" customHeight="1" x14ac:dyDescent="0.25">
      <c r="A39" s="22"/>
      <c r="B39" s="760" t="s">
        <v>120</v>
      </c>
      <c r="C39" s="760"/>
      <c r="D39" s="760"/>
      <c r="E39" s="760"/>
      <c r="F39" s="760"/>
      <c r="G39" s="24">
        <f>IF(B39="","",VLOOKUP(B39,CUADRILLAS!$B$87:$C$101,2,FALSE))</f>
        <v>157213.73333333334</v>
      </c>
      <c r="H39" s="31">
        <v>2</v>
      </c>
      <c r="I39" s="34">
        <f>+I38</f>
        <v>0.5714285714285714</v>
      </c>
      <c r="J39" s="24">
        <f>ROUND(+IF(I39=0,0,G39*H39/I39),0)</f>
        <v>550248</v>
      </c>
    </row>
    <row r="40" spans="1:10" ht="15" customHeight="1" x14ac:dyDescent="0.25">
      <c r="A40" s="22"/>
      <c r="B40" s="760" t="s">
        <v>121</v>
      </c>
      <c r="C40" s="760"/>
      <c r="D40" s="760"/>
      <c r="E40" s="760"/>
      <c r="F40" s="760"/>
      <c r="G40" s="24">
        <f>IF(B40="","",VLOOKUP(B40,CUADRILLAS!$B$87:$C$101,2,FALSE))</f>
        <v>78606.866666666669</v>
      </c>
      <c r="H40" s="31">
        <v>8</v>
      </c>
      <c r="I40" s="34">
        <f>+I39</f>
        <v>0.5714285714285714</v>
      </c>
      <c r="J40" s="24">
        <f>ROUND(+IF(I40=0,0,G40*H40/I40),0)</f>
        <v>1100496</v>
      </c>
    </row>
    <row r="41" spans="1:10" ht="15" customHeight="1" x14ac:dyDescent="0.25">
      <c r="A41" s="22"/>
      <c r="B41" s="760"/>
      <c r="C41" s="760"/>
      <c r="D41" s="760"/>
      <c r="E41" s="760"/>
      <c r="F41" s="760"/>
      <c r="G41" s="24" t="str">
        <f>IF(B41="","",VLOOKUP(B41,CUADRILLAS!$B$87:$C$101,2,FALSE))</f>
        <v/>
      </c>
      <c r="H41" s="31"/>
      <c r="I41" s="34"/>
      <c r="J41" s="24">
        <f t="shared" ref="J41" si="2">+IF(I41=0,0,G41*H41/I41)</f>
        <v>0</v>
      </c>
    </row>
    <row r="42" spans="1:10" ht="15" customHeight="1" x14ac:dyDescent="0.25">
      <c r="A42" s="22"/>
      <c r="B42" s="761" t="s">
        <v>42</v>
      </c>
      <c r="C42" s="761"/>
      <c r="D42" s="761"/>
      <c r="E42" s="761"/>
      <c r="F42" s="761"/>
      <c r="G42" s="761"/>
      <c r="H42" s="761"/>
      <c r="I42" s="761"/>
      <c r="J42" s="24">
        <f>SUM(J38:J41)</f>
        <v>2063430</v>
      </c>
    </row>
    <row r="43" spans="1:10" ht="7.5" customHeight="1" x14ac:dyDescent="0.25">
      <c r="A43" s="22"/>
      <c r="B43" s="25"/>
      <c r="C43" s="25"/>
      <c r="D43" s="25"/>
      <c r="E43" s="25"/>
      <c r="F43" s="25"/>
      <c r="G43" s="25"/>
      <c r="H43" s="25"/>
      <c r="I43" s="25"/>
      <c r="J43" s="26"/>
    </row>
    <row r="44" spans="1:10" ht="15.75" customHeight="1" x14ac:dyDescent="0.25">
      <c r="A44" s="27"/>
      <c r="B44" s="762" t="s">
        <v>43</v>
      </c>
      <c r="C44" s="762"/>
      <c r="D44" s="762"/>
      <c r="E44" s="762"/>
      <c r="F44" s="762"/>
      <c r="G44" s="762"/>
      <c r="H44" s="762"/>
      <c r="I44" s="762"/>
      <c r="J44" s="106">
        <f>+J42+J34+J15+J26</f>
        <v>4624250</v>
      </c>
    </row>
    <row r="45" spans="1:10" x14ac:dyDescent="0.25">
      <c r="B45" s="21"/>
      <c r="C45" s="21"/>
      <c r="D45" s="21"/>
      <c r="E45" s="21"/>
      <c r="F45" s="21"/>
      <c r="G45" s="21"/>
      <c r="H45" s="21"/>
      <c r="I45" s="21"/>
      <c r="J45" s="21"/>
    </row>
    <row r="47" spans="1:10" x14ac:dyDescent="0.25">
      <c r="E47" s="801" t="s">
        <v>516</v>
      </c>
      <c r="F47" s="802"/>
      <c r="G47" s="802"/>
      <c r="H47" s="803"/>
    </row>
    <row r="48" spans="1:10" x14ac:dyDescent="0.25">
      <c r="E48" s="804" t="s">
        <v>515</v>
      </c>
      <c r="F48" s="805"/>
      <c r="G48" s="805"/>
      <c r="H48" s="806"/>
    </row>
    <row r="49" spans="5:9" x14ac:dyDescent="0.25">
      <c r="E49" s="296" t="s">
        <v>524</v>
      </c>
      <c r="H49" s="23"/>
    </row>
    <row r="50" spans="5:9" x14ac:dyDescent="0.25">
      <c r="E50" s="296" t="s">
        <v>518</v>
      </c>
      <c r="F50" s="279">
        <f>6*(1.05+0.42)</f>
        <v>8.82</v>
      </c>
      <c r="G50" s="20" t="s">
        <v>190</v>
      </c>
      <c r="H50" s="23"/>
    </row>
    <row r="51" spans="5:9" x14ac:dyDescent="0.25">
      <c r="E51" s="296" t="s">
        <v>519</v>
      </c>
      <c r="F51" s="279">
        <f>+F50*0.559</f>
        <v>4.9303800000000004</v>
      </c>
      <c r="G51" s="20" t="s">
        <v>181</v>
      </c>
      <c r="H51" s="23"/>
    </row>
    <row r="52" spans="5:9" x14ac:dyDescent="0.25">
      <c r="E52" s="22"/>
      <c r="H52" s="23"/>
    </row>
    <row r="53" spans="5:9" x14ac:dyDescent="0.25">
      <c r="E53" s="296" t="s">
        <v>520</v>
      </c>
      <c r="H53" s="23"/>
    </row>
    <row r="54" spans="5:9" x14ac:dyDescent="0.25">
      <c r="E54" s="296" t="s">
        <v>518</v>
      </c>
      <c r="F54" s="279">
        <f>3*5.2</f>
        <v>15.600000000000001</v>
      </c>
      <c r="G54" s="20" t="s">
        <v>190</v>
      </c>
      <c r="H54" s="23"/>
    </row>
    <row r="55" spans="5:9" x14ac:dyDescent="0.25">
      <c r="E55" s="297" t="s">
        <v>519</v>
      </c>
      <c r="F55" s="298">
        <f>+F54*0.559</f>
        <v>8.7204000000000015</v>
      </c>
      <c r="G55" s="299" t="s">
        <v>181</v>
      </c>
      <c r="H55" s="300"/>
    </row>
    <row r="57" spans="5:9" x14ac:dyDescent="0.25">
      <c r="E57" s="804" t="s">
        <v>521</v>
      </c>
      <c r="F57" s="805"/>
      <c r="G57" s="805"/>
      <c r="H57" s="806"/>
      <c r="I57" s="279"/>
    </row>
    <row r="58" spans="5:9" x14ac:dyDescent="0.25">
      <c r="E58" s="296" t="s">
        <v>525</v>
      </c>
      <c r="H58" s="23"/>
    </row>
    <row r="59" spans="5:9" x14ac:dyDescent="0.25">
      <c r="E59" s="296" t="s">
        <v>518</v>
      </c>
      <c r="F59" s="279">
        <f>20*1</f>
        <v>20</v>
      </c>
      <c r="G59" s="20" t="s">
        <v>190</v>
      </c>
      <c r="H59" s="23"/>
    </row>
    <row r="60" spans="5:9" x14ac:dyDescent="0.25">
      <c r="E60" s="296" t="s">
        <v>519</v>
      </c>
      <c r="F60" s="279">
        <f>+F59*2.237</f>
        <v>44.74</v>
      </c>
      <c r="G60" s="20" t="s">
        <v>181</v>
      </c>
      <c r="H60" s="23"/>
    </row>
    <row r="61" spans="5:9" x14ac:dyDescent="0.25">
      <c r="E61" s="22"/>
      <c r="H61" s="23"/>
    </row>
    <row r="62" spans="5:9" x14ac:dyDescent="0.25">
      <c r="E62" s="296" t="s">
        <v>527</v>
      </c>
      <c r="H62" s="23"/>
    </row>
    <row r="63" spans="5:9" x14ac:dyDescent="0.25">
      <c r="E63" s="296" t="s">
        <v>518</v>
      </c>
      <c r="F63" s="279">
        <f>4*3.5</f>
        <v>14</v>
      </c>
      <c r="G63" s="20" t="s">
        <v>190</v>
      </c>
      <c r="H63" s="23"/>
    </row>
    <row r="64" spans="5:9" x14ac:dyDescent="0.25">
      <c r="E64" s="297" t="s">
        <v>519</v>
      </c>
      <c r="F64" s="298">
        <f>+F63*0.994</f>
        <v>13.916</v>
      </c>
      <c r="G64" s="299" t="s">
        <v>181</v>
      </c>
      <c r="H64" s="300"/>
    </row>
    <row r="66" spans="5:7" x14ac:dyDescent="0.25">
      <c r="E66" s="301" t="s">
        <v>71</v>
      </c>
      <c r="F66" s="302">
        <f>+F64+F60+F55+F51</f>
        <v>72.306780000000003</v>
      </c>
      <c r="G66" s="303" t="s">
        <v>181</v>
      </c>
    </row>
  </sheetData>
  <mergeCells count="43">
    <mergeCell ref="E57:H57"/>
    <mergeCell ref="B41:F41"/>
    <mergeCell ref="B42:I42"/>
    <mergeCell ref="B44:I44"/>
    <mergeCell ref="B19:E19"/>
    <mergeCell ref="E47:H47"/>
    <mergeCell ref="E48:H48"/>
    <mergeCell ref="B34:I34"/>
    <mergeCell ref="B36:J36"/>
    <mergeCell ref="B37:F37"/>
    <mergeCell ref="B38:F38"/>
    <mergeCell ref="B39:F39"/>
    <mergeCell ref="B40:F40"/>
    <mergeCell ref="B28:J28"/>
    <mergeCell ref="B29:F29"/>
    <mergeCell ref="B30:F30"/>
    <mergeCell ref="B31:F31"/>
    <mergeCell ref="B32:F32"/>
    <mergeCell ref="B33:F33"/>
    <mergeCell ref="B21:E21"/>
    <mergeCell ref="B22:E22"/>
    <mergeCell ref="B23:E23"/>
    <mergeCell ref="B24:E24"/>
    <mergeCell ref="B25:E25"/>
    <mergeCell ref="B26:I26"/>
    <mergeCell ref="B20:E20"/>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13" display="'PPTO HOJA'!A13" xr:uid="{00000000-0004-0000-2D00-000000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2D00-000000000000}">
          <x14:formula1>
            <xm:f>CUADRILLAS!$B$86:$B$101</xm:f>
          </x14:formula1>
          <xm:sqref>B38:F41</xm:sqref>
        </x14:dataValidation>
      </x14:dataValidations>
    </ext>
  </extLs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theme="9" tint="0.59999389629810485"/>
  </sheetPr>
  <dimension ref="A1:J66"/>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9" style="20" bestFit="1" customWidth="1"/>
    <col min="11" max="16384" width="11.44140625" style="20"/>
  </cols>
  <sheetData>
    <row r="1" spans="1:10" x14ac:dyDescent="0.25">
      <c r="A1" s="765"/>
      <c r="B1" s="765"/>
      <c r="C1" s="765"/>
      <c r="D1" s="766" t="str">
        <f>'PPTO HOJA'!A4</f>
        <v>DEPARTAMENTO DE ANTIOQUIA</v>
      </c>
      <c r="E1" s="766"/>
      <c r="F1" s="766"/>
      <c r="G1" s="766"/>
      <c r="H1" s="766"/>
      <c r="I1" s="766"/>
      <c r="J1" s="766"/>
    </row>
    <row r="2" spans="1:10" x14ac:dyDescent="0.25">
      <c r="A2" s="765"/>
      <c r="B2" s="765"/>
      <c r="C2" s="765"/>
      <c r="D2" s="766" t="str">
        <f>'PPTO HOJA'!A5</f>
        <v>MUNICIPIO DE ARBOLETES</v>
      </c>
      <c r="E2" s="766"/>
      <c r="F2" s="766"/>
      <c r="G2" s="766"/>
      <c r="H2" s="766"/>
      <c r="I2" s="766"/>
      <c r="J2" s="766"/>
    </row>
    <row r="3" spans="1:10"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row>
    <row r="4" spans="1:10" x14ac:dyDescent="0.25">
      <c r="A4" s="765"/>
      <c r="B4" s="765"/>
      <c r="C4" s="765"/>
      <c r="D4" s="766" t="s">
        <v>20</v>
      </c>
      <c r="E4" s="766"/>
      <c r="F4" s="766"/>
      <c r="G4" s="766"/>
      <c r="H4" s="766"/>
      <c r="I4" s="766"/>
      <c r="J4" s="766"/>
    </row>
    <row r="5" spans="1:10" ht="9.75" customHeight="1" x14ac:dyDescent="0.25">
      <c r="A5" s="22"/>
      <c r="J5" s="23"/>
    </row>
    <row r="6" spans="1:10" s="21" customFormat="1" ht="33" customHeight="1" x14ac:dyDescent="0.3">
      <c r="A6" s="30" t="s">
        <v>361</v>
      </c>
      <c r="B6" s="29" t="s">
        <v>22</v>
      </c>
      <c r="C6" s="116">
        <f>'PPTO HOJA'!A61</f>
        <v>6.08</v>
      </c>
      <c r="D6" s="28"/>
      <c r="E6" s="764" t="str">
        <f>'PPTO HOJA'!B61</f>
        <v>Construcción de pilote tipo Casisson h = 6.00 &lt; 7.00 m, diámetro interno de 1.20 m, Incluye anillo en concreto reforzado  e=10 cm (diámetro total de 1.40 m). Incluye excavación varia en material común bajo cualquier grado de humedad, transporte y disposición final de los materiales y medido en su posición original.</v>
      </c>
      <c r="F6" s="764"/>
      <c r="G6" s="764"/>
      <c r="H6" s="764"/>
      <c r="I6" s="30" t="s">
        <v>23</v>
      </c>
      <c r="J6" s="31" t="str">
        <f>'PPTO HOJA'!C61</f>
        <v>m</v>
      </c>
    </row>
    <row r="7" spans="1:10" ht="15" customHeight="1" x14ac:dyDescent="0.25">
      <c r="A7" s="22"/>
      <c r="B7" s="761" t="s">
        <v>24</v>
      </c>
      <c r="C7" s="761"/>
      <c r="D7" s="761"/>
      <c r="E7" s="761"/>
      <c r="F7" s="761"/>
      <c r="G7" s="761"/>
      <c r="H7" s="761"/>
      <c r="I7" s="761"/>
      <c r="J7" s="761"/>
    </row>
    <row r="8" spans="1:10" x14ac:dyDescent="0.25">
      <c r="A8" s="22"/>
      <c r="B8" s="763" t="s">
        <v>25</v>
      </c>
      <c r="C8" s="763"/>
      <c r="D8" s="763"/>
      <c r="E8" s="763"/>
      <c r="F8" s="763"/>
      <c r="G8" s="31" t="s">
        <v>26</v>
      </c>
      <c r="H8" s="31" t="s">
        <v>27</v>
      </c>
      <c r="I8" s="31" t="s">
        <v>28</v>
      </c>
      <c r="J8" s="32" t="s">
        <v>29</v>
      </c>
    </row>
    <row r="9" spans="1:10" ht="15" customHeight="1" x14ac:dyDescent="0.25">
      <c r="A9" s="22"/>
      <c r="B9" s="760" t="s">
        <v>30</v>
      </c>
      <c r="C9" s="760"/>
      <c r="D9" s="760"/>
      <c r="E9" s="760"/>
      <c r="F9" s="760"/>
      <c r="G9" s="31"/>
      <c r="H9" s="24"/>
      <c r="I9" s="33">
        <v>0.05</v>
      </c>
      <c r="J9" s="24">
        <f>ROUND(I9*J42,0)</f>
        <v>117910</v>
      </c>
    </row>
    <row r="10" spans="1:10" ht="15" customHeight="1" x14ac:dyDescent="0.25">
      <c r="A10" s="22"/>
      <c r="B10" s="764" t="s">
        <v>362</v>
      </c>
      <c r="C10" s="764"/>
      <c r="D10" s="764"/>
      <c r="E10" s="764"/>
      <c r="F10" s="764"/>
      <c r="G10" s="31" t="str">
        <f>IF(B10="","",VLOOKUP(B10,EQUIPOS!$B$7:$F$46,3,FALSE))</f>
        <v>Brist-stat</v>
      </c>
      <c r="H10" s="24">
        <f>IF(B10="","",VLOOKUP(B10,EQUIPOS!$B$7:$F$46,5,FALSE))</f>
        <v>80000</v>
      </c>
      <c r="I10" s="34">
        <f>+I11</f>
        <v>0.5</v>
      </c>
      <c r="J10" s="24">
        <f>IF(B10="",0,ROUND(H10/I10,0))</f>
        <v>160000</v>
      </c>
    </row>
    <row r="11" spans="1:10" ht="15" customHeight="1" x14ac:dyDescent="0.25">
      <c r="A11" s="22"/>
      <c r="B11" s="760" t="s">
        <v>107</v>
      </c>
      <c r="C11" s="760"/>
      <c r="D11" s="760"/>
      <c r="E11" s="760"/>
      <c r="F11" s="760"/>
      <c r="G11" s="31" t="str">
        <f>IF(B11="","",VLOOKUP(B11,EQUIPOS!$B$7:$F$46,3,FALSE))</f>
        <v>Gasolina</v>
      </c>
      <c r="H11" s="24">
        <f>IF(B11="","",VLOOKUP(B11,EQUIPOS!$B$7:$F$46,5,FALSE))</f>
        <v>85000</v>
      </c>
      <c r="I11" s="34">
        <f>+I38</f>
        <v>0.5</v>
      </c>
      <c r="J11" s="24">
        <f t="shared" ref="J11:J13" si="0">IF(B11="",0,ROUND(H11/I11,0))</f>
        <v>170000</v>
      </c>
    </row>
    <row r="12" spans="1:10" ht="15" customHeight="1" x14ac:dyDescent="0.25">
      <c r="A12" s="22"/>
      <c r="B12" s="760"/>
      <c r="C12" s="760"/>
      <c r="D12" s="760"/>
      <c r="E12" s="760"/>
      <c r="F12" s="760"/>
      <c r="G12" s="31" t="str">
        <f>IF(B12="","",VLOOKUP(B12,EQUIPOS!$B$7:$F$46,3,FALSE))</f>
        <v/>
      </c>
      <c r="H12" s="24" t="str">
        <f>IF(B12="","",VLOOKUP(B12,EQUIPOS!$B$7:$F$46,5,FALSE))</f>
        <v/>
      </c>
      <c r="I12" s="34"/>
      <c r="J12" s="24">
        <f t="shared" si="0"/>
        <v>0</v>
      </c>
    </row>
    <row r="13" spans="1:10" ht="15" customHeight="1" x14ac:dyDescent="0.25">
      <c r="A13" s="22"/>
      <c r="B13" s="760"/>
      <c r="C13" s="760"/>
      <c r="D13" s="760"/>
      <c r="E13" s="760"/>
      <c r="F13" s="760"/>
      <c r="G13" s="31" t="str">
        <f>IF(B13="","",VLOOKUP(B13,EQUIPOS!$B$7:$F$46,3,FALSE))</f>
        <v/>
      </c>
      <c r="H13" s="24" t="str">
        <f>IF(B13="","",VLOOKUP(B13,EQUIPOS!$B$7:$F$46,5,FALSE))</f>
        <v/>
      </c>
      <c r="I13" s="34"/>
      <c r="J13" s="24">
        <f t="shared" si="0"/>
        <v>0</v>
      </c>
    </row>
    <row r="14" spans="1:10" ht="15" customHeight="1" x14ac:dyDescent="0.25">
      <c r="A14" s="22"/>
      <c r="B14" s="760"/>
      <c r="C14" s="760"/>
      <c r="D14" s="760"/>
      <c r="E14" s="760"/>
      <c r="F14" s="760"/>
      <c r="G14" s="31" t="str">
        <f>IF(B14="","",VLOOKUP(B14,EQUIPOS!$B$7:$F$46,3,FALSE))</f>
        <v/>
      </c>
      <c r="H14" s="24" t="str">
        <f>IF(B14="","",VLOOKUP(B14,EQUIPOS!$B$7:$F$46,5,FALSE))</f>
        <v/>
      </c>
      <c r="I14" s="34"/>
      <c r="J14" s="24"/>
    </row>
    <row r="15" spans="1:10" ht="15" customHeight="1" x14ac:dyDescent="0.25">
      <c r="A15" s="22"/>
      <c r="B15" s="761" t="s">
        <v>31</v>
      </c>
      <c r="C15" s="761"/>
      <c r="D15" s="761"/>
      <c r="E15" s="761"/>
      <c r="F15" s="761"/>
      <c r="G15" s="761"/>
      <c r="H15" s="761"/>
      <c r="I15" s="761"/>
      <c r="J15" s="24">
        <f>SUM(J9:J14)</f>
        <v>447910</v>
      </c>
    </row>
    <row r="16" spans="1:10" ht="7.5" customHeight="1" x14ac:dyDescent="0.25">
      <c r="A16" s="22"/>
      <c r="B16" s="25"/>
      <c r="C16" s="25"/>
      <c r="D16" s="25"/>
      <c r="E16" s="25"/>
      <c r="F16" s="25"/>
      <c r="G16" s="25"/>
      <c r="H16" s="25"/>
      <c r="I16" s="25"/>
      <c r="J16" s="26"/>
    </row>
    <row r="17" spans="1:10" ht="15" customHeight="1" x14ac:dyDescent="0.25">
      <c r="A17" s="22"/>
      <c r="B17" s="761" t="s">
        <v>32</v>
      </c>
      <c r="C17" s="761"/>
      <c r="D17" s="761"/>
      <c r="E17" s="761"/>
      <c r="F17" s="761"/>
      <c r="G17" s="761"/>
      <c r="H17" s="761"/>
      <c r="I17" s="761"/>
      <c r="J17" s="761"/>
    </row>
    <row r="18" spans="1:10" ht="26.4" x14ac:dyDescent="0.25">
      <c r="A18" s="22"/>
      <c r="B18" s="763" t="s">
        <v>33</v>
      </c>
      <c r="C18" s="763"/>
      <c r="D18" s="763"/>
      <c r="E18" s="763"/>
      <c r="F18" s="28" t="s">
        <v>19</v>
      </c>
      <c r="G18" s="31" t="s">
        <v>34</v>
      </c>
      <c r="H18" s="32" t="s">
        <v>35</v>
      </c>
      <c r="I18" s="32" t="s">
        <v>36</v>
      </c>
      <c r="J18" s="32" t="s">
        <v>29</v>
      </c>
    </row>
    <row r="19" spans="1:10" x14ac:dyDescent="0.25">
      <c r="A19" s="22"/>
      <c r="B19" s="791" t="str">
        <f>+'PPTO HOJA'!B12</f>
        <v>Excavación manual en material común bajo cualquier grado de humedad</v>
      </c>
      <c r="C19" s="792"/>
      <c r="D19" s="792"/>
      <c r="E19" s="793"/>
      <c r="F19" s="180">
        <f>+PI()*0.7^2*1</f>
        <v>1.5393804002589984</v>
      </c>
      <c r="G19" s="206" t="s">
        <v>261</v>
      </c>
      <c r="H19" s="207"/>
      <c r="I19" s="280">
        <f>+'PPTO HOJA'!E12</f>
        <v>41268</v>
      </c>
      <c r="J19" s="24">
        <f>IF(I19="",0,ROUND((+F19*I19*(1+H19)),0))</f>
        <v>63527</v>
      </c>
    </row>
    <row r="20" spans="1:10" ht="14.25" customHeight="1" x14ac:dyDescent="0.25">
      <c r="A20" s="22"/>
      <c r="B20" s="791" t="s">
        <v>514</v>
      </c>
      <c r="C20" s="792"/>
      <c r="D20" s="792"/>
      <c r="E20" s="793"/>
      <c r="F20" s="180">
        <f>+PI()*(0.7^2-0.6^2)*1</f>
        <v>0.40840704496667296</v>
      </c>
      <c r="G20" s="31" t="str">
        <f>+'APU BÁSICOS'!J6</f>
        <v>m3</v>
      </c>
      <c r="H20" s="107">
        <v>0.1</v>
      </c>
      <c r="I20" s="24">
        <f>+'APU BÁSICOS'!J91</f>
        <v>1003196</v>
      </c>
      <c r="J20" s="24">
        <f>IF(I20="",0,ROUND((+F20*I20*(1+H20)),0))</f>
        <v>450684</v>
      </c>
    </row>
    <row r="21" spans="1:10" ht="15" customHeight="1" x14ac:dyDescent="0.25">
      <c r="A21" s="22"/>
      <c r="B21" s="764" t="s">
        <v>509</v>
      </c>
      <c r="C21" s="764"/>
      <c r="D21" s="764"/>
      <c r="E21" s="764"/>
      <c r="F21" s="34">
        <f>+(PI()*0.6^2*1)*0.7</f>
        <v>0.79168134870462781</v>
      </c>
      <c r="G21" s="31" t="str">
        <f>+'APU BÁSICOS'!J6</f>
        <v>m3</v>
      </c>
      <c r="H21" s="107">
        <v>0.1</v>
      </c>
      <c r="I21" s="24">
        <f>+'APU BÁSICOS'!J45</f>
        <v>1024596</v>
      </c>
      <c r="J21" s="24">
        <f t="shared" ref="J21:J25" si="1">IF(I21="",0,ROUND((+F21*I21*(1+H21)),0))</f>
        <v>892269</v>
      </c>
    </row>
    <row r="22" spans="1:10" ht="15" customHeight="1" x14ac:dyDescent="0.25">
      <c r="A22" s="22"/>
      <c r="B22" s="760" t="s">
        <v>265</v>
      </c>
      <c r="C22" s="760"/>
      <c r="D22" s="760"/>
      <c r="E22" s="760"/>
      <c r="F22" s="34">
        <f>+(PI()*0.6^2*1)*0.3</f>
        <v>0.33929200658769765</v>
      </c>
      <c r="G22" s="31" t="str">
        <f>IF(F22=0,"",VLOOKUP(B22,'LISTADO DE MATERIALES'!$B$6:$D$311,2,FALSE))</f>
        <v>m3</v>
      </c>
      <c r="H22" s="107">
        <v>0.1</v>
      </c>
      <c r="I22" s="24">
        <f>IF(F22=0,"",VLOOKUP(B22,'LISTADO DE MATERIALES'!$B$6:$D$311,3,FALSE))</f>
        <v>182390</v>
      </c>
      <c r="J22" s="24">
        <f t="shared" si="1"/>
        <v>68072</v>
      </c>
    </row>
    <row r="23" spans="1:10" ht="15" customHeight="1" x14ac:dyDescent="0.25">
      <c r="A23" s="22"/>
      <c r="B23" s="760" t="s">
        <v>250</v>
      </c>
      <c r="C23" s="760"/>
      <c r="D23" s="760"/>
      <c r="E23" s="760"/>
      <c r="F23" s="34">
        <f>+F66</f>
        <v>72.306780000000003</v>
      </c>
      <c r="G23" s="31" t="str">
        <f>IF(F23=0,"",VLOOKUP(B23,'LISTADO DE MATERIALES'!$B$6:$D$311,2,FALSE))</f>
        <v>Kg</v>
      </c>
      <c r="H23" s="107">
        <v>0.05</v>
      </c>
      <c r="I23" s="24">
        <f>IF(F23=0,"",VLOOKUP(B23,'LISTADO DE MATERIALES'!$B$6:$D$311,3,FALSE))</f>
        <v>6225</v>
      </c>
      <c r="J23" s="24">
        <f t="shared" si="1"/>
        <v>472615</v>
      </c>
    </row>
    <row r="24" spans="1:10" ht="15" customHeight="1" x14ac:dyDescent="0.25">
      <c r="A24" s="22"/>
      <c r="B24" s="760" t="s">
        <v>251</v>
      </c>
      <c r="C24" s="760"/>
      <c r="D24" s="760"/>
      <c r="E24" s="760"/>
      <c r="F24" s="34">
        <f>+F23*0.05</f>
        <v>3.6153390000000005</v>
      </c>
      <c r="G24" s="31" t="str">
        <f>IF(F24=0,"",VLOOKUP(B24,'LISTADO DE MATERIALES'!$B$6:$D$311,2,FALSE))</f>
        <v>Kg</v>
      </c>
      <c r="H24" s="107">
        <v>0.05</v>
      </c>
      <c r="I24" s="24">
        <f>IF(F24=0,"",VLOOKUP(B24,'LISTADO DE MATERIALES'!$B$6:$D$311,3,FALSE))</f>
        <v>12450</v>
      </c>
      <c r="J24" s="24">
        <f t="shared" si="1"/>
        <v>47262</v>
      </c>
    </row>
    <row r="25" spans="1:10" ht="27.6" customHeight="1" x14ac:dyDescent="0.25">
      <c r="A25" s="22"/>
      <c r="B25" s="764" t="s">
        <v>508</v>
      </c>
      <c r="C25" s="764"/>
      <c r="D25" s="764"/>
      <c r="E25" s="764"/>
      <c r="F25" s="34">
        <f>((2*PI()*0.6)/0.3)/3</f>
        <v>4.1887902047863905</v>
      </c>
      <c r="G25" s="31" t="str">
        <f>IF(F25=0,"",VLOOKUP(B25,'LISTADO DE MATERIALES'!$B$6:$D$311,2,FALSE))</f>
        <v>und</v>
      </c>
      <c r="H25" s="107">
        <v>0.05</v>
      </c>
      <c r="I25" s="24">
        <f>IF(F25=0,"",VLOOKUP(B25,'LISTADO DE MATERIALES'!$B$6:$D$311,3,FALSE))</f>
        <v>25000</v>
      </c>
      <c r="J25" s="24">
        <f t="shared" si="1"/>
        <v>109956</v>
      </c>
    </row>
    <row r="26" spans="1:10" ht="15" customHeight="1" x14ac:dyDescent="0.25">
      <c r="A26" s="22"/>
      <c r="B26" s="761" t="s">
        <v>37</v>
      </c>
      <c r="C26" s="761"/>
      <c r="D26" s="761"/>
      <c r="E26" s="761"/>
      <c r="F26" s="761"/>
      <c r="G26" s="761"/>
      <c r="H26" s="761"/>
      <c r="I26" s="761"/>
      <c r="J26" s="24">
        <f>SUM(J19:J25)</f>
        <v>2104385</v>
      </c>
    </row>
    <row r="27" spans="1:10" ht="7.5" customHeight="1" x14ac:dyDescent="0.25">
      <c r="A27" s="22"/>
      <c r="B27" s="25"/>
      <c r="C27" s="25"/>
      <c r="D27" s="25"/>
      <c r="E27" s="25"/>
      <c r="F27" s="25"/>
      <c r="G27" s="25"/>
      <c r="H27" s="25"/>
      <c r="I27" s="25"/>
      <c r="J27" s="26"/>
    </row>
    <row r="28" spans="1:10" ht="15" customHeight="1" x14ac:dyDescent="0.25">
      <c r="A28" s="22"/>
      <c r="B28" s="761" t="s">
        <v>38</v>
      </c>
      <c r="C28" s="761"/>
      <c r="D28" s="761"/>
      <c r="E28" s="761"/>
      <c r="F28" s="761"/>
      <c r="G28" s="761"/>
      <c r="H28" s="761"/>
      <c r="I28" s="761"/>
      <c r="J28" s="761"/>
    </row>
    <row r="29" spans="1:10" x14ac:dyDescent="0.25">
      <c r="A29" s="22"/>
      <c r="B29" s="763" t="s">
        <v>33</v>
      </c>
      <c r="C29" s="763"/>
      <c r="D29" s="763"/>
      <c r="E29" s="763"/>
      <c r="F29" s="763"/>
      <c r="G29" s="31" t="s">
        <v>133</v>
      </c>
      <c r="H29" s="31" t="s">
        <v>132</v>
      </c>
      <c r="I29" s="31" t="s">
        <v>39</v>
      </c>
      <c r="J29" s="32" t="s">
        <v>29</v>
      </c>
    </row>
    <row r="30" spans="1:10" ht="15" customHeight="1" x14ac:dyDescent="0.25">
      <c r="A30" s="22"/>
      <c r="B30" s="760" t="s">
        <v>510</v>
      </c>
      <c r="C30" s="760"/>
      <c r="D30" s="760"/>
      <c r="E30" s="760"/>
      <c r="F30" s="760"/>
      <c r="G30" s="34">
        <f>+F19*1.3</f>
        <v>2.0011945203366981</v>
      </c>
      <c r="H30" s="34">
        <f>+TRANSPORTE!B7</f>
        <v>10.5</v>
      </c>
      <c r="I30" s="319">
        <f>+TRANSPORTE!C7</f>
        <v>1667</v>
      </c>
      <c r="J30" s="24">
        <f>ROUND((I30*H30*G30),0)</f>
        <v>35028</v>
      </c>
    </row>
    <row r="31" spans="1:10" ht="15" customHeight="1" x14ac:dyDescent="0.25">
      <c r="A31" s="22"/>
      <c r="B31" s="760" t="s">
        <v>580</v>
      </c>
      <c r="C31" s="760"/>
      <c r="D31" s="760"/>
      <c r="E31" s="760"/>
      <c r="F31" s="760"/>
      <c r="G31" s="34">
        <f>+F22</f>
        <v>0.33929200658769765</v>
      </c>
      <c r="H31" s="34">
        <f>+TRANSPORTE!B6</f>
        <v>70</v>
      </c>
      <c r="I31" s="319">
        <f>+TRANSPORTE!C6</f>
        <v>1241.46</v>
      </c>
      <c r="J31" s="24">
        <f>ROUND((I31*H31*G31),0)</f>
        <v>29485</v>
      </c>
    </row>
    <row r="32" spans="1:10" ht="15" customHeight="1" x14ac:dyDescent="0.25">
      <c r="A32" s="22"/>
      <c r="B32" s="760"/>
      <c r="C32" s="760"/>
      <c r="D32" s="760"/>
      <c r="E32" s="760"/>
      <c r="F32" s="760"/>
      <c r="G32" s="31"/>
      <c r="H32" s="34"/>
      <c r="I32" s="24"/>
      <c r="J32" s="24">
        <v>0</v>
      </c>
    </row>
    <row r="33" spans="1:10" ht="15" customHeight="1" x14ac:dyDescent="0.25">
      <c r="A33" s="22"/>
      <c r="B33" s="760"/>
      <c r="C33" s="760"/>
      <c r="D33" s="760"/>
      <c r="E33" s="760"/>
      <c r="F33" s="760"/>
      <c r="G33" s="31"/>
      <c r="H33" s="31"/>
      <c r="I33" s="24"/>
      <c r="J33" s="24">
        <v>0</v>
      </c>
    </row>
    <row r="34" spans="1:10" ht="15" customHeight="1" x14ac:dyDescent="0.25">
      <c r="A34" s="22"/>
      <c r="B34" s="761" t="s">
        <v>40</v>
      </c>
      <c r="C34" s="761"/>
      <c r="D34" s="761"/>
      <c r="E34" s="761"/>
      <c r="F34" s="761"/>
      <c r="G34" s="761"/>
      <c r="H34" s="761"/>
      <c r="I34" s="761"/>
      <c r="J34" s="24">
        <f>SUM(J30:J33)</f>
        <v>64513</v>
      </c>
    </row>
    <row r="35" spans="1:10" ht="7.5" customHeight="1" x14ac:dyDescent="0.25">
      <c r="A35" s="22"/>
      <c r="B35" s="25"/>
      <c r="C35" s="25"/>
      <c r="D35" s="25"/>
      <c r="E35" s="25"/>
      <c r="F35" s="25"/>
      <c r="G35" s="25"/>
      <c r="H35" s="25"/>
      <c r="I35" s="25"/>
      <c r="J35" s="26"/>
    </row>
    <row r="36" spans="1:10" ht="15" customHeight="1" x14ac:dyDescent="0.25">
      <c r="A36" s="22"/>
      <c r="B36" s="761" t="s">
        <v>41</v>
      </c>
      <c r="C36" s="761"/>
      <c r="D36" s="761"/>
      <c r="E36" s="761"/>
      <c r="F36" s="761"/>
      <c r="G36" s="761"/>
      <c r="H36" s="761"/>
      <c r="I36" s="761"/>
      <c r="J36" s="761"/>
    </row>
    <row r="37" spans="1:10" ht="26.4" x14ac:dyDescent="0.25">
      <c r="A37" s="22"/>
      <c r="B37" s="763" t="s">
        <v>4</v>
      </c>
      <c r="C37" s="763"/>
      <c r="D37" s="763"/>
      <c r="E37" s="763"/>
      <c r="F37" s="763"/>
      <c r="G37" s="32" t="s">
        <v>51</v>
      </c>
      <c r="H37" s="32" t="s">
        <v>19</v>
      </c>
      <c r="I37" s="32" t="s">
        <v>28</v>
      </c>
      <c r="J37" s="32" t="s">
        <v>29</v>
      </c>
    </row>
    <row r="38" spans="1:10" ht="15" customHeight="1" x14ac:dyDescent="0.25">
      <c r="A38" s="22"/>
      <c r="B38" s="760" t="s">
        <v>68</v>
      </c>
      <c r="C38" s="760"/>
      <c r="D38" s="760"/>
      <c r="E38" s="760"/>
      <c r="F38" s="760"/>
      <c r="G38" s="24">
        <f>IF(B38="","",VLOOKUP(B38,CUADRILLAS!$B$87:$C$101,2,FALSE))</f>
        <v>235820.59999999998</v>
      </c>
      <c r="H38" s="31">
        <v>1</v>
      </c>
      <c r="I38" s="34">
        <f>1/2</f>
        <v>0.5</v>
      </c>
      <c r="J38" s="24">
        <f>ROUND(+IF(I38=0,0,G38*H38/I38),0)</f>
        <v>471641</v>
      </c>
    </row>
    <row r="39" spans="1:10" ht="15" customHeight="1" x14ac:dyDescent="0.25">
      <c r="A39" s="22"/>
      <c r="B39" s="760" t="s">
        <v>120</v>
      </c>
      <c r="C39" s="760"/>
      <c r="D39" s="760"/>
      <c r="E39" s="760"/>
      <c r="F39" s="760"/>
      <c r="G39" s="24">
        <f>IF(B39="","",VLOOKUP(B39,CUADRILLAS!$B$87:$C$101,2,FALSE))</f>
        <v>157213.73333333334</v>
      </c>
      <c r="H39" s="31">
        <v>2</v>
      </c>
      <c r="I39" s="34">
        <f>+I38</f>
        <v>0.5</v>
      </c>
      <c r="J39" s="24">
        <f>ROUND(+IF(I39=0,0,G39*H39/I39),0)</f>
        <v>628855</v>
      </c>
    </row>
    <row r="40" spans="1:10" ht="15" customHeight="1" x14ac:dyDescent="0.25">
      <c r="A40" s="22"/>
      <c r="B40" s="760" t="s">
        <v>121</v>
      </c>
      <c r="C40" s="760"/>
      <c r="D40" s="760"/>
      <c r="E40" s="760"/>
      <c r="F40" s="760"/>
      <c r="G40" s="24">
        <f>IF(B40="","",VLOOKUP(B40,CUADRILLAS!$B$87:$C$101,2,FALSE))</f>
        <v>78606.866666666669</v>
      </c>
      <c r="H40" s="31">
        <v>8</v>
      </c>
      <c r="I40" s="34">
        <f>+I39</f>
        <v>0.5</v>
      </c>
      <c r="J40" s="24">
        <f>ROUND(+IF(I40=0,0,G40*H40/I40),0)</f>
        <v>1257710</v>
      </c>
    </row>
    <row r="41" spans="1:10" ht="15" customHeight="1" x14ac:dyDescent="0.25">
      <c r="A41" s="22"/>
      <c r="B41" s="760"/>
      <c r="C41" s="760"/>
      <c r="D41" s="760"/>
      <c r="E41" s="760"/>
      <c r="F41" s="760"/>
      <c r="G41" s="24" t="str">
        <f>IF(B41="","",VLOOKUP(B41,CUADRILLAS!$B$87:$C$101,2,FALSE))</f>
        <v/>
      </c>
      <c r="H41" s="31"/>
      <c r="I41" s="34"/>
      <c r="J41" s="24">
        <f t="shared" ref="J41" si="2">+IF(I41=0,0,G41*H41/I41)</f>
        <v>0</v>
      </c>
    </row>
    <row r="42" spans="1:10" ht="15" customHeight="1" x14ac:dyDescent="0.25">
      <c r="A42" s="22"/>
      <c r="B42" s="761" t="s">
        <v>42</v>
      </c>
      <c r="C42" s="761"/>
      <c r="D42" s="761"/>
      <c r="E42" s="761"/>
      <c r="F42" s="761"/>
      <c r="G42" s="761"/>
      <c r="H42" s="761"/>
      <c r="I42" s="761"/>
      <c r="J42" s="24">
        <f>SUM(J38:J41)</f>
        <v>2358206</v>
      </c>
    </row>
    <row r="43" spans="1:10" ht="7.5" customHeight="1" x14ac:dyDescent="0.25">
      <c r="A43" s="22"/>
      <c r="B43" s="25"/>
      <c r="C43" s="25"/>
      <c r="D43" s="25"/>
      <c r="E43" s="25"/>
      <c r="F43" s="25"/>
      <c r="G43" s="25"/>
      <c r="H43" s="25"/>
      <c r="I43" s="25"/>
      <c r="J43" s="26"/>
    </row>
    <row r="44" spans="1:10" ht="15.75" customHeight="1" x14ac:dyDescent="0.25">
      <c r="A44" s="27"/>
      <c r="B44" s="762" t="s">
        <v>43</v>
      </c>
      <c r="C44" s="762"/>
      <c r="D44" s="762"/>
      <c r="E44" s="762"/>
      <c r="F44" s="762"/>
      <c r="G44" s="762"/>
      <c r="H44" s="762"/>
      <c r="I44" s="762"/>
      <c r="J44" s="106">
        <f>+J42+J34+J15+J26</f>
        <v>4975014</v>
      </c>
    </row>
    <row r="45" spans="1:10" x14ac:dyDescent="0.25">
      <c r="B45" s="21"/>
      <c r="C45" s="21"/>
      <c r="D45" s="21"/>
      <c r="E45" s="21"/>
      <c r="F45" s="21"/>
      <c r="G45" s="21"/>
      <c r="H45" s="21"/>
      <c r="I45" s="21"/>
      <c r="J45" s="21"/>
    </row>
    <row r="47" spans="1:10" x14ac:dyDescent="0.25">
      <c r="E47" s="801" t="s">
        <v>516</v>
      </c>
      <c r="F47" s="802"/>
      <c r="G47" s="802"/>
      <c r="H47" s="803"/>
    </row>
    <row r="48" spans="1:10" x14ac:dyDescent="0.25">
      <c r="E48" s="804" t="s">
        <v>515</v>
      </c>
      <c r="F48" s="805"/>
      <c r="G48" s="805"/>
      <c r="H48" s="806"/>
    </row>
    <row r="49" spans="5:9" x14ac:dyDescent="0.25">
      <c r="E49" s="296" t="s">
        <v>524</v>
      </c>
      <c r="H49" s="23"/>
    </row>
    <row r="50" spans="5:9" x14ac:dyDescent="0.25">
      <c r="E50" s="296" t="s">
        <v>518</v>
      </c>
      <c r="F50" s="279">
        <f>6*(1.05+0.42)</f>
        <v>8.82</v>
      </c>
      <c r="G50" s="20" t="s">
        <v>190</v>
      </c>
      <c r="H50" s="23"/>
    </row>
    <row r="51" spans="5:9" x14ac:dyDescent="0.25">
      <c r="E51" s="296" t="s">
        <v>519</v>
      </c>
      <c r="F51" s="279">
        <f>+F50*0.559</f>
        <v>4.9303800000000004</v>
      </c>
      <c r="G51" s="20" t="s">
        <v>181</v>
      </c>
      <c r="H51" s="23"/>
    </row>
    <row r="52" spans="5:9" x14ac:dyDescent="0.25">
      <c r="E52" s="22"/>
      <c r="H52" s="23"/>
    </row>
    <row r="53" spans="5:9" x14ac:dyDescent="0.25">
      <c r="E53" s="296" t="s">
        <v>520</v>
      </c>
      <c r="H53" s="23"/>
    </row>
    <row r="54" spans="5:9" x14ac:dyDescent="0.25">
      <c r="E54" s="296" t="s">
        <v>518</v>
      </c>
      <c r="F54" s="279">
        <f>3*5.2</f>
        <v>15.600000000000001</v>
      </c>
      <c r="G54" s="20" t="s">
        <v>190</v>
      </c>
      <c r="H54" s="23"/>
    </row>
    <row r="55" spans="5:9" x14ac:dyDescent="0.25">
      <c r="E55" s="297" t="s">
        <v>519</v>
      </c>
      <c r="F55" s="298">
        <f>+F54*0.559</f>
        <v>8.7204000000000015</v>
      </c>
      <c r="G55" s="299" t="s">
        <v>181</v>
      </c>
      <c r="H55" s="300"/>
    </row>
    <row r="57" spans="5:9" x14ac:dyDescent="0.25">
      <c r="E57" s="804" t="s">
        <v>521</v>
      </c>
      <c r="F57" s="805"/>
      <c r="G57" s="805"/>
      <c r="H57" s="806"/>
      <c r="I57" s="279"/>
    </row>
    <row r="58" spans="5:9" x14ac:dyDescent="0.25">
      <c r="E58" s="296" t="s">
        <v>525</v>
      </c>
      <c r="H58" s="23"/>
    </row>
    <row r="59" spans="5:9" x14ac:dyDescent="0.25">
      <c r="E59" s="296" t="s">
        <v>518</v>
      </c>
      <c r="F59" s="279">
        <f>20*1</f>
        <v>20</v>
      </c>
      <c r="G59" s="20" t="s">
        <v>190</v>
      </c>
      <c r="H59" s="23"/>
    </row>
    <row r="60" spans="5:9" x14ac:dyDescent="0.25">
      <c r="E60" s="296" t="s">
        <v>519</v>
      </c>
      <c r="F60" s="279">
        <f>+F59*2.237</f>
        <v>44.74</v>
      </c>
      <c r="G60" s="20" t="s">
        <v>181</v>
      </c>
      <c r="H60" s="23"/>
    </row>
    <row r="61" spans="5:9" x14ac:dyDescent="0.25">
      <c r="E61" s="22"/>
      <c r="H61" s="23"/>
    </row>
    <row r="62" spans="5:9" x14ac:dyDescent="0.25">
      <c r="E62" s="296" t="s">
        <v>527</v>
      </c>
      <c r="H62" s="23"/>
    </row>
    <row r="63" spans="5:9" x14ac:dyDescent="0.25">
      <c r="E63" s="296" t="s">
        <v>518</v>
      </c>
      <c r="F63" s="279">
        <f>4*3.5</f>
        <v>14</v>
      </c>
      <c r="G63" s="20" t="s">
        <v>190</v>
      </c>
      <c r="H63" s="23"/>
    </row>
    <row r="64" spans="5:9" x14ac:dyDescent="0.25">
      <c r="E64" s="297" t="s">
        <v>519</v>
      </c>
      <c r="F64" s="298">
        <f>+F63*0.994</f>
        <v>13.916</v>
      </c>
      <c r="G64" s="299" t="s">
        <v>181</v>
      </c>
      <c r="H64" s="300"/>
    </row>
    <row r="66" spans="5:7" x14ac:dyDescent="0.25">
      <c r="E66" s="301" t="s">
        <v>71</v>
      </c>
      <c r="F66" s="302">
        <f>+F64+F60+F55+F51</f>
        <v>72.306780000000003</v>
      </c>
      <c r="G66" s="303" t="s">
        <v>181</v>
      </c>
    </row>
  </sheetData>
  <mergeCells count="43">
    <mergeCell ref="E57:H57"/>
    <mergeCell ref="B41:F41"/>
    <mergeCell ref="B42:I42"/>
    <mergeCell ref="B44:I44"/>
    <mergeCell ref="B19:E19"/>
    <mergeCell ref="E47:H47"/>
    <mergeCell ref="E48:H48"/>
    <mergeCell ref="B34:I34"/>
    <mergeCell ref="B36:J36"/>
    <mergeCell ref="B37:F37"/>
    <mergeCell ref="B38:F38"/>
    <mergeCell ref="B39:F39"/>
    <mergeCell ref="B40:F40"/>
    <mergeCell ref="B28:J28"/>
    <mergeCell ref="B29:F29"/>
    <mergeCell ref="B30:F30"/>
    <mergeCell ref="B31:F31"/>
    <mergeCell ref="B32:F32"/>
    <mergeCell ref="B33:F33"/>
    <mergeCell ref="B21:E21"/>
    <mergeCell ref="B22:E22"/>
    <mergeCell ref="B23:E23"/>
    <mergeCell ref="B24:E24"/>
    <mergeCell ref="B25:E25"/>
    <mergeCell ref="B26:I26"/>
    <mergeCell ref="B20:E20"/>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13" display="'PPTO HOJA'!A13" xr:uid="{00000000-0004-0000-2E00-000000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2E00-000000000000}">
          <x14:formula1>
            <xm:f>CUADRILLAS!$B$86:$B$101</xm:f>
          </x14:formula1>
          <xm:sqref>B38:F41</xm:sqref>
        </x14:dataValidation>
      </x14:dataValidations>
    </ext>
  </extLs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theme="9" tint="0.59999389629810485"/>
  </sheetPr>
  <dimension ref="A1:J66"/>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9" style="20" bestFit="1" customWidth="1"/>
    <col min="11" max="16384" width="11.44140625" style="20"/>
  </cols>
  <sheetData>
    <row r="1" spans="1:10" x14ac:dyDescent="0.25">
      <c r="A1" s="765"/>
      <c r="B1" s="765"/>
      <c r="C1" s="765"/>
      <c r="D1" s="766" t="str">
        <f>'PPTO HOJA'!A4</f>
        <v>DEPARTAMENTO DE ANTIOQUIA</v>
      </c>
      <c r="E1" s="766"/>
      <c r="F1" s="766"/>
      <c r="G1" s="766"/>
      <c r="H1" s="766"/>
      <c r="I1" s="766"/>
      <c r="J1" s="766"/>
    </row>
    <row r="2" spans="1:10" x14ac:dyDescent="0.25">
      <c r="A2" s="765"/>
      <c r="B2" s="765"/>
      <c r="C2" s="765"/>
      <c r="D2" s="766" t="str">
        <f>'PPTO HOJA'!A5</f>
        <v>MUNICIPIO DE ARBOLETES</v>
      </c>
      <c r="E2" s="766"/>
      <c r="F2" s="766"/>
      <c r="G2" s="766"/>
      <c r="H2" s="766"/>
      <c r="I2" s="766"/>
      <c r="J2" s="766"/>
    </row>
    <row r="3" spans="1:10"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row>
    <row r="4" spans="1:10" x14ac:dyDescent="0.25">
      <c r="A4" s="765"/>
      <c r="B4" s="765"/>
      <c r="C4" s="765"/>
      <c r="D4" s="766" t="s">
        <v>20</v>
      </c>
      <c r="E4" s="766"/>
      <c r="F4" s="766"/>
      <c r="G4" s="766"/>
      <c r="H4" s="766"/>
      <c r="I4" s="766"/>
      <c r="J4" s="766"/>
    </row>
    <row r="5" spans="1:10" ht="9.75" customHeight="1" x14ac:dyDescent="0.25">
      <c r="A5" s="22"/>
      <c r="J5" s="23"/>
    </row>
    <row r="6" spans="1:10" s="21" customFormat="1" ht="33" customHeight="1" x14ac:dyDescent="0.3">
      <c r="A6" s="30" t="s">
        <v>361</v>
      </c>
      <c r="B6" s="29" t="s">
        <v>22</v>
      </c>
      <c r="C6" s="116">
        <f>'PPTO HOJA'!A62</f>
        <v>6.09</v>
      </c>
      <c r="D6" s="28"/>
      <c r="E6" s="764" t="str">
        <f>'PPTO HOJA'!B62</f>
        <v>Construcción de pilote tipo Casisson h = 7.00 &lt; 8.00 m, diámetro interno de 1.20 m, Incluye anillo en concreto reforzado  e=10 cm (diámetro total de 1.40 m). Incluye excavación varia en material común bajo cualquier grado de humedad, transporte y disposición final de los materiales y medido en su posición original.</v>
      </c>
      <c r="F6" s="764"/>
      <c r="G6" s="764"/>
      <c r="H6" s="764"/>
      <c r="I6" s="30" t="s">
        <v>23</v>
      </c>
      <c r="J6" s="31" t="str">
        <f>'PPTO HOJA'!C62</f>
        <v>m</v>
      </c>
    </row>
    <row r="7" spans="1:10" ht="15" customHeight="1" x14ac:dyDescent="0.25">
      <c r="A7" s="22"/>
      <c r="B7" s="761" t="s">
        <v>24</v>
      </c>
      <c r="C7" s="761"/>
      <c r="D7" s="761"/>
      <c r="E7" s="761"/>
      <c r="F7" s="761"/>
      <c r="G7" s="761"/>
      <c r="H7" s="761"/>
      <c r="I7" s="761"/>
      <c r="J7" s="761"/>
    </row>
    <row r="8" spans="1:10" x14ac:dyDescent="0.25">
      <c r="A8" s="22"/>
      <c r="B8" s="763" t="s">
        <v>25</v>
      </c>
      <c r="C8" s="763"/>
      <c r="D8" s="763"/>
      <c r="E8" s="763"/>
      <c r="F8" s="763"/>
      <c r="G8" s="31" t="s">
        <v>26</v>
      </c>
      <c r="H8" s="31" t="s">
        <v>27</v>
      </c>
      <c r="I8" s="31" t="s">
        <v>28</v>
      </c>
      <c r="J8" s="32" t="s">
        <v>29</v>
      </c>
    </row>
    <row r="9" spans="1:10" ht="15" customHeight="1" x14ac:dyDescent="0.25">
      <c r="A9" s="22"/>
      <c r="B9" s="760" t="s">
        <v>30</v>
      </c>
      <c r="C9" s="760"/>
      <c r="D9" s="760"/>
      <c r="E9" s="760"/>
      <c r="F9" s="760"/>
      <c r="G9" s="31"/>
      <c r="H9" s="24"/>
      <c r="I9" s="33">
        <v>0.05</v>
      </c>
      <c r="J9" s="24">
        <f>ROUND(I9*J42,0)</f>
        <v>147388</v>
      </c>
    </row>
    <row r="10" spans="1:10" ht="15" customHeight="1" x14ac:dyDescent="0.25">
      <c r="A10" s="22"/>
      <c r="B10" s="764" t="s">
        <v>362</v>
      </c>
      <c r="C10" s="764"/>
      <c r="D10" s="764"/>
      <c r="E10" s="764"/>
      <c r="F10" s="764"/>
      <c r="G10" s="31" t="str">
        <f>IF(B10="","",VLOOKUP(B10,EQUIPOS!$B$7:$F$46,3,FALSE))</f>
        <v>Brist-stat</v>
      </c>
      <c r="H10" s="24">
        <f>IF(B10="","",VLOOKUP(B10,EQUIPOS!$B$7:$F$46,5,FALSE))</f>
        <v>80000</v>
      </c>
      <c r="I10" s="34">
        <f>+I11</f>
        <v>0.4</v>
      </c>
      <c r="J10" s="24">
        <f>IF(B10="",0,ROUND(H10/I10,0))</f>
        <v>200000</v>
      </c>
    </row>
    <row r="11" spans="1:10" ht="15" customHeight="1" x14ac:dyDescent="0.25">
      <c r="A11" s="22"/>
      <c r="B11" s="760" t="s">
        <v>107</v>
      </c>
      <c r="C11" s="760"/>
      <c r="D11" s="760"/>
      <c r="E11" s="760"/>
      <c r="F11" s="760"/>
      <c r="G11" s="31" t="str">
        <f>IF(B11="","",VLOOKUP(B11,EQUIPOS!$B$7:$F$46,3,FALSE))</f>
        <v>Gasolina</v>
      </c>
      <c r="H11" s="24">
        <f>IF(B11="","",VLOOKUP(B11,EQUIPOS!$B$7:$F$46,5,FALSE))</f>
        <v>85000</v>
      </c>
      <c r="I11" s="34">
        <f>+I38</f>
        <v>0.4</v>
      </c>
      <c r="J11" s="24">
        <f t="shared" ref="J11:J13" si="0">IF(B11="",0,ROUND(H11/I11,0))</f>
        <v>212500</v>
      </c>
    </row>
    <row r="12" spans="1:10" ht="15" customHeight="1" x14ac:dyDescent="0.25">
      <c r="A12" s="22"/>
      <c r="B12" s="760"/>
      <c r="C12" s="760"/>
      <c r="D12" s="760"/>
      <c r="E12" s="760"/>
      <c r="F12" s="760"/>
      <c r="G12" s="31" t="str">
        <f>IF(B12="","",VLOOKUP(B12,EQUIPOS!$B$7:$F$46,3,FALSE))</f>
        <v/>
      </c>
      <c r="H12" s="24" t="str">
        <f>IF(B12="","",VLOOKUP(B12,EQUIPOS!$B$7:$F$46,5,FALSE))</f>
        <v/>
      </c>
      <c r="I12" s="34"/>
      <c r="J12" s="24">
        <f t="shared" si="0"/>
        <v>0</v>
      </c>
    </row>
    <row r="13" spans="1:10" ht="15" customHeight="1" x14ac:dyDescent="0.25">
      <c r="A13" s="22"/>
      <c r="B13" s="760"/>
      <c r="C13" s="760"/>
      <c r="D13" s="760"/>
      <c r="E13" s="760"/>
      <c r="F13" s="760"/>
      <c r="G13" s="31" t="str">
        <f>IF(B13="","",VLOOKUP(B13,EQUIPOS!$B$7:$F$46,3,FALSE))</f>
        <v/>
      </c>
      <c r="H13" s="24" t="str">
        <f>IF(B13="","",VLOOKUP(B13,EQUIPOS!$B$7:$F$46,5,FALSE))</f>
        <v/>
      </c>
      <c r="I13" s="34"/>
      <c r="J13" s="24">
        <f t="shared" si="0"/>
        <v>0</v>
      </c>
    </row>
    <row r="14" spans="1:10" ht="15" customHeight="1" x14ac:dyDescent="0.25">
      <c r="A14" s="22"/>
      <c r="B14" s="760"/>
      <c r="C14" s="760"/>
      <c r="D14" s="760"/>
      <c r="E14" s="760"/>
      <c r="F14" s="760"/>
      <c r="G14" s="31" t="str">
        <f>IF(B14="","",VLOOKUP(B14,EQUIPOS!$B$7:$F$46,3,FALSE))</f>
        <v/>
      </c>
      <c r="H14" s="24" t="str">
        <f>IF(B14="","",VLOOKUP(B14,EQUIPOS!$B$7:$F$46,5,FALSE))</f>
        <v/>
      </c>
      <c r="I14" s="34"/>
      <c r="J14" s="24"/>
    </row>
    <row r="15" spans="1:10" ht="15" customHeight="1" x14ac:dyDescent="0.25">
      <c r="A15" s="22"/>
      <c r="B15" s="761" t="s">
        <v>31</v>
      </c>
      <c r="C15" s="761"/>
      <c r="D15" s="761"/>
      <c r="E15" s="761"/>
      <c r="F15" s="761"/>
      <c r="G15" s="761"/>
      <c r="H15" s="761"/>
      <c r="I15" s="761"/>
      <c r="J15" s="24">
        <f>SUM(J9:J14)</f>
        <v>559888</v>
      </c>
    </row>
    <row r="16" spans="1:10" ht="7.5" customHeight="1" x14ac:dyDescent="0.25">
      <c r="A16" s="22"/>
      <c r="B16" s="25"/>
      <c r="C16" s="25"/>
      <c r="D16" s="25"/>
      <c r="E16" s="25"/>
      <c r="F16" s="25"/>
      <c r="G16" s="25"/>
      <c r="H16" s="25"/>
      <c r="I16" s="25"/>
      <c r="J16" s="26"/>
    </row>
    <row r="17" spans="1:10" ht="15" customHeight="1" x14ac:dyDescent="0.25">
      <c r="A17" s="22"/>
      <c r="B17" s="761" t="s">
        <v>32</v>
      </c>
      <c r="C17" s="761"/>
      <c r="D17" s="761"/>
      <c r="E17" s="761"/>
      <c r="F17" s="761"/>
      <c r="G17" s="761"/>
      <c r="H17" s="761"/>
      <c r="I17" s="761"/>
      <c r="J17" s="761"/>
    </row>
    <row r="18" spans="1:10" ht="26.4" x14ac:dyDescent="0.25">
      <c r="A18" s="22"/>
      <c r="B18" s="763" t="s">
        <v>33</v>
      </c>
      <c r="C18" s="763"/>
      <c r="D18" s="763"/>
      <c r="E18" s="763"/>
      <c r="F18" s="28" t="s">
        <v>19</v>
      </c>
      <c r="G18" s="31" t="s">
        <v>34</v>
      </c>
      <c r="H18" s="32" t="s">
        <v>35</v>
      </c>
      <c r="I18" s="32" t="s">
        <v>36</v>
      </c>
      <c r="J18" s="32" t="s">
        <v>29</v>
      </c>
    </row>
    <row r="19" spans="1:10" x14ac:dyDescent="0.25">
      <c r="A19" s="22"/>
      <c r="B19" s="791" t="str">
        <f>+'PPTO HOJA'!B12</f>
        <v>Excavación manual en material común bajo cualquier grado de humedad</v>
      </c>
      <c r="C19" s="792"/>
      <c r="D19" s="792"/>
      <c r="E19" s="793"/>
      <c r="F19" s="180">
        <f>+PI()*0.7^2*1</f>
        <v>1.5393804002589984</v>
      </c>
      <c r="G19" s="206" t="s">
        <v>261</v>
      </c>
      <c r="H19" s="207"/>
      <c r="I19" s="280">
        <f>+'PPTO HOJA'!E12</f>
        <v>41268</v>
      </c>
      <c r="J19" s="24">
        <f>IF(I19="",0,ROUND((+F19*I19*(1+H19)),0))</f>
        <v>63527</v>
      </c>
    </row>
    <row r="20" spans="1:10" ht="14.25" customHeight="1" x14ac:dyDescent="0.25">
      <c r="A20" s="22"/>
      <c r="B20" s="791" t="s">
        <v>514</v>
      </c>
      <c r="C20" s="792"/>
      <c r="D20" s="792"/>
      <c r="E20" s="793"/>
      <c r="F20" s="180">
        <f>+PI()*(0.7^2-0.6^2)*1</f>
        <v>0.40840704496667296</v>
      </c>
      <c r="G20" s="31" t="str">
        <f>+'APU BÁSICOS'!J6</f>
        <v>m3</v>
      </c>
      <c r="H20" s="107">
        <v>0.1</v>
      </c>
      <c r="I20" s="24">
        <f>+'APU BÁSICOS'!J91</f>
        <v>1003196</v>
      </c>
      <c r="J20" s="24">
        <f>IF(I20="",0,ROUND((+F20*I20*(1+H20)),0))</f>
        <v>450684</v>
      </c>
    </row>
    <row r="21" spans="1:10" ht="15" customHeight="1" x14ac:dyDescent="0.25">
      <c r="A21" s="22"/>
      <c r="B21" s="764" t="s">
        <v>509</v>
      </c>
      <c r="C21" s="764"/>
      <c r="D21" s="764"/>
      <c r="E21" s="764"/>
      <c r="F21" s="34">
        <f>+(PI()*0.6^2*1)*0.7</f>
        <v>0.79168134870462781</v>
      </c>
      <c r="G21" s="31" t="str">
        <f>+'APU BÁSICOS'!J6</f>
        <v>m3</v>
      </c>
      <c r="H21" s="107">
        <v>0.1</v>
      </c>
      <c r="I21" s="24">
        <f>+'APU BÁSICOS'!J45</f>
        <v>1024596</v>
      </c>
      <c r="J21" s="24">
        <f t="shared" ref="J21:J25" si="1">IF(I21="",0,ROUND((+F21*I21*(1+H21)),0))</f>
        <v>892269</v>
      </c>
    </row>
    <row r="22" spans="1:10" ht="15" customHeight="1" x14ac:dyDescent="0.25">
      <c r="A22" s="22"/>
      <c r="B22" s="760" t="s">
        <v>265</v>
      </c>
      <c r="C22" s="760"/>
      <c r="D22" s="760"/>
      <c r="E22" s="760"/>
      <c r="F22" s="34">
        <f>+(PI()*0.6^2*1)*0.3</f>
        <v>0.33929200658769765</v>
      </c>
      <c r="G22" s="31" t="str">
        <f>IF(F22=0,"",VLOOKUP(B22,'LISTADO DE MATERIALES'!$B$6:$D$311,2,FALSE))</f>
        <v>m3</v>
      </c>
      <c r="H22" s="107">
        <v>0.1</v>
      </c>
      <c r="I22" s="24">
        <f>IF(F22=0,"",VLOOKUP(B22,'LISTADO DE MATERIALES'!$B$6:$D$311,3,FALSE))</f>
        <v>182390</v>
      </c>
      <c r="J22" s="24">
        <f t="shared" si="1"/>
        <v>68072</v>
      </c>
    </row>
    <row r="23" spans="1:10" ht="15" customHeight="1" x14ac:dyDescent="0.25">
      <c r="A23" s="22"/>
      <c r="B23" s="760" t="s">
        <v>250</v>
      </c>
      <c r="C23" s="760"/>
      <c r="D23" s="760"/>
      <c r="E23" s="760"/>
      <c r="F23" s="34">
        <f>+F66</f>
        <v>90.202780000000004</v>
      </c>
      <c r="G23" s="31" t="str">
        <f>IF(F23=0,"",VLOOKUP(B23,'LISTADO DE MATERIALES'!$B$6:$D$311,2,FALSE))</f>
        <v>Kg</v>
      </c>
      <c r="H23" s="107">
        <v>0.05</v>
      </c>
      <c r="I23" s="24">
        <f>IF(F23=0,"",VLOOKUP(B23,'LISTADO DE MATERIALES'!$B$6:$D$311,3,FALSE))</f>
        <v>6225</v>
      </c>
      <c r="J23" s="24">
        <f t="shared" si="1"/>
        <v>589588</v>
      </c>
    </row>
    <row r="24" spans="1:10" ht="15" customHeight="1" x14ac:dyDescent="0.25">
      <c r="A24" s="22"/>
      <c r="B24" s="760" t="s">
        <v>251</v>
      </c>
      <c r="C24" s="760"/>
      <c r="D24" s="760"/>
      <c r="E24" s="760"/>
      <c r="F24" s="34">
        <f>+F23*0.05</f>
        <v>4.5101390000000006</v>
      </c>
      <c r="G24" s="31" t="str">
        <f>IF(F24=0,"",VLOOKUP(B24,'LISTADO DE MATERIALES'!$B$6:$D$311,2,FALSE))</f>
        <v>Kg</v>
      </c>
      <c r="H24" s="107">
        <v>0.05</v>
      </c>
      <c r="I24" s="24">
        <f>IF(F24=0,"",VLOOKUP(B24,'LISTADO DE MATERIALES'!$B$6:$D$311,3,FALSE))</f>
        <v>12450</v>
      </c>
      <c r="J24" s="24">
        <f t="shared" si="1"/>
        <v>58959</v>
      </c>
    </row>
    <row r="25" spans="1:10" ht="27.6" customHeight="1" x14ac:dyDescent="0.25">
      <c r="A25" s="22"/>
      <c r="B25" s="764" t="s">
        <v>508</v>
      </c>
      <c r="C25" s="764"/>
      <c r="D25" s="764"/>
      <c r="E25" s="764"/>
      <c r="F25" s="34">
        <f>((2*PI()*0.6)/0.3)/3</f>
        <v>4.1887902047863905</v>
      </c>
      <c r="G25" s="31" t="str">
        <f>IF(F25=0,"",VLOOKUP(B25,'LISTADO DE MATERIALES'!$B$6:$D$311,2,FALSE))</f>
        <v>und</v>
      </c>
      <c r="H25" s="107">
        <v>0.05</v>
      </c>
      <c r="I25" s="24">
        <f>IF(F25=0,"",VLOOKUP(B25,'LISTADO DE MATERIALES'!$B$6:$D$311,3,FALSE))</f>
        <v>25000</v>
      </c>
      <c r="J25" s="24">
        <f t="shared" si="1"/>
        <v>109956</v>
      </c>
    </row>
    <row r="26" spans="1:10" ht="15" customHeight="1" x14ac:dyDescent="0.25">
      <c r="A26" s="22"/>
      <c r="B26" s="761" t="s">
        <v>37</v>
      </c>
      <c r="C26" s="761"/>
      <c r="D26" s="761"/>
      <c r="E26" s="761"/>
      <c r="F26" s="761"/>
      <c r="G26" s="761"/>
      <c r="H26" s="761"/>
      <c r="I26" s="761"/>
      <c r="J26" s="24">
        <f>SUM(J19:J25)</f>
        <v>2233055</v>
      </c>
    </row>
    <row r="27" spans="1:10" ht="7.5" customHeight="1" x14ac:dyDescent="0.25">
      <c r="A27" s="22"/>
      <c r="B27" s="25"/>
      <c r="C27" s="25"/>
      <c r="D27" s="25"/>
      <c r="E27" s="25"/>
      <c r="F27" s="25"/>
      <c r="G27" s="25"/>
      <c r="H27" s="25"/>
      <c r="I27" s="25"/>
      <c r="J27" s="26"/>
    </row>
    <row r="28" spans="1:10" ht="15" customHeight="1" x14ac:dyDescent="0.25">
      <c r="A28" s="22"/>
      <c r="B28" s="761" t="s">
        <v>38</v>
      </c>
      <c r="C28" s="761"/>
      <c r="D28" s="761"/>
      <c r="E28" s="761"/>
      <c r="F28" s="761"/>
      <c r="G28" s="761"/>
      <c r="H28" s="761"/>
      <c r="I28" s="761"/>
      <c r="J28" s="761"/>
    </row>
    <row r="29" spans="1:10" x14ac:dyDescent="0.25">
      <c r="A29" s="22"/>
      <c r="B29" s="763" t="s">
        <v>33</v>
      </c>
      <c r="C29" s="763"/>
      <c r="D29" s="763"/>
      <c r="E29" s="763"/>
      <c r="F29" s="763"/>
      <c r="G29" s="31" t="s">
        <v>133</v>
      </c>
      <c r="H29" s="31" t="s">
        <v>132</v>
      </c>
      <c r="I29" s="31" t="s">
        <v>39</v>
      </c>
      <c r="J29" s="32" t="s">
        <v>29</v>
      </c>
    </row>
    <row r="30" spans="1:10" ht="15" customHeight="1" x14ac:dyDescent="0.25">
      <c r="A30" s="22"/>
      <c r="B30" s="760" t="s">
        <v>510</v>
      </c>
      <c r="C30" s="760"/>
      <c r="D30" s="760"/>
      <c r="E30" s="760"/>
      <c r="F30" s="760"/>
      <c r="G30" s="34">
        <f>+F19*1.3</f>
        <v>2.0011945203366981</v>
      </c>
      <c r="H30" s="34">
        <f>+TRANSPORTE!B7</f>
        <v>10.5</v>
      </c>
      <c r="I30" s="319">
        <f>+TRANSPORTE!C7</f>
        <v>1667</v>
      </c>
      <c r="J30" s="24">
        <f>ROUND((I30*H30*G30),0)</f>
        <v>35028</v>
      </c>
    </row>
    <row r="31" spans="1:10" ht="15" customHeight="1" x14ac:dyDescent="0.25">
      <c r="A31" s="22"/>
      <c r="B31" s="760" t="s">
        <v>580</v>
      </c>
      <c r="C31" s="760"/>
      <c r="D31" s="760"/>
      <c r="E31" s="760"/>
      <c r="F31" s="760"/>
      <c r="G31" s="34">
        <f>+F22</f>
        <v>0.33929200658769765</v>
      </c>
      <c r="H31" s="34">
        <f>+TRANSPORTE!B6</f>
        <v>70</v>
      </c>
      <c r="I31" s="319">
        <f>+TRANSPORTE!C6</f>
        <v>1241.46</v>
      </c>
      <c r="J31" s="24">
        <f>ROUND((I31*H31*G31),0)</f>
        <v>29485</v>
      </c>
    </row>
    <row r="32" spans="1:10" ht="15" customHeight="1" x14ac:dyDescent="0.25">
      <c r="A32" s="22"/>
      <c r="B32" s="760"/>
      <c r="C32" s="760"/>
      <c r="D32" s="760"/>
      <c r="E32" s="760"/>
      <c r="F32" s="760"/>
      <c r="G32" s="31"/>
      <c r="H32" s="34"/>
      <c r="I32" s="24"/>
      <c r="J32" s="24">
        <v>0</v>
      </c>
    </row>
    <row r="33" spans="1:10" ht="15" customHeight="1" x14ac:dyDescent="0.25">
      <c r="A33" s="22"/>
      <c r="B33" s="760"/>
      <c r="C33" s="760"/>
      <c r="D33" s="760"/>
      <c r="E33" s="760"/>
      <c r="F33" s="760"/>
      <c r="G33" s="31"/>
      <c r="H33" s="31"/>
      <c r="I33" s="24"/>
      <c r="J33" s="24">
        <v>0</v>
      </c>
    </row>
    <row r="34" spans="1:10" ht="15" customHeight="1" x14ac:dyDescent="0.25">
      <c r="A34" s="22"/>
      <c r="B34" s="761" t="s">
        <v>40</v>
      </c>
      <c r="C34" s="761"/>
      <c r="D34" s="761"/>
      <c r="E34" s="761"/>
      <c r="F34" s="761"/>
      <c r="G34" s="761"/>
      <c r="H34" s="761"/>
      <c r="I34" s="761"/>
      <c r="J34" s="24">
        <f>SUM(J30:J33)</f>
        <v>64513</v>
      </c>
    </row>
    <row r="35" spans="1:10" ht="7.5" customHeight="1" x14ac:dyDescent="0.25">
      <c r="A35" s="22"/>
      <c r="B35" s="25"/>
      <c r="C35" s="25"/>
      <c r="D35" s="25"/>
      <c r="E35" s="25"/>
      <c r="F35" s="25"/>
      <c r="G35" s="25"/>
      <c r="H35" s="25"/>
      <c r="I35" s="25"/>
      <c r="J35" s="26"/>
    </row>
    <row r="36" spans="1:10" ht="15" customHeight="1" x14ac:dyDescent="0.25">
      <c r="A36" s="22"/>
      <c r="B36" s="761" t="s">
        <v>41</v>
      </c>
      <c r="C36" s="761"/>
      <c r="D36" s="761"/>
      <c r="E36" s="761"/>
      <c r="F36" s="761"/>
      <c r="G36" s="761"/>
      <c r="H36" s="761"/>
      <c r="I36" s="761"/>
      <c r="J36" s="761"/>
    </row>
    <row r="37" spans="1:10" ht="26.4" x14ac:dyDescent="0.25">
      <c r="A37" s="22"/>
      <c r="B37" s="763" t="s">
        <v>4</v>
      </c>
      <c r="C37" s="763"/>
      <c r="D37" s="763"/>
      <c r="E37" s="763"/>
      <c r="F37" s="763"/>
      <c r="G37" s="32" t="s">
        <v>51</v>
      </c>
      <c r="H37" s="32" t="s">
        <v>19</v>
      </c>
      <c r="I37" s="32" t="s">
        <v>28</v>
      </c>
      <c r="J37" s="32" t="s">
        <v>29</v>
      </c>
    </row>
    <row r="38" spans="1:10" ht="15" customHeight="1" x14ac:dyDescent="0.25">
      <c r="A38" s="22"/>
      <c r="B38" s="760" t="s">
        <v>68</v>
      </c>
      <c r="C38" s="760"/>
      <c r="D38" s="760"/>
      <c r="E38" s="760"/>
      <c r="F38" s="760"/>
      <c r="G38" s="24">
        <f>IF(B38="","",VLOOKUP(B38,CUADRILLAS!$B$87:$C$101,2,FALSE))</f>
        <v>235820.59999999998</v>
      </c>
      <c r="H38" s="31">
        <v>1</v>
      </c>
      <c r="I38" s="34">
        <f>1/2.5</f>
        <v>0.4</v>
      </c>
      <c r="J38" s="24">
        <f>ROUND(+IF(I38=0,0,G38*H38/I38),0)</f>
        <v>589552</v>
      </c>
    </row>
    <row r="39" spans="1:10" ht="15" customHeight="1" x14ac:dyDescent="0.25">
      <c r="A39" s="22"/>
      <c r="B39" s="760" t="s">
        <v>120</v>
      </c>
      <c r="C39" s="760"/>
      <c r="D39" s="760"/>
      <c r="E39" s="760"/>
      <c r="F39" s="760"/>
      <c r="G39" s="24">
        <f>IF(B39="","",VLOOKUP(B39,CUADRILLAS!$B$87:$C$101,2,FALSE))</f>
        <v>157213.73333333334</v>
      </c>
      <c r="H39" s="31">
        <v>2</v>
      </c>
      <c r="I39" s="34">
        <f>+I38</f>
        <v>0.4</v>
      </c>
      <c r="J39" s="24">
        <f>ROUND(+IF(I39=0,0,G39*H39/I39),0)</f>
        <v>786069</v>
      </c>
    </row>
    <row r="40" spans="1:10" ht="15" customHeight="1" x14ac:dyDescent="0.25">
      <c r="A40" s="22"/>
      <c r="B40" s="760" t="s">
        <v>121</v>
      </c>
      <c r="C40" s="760"/>
      <c r="D40" s="760"/>
      <c r="E40" s="760"/>
      <c r="F40" s="760"/>
      <c r="G40" s="24">
        <f>IF(B40="","",VLOOKUP(B40,CUADRILLAS!$B$87:$C$101,2,FALSE))</f>
        <v>78606.866666666669</v>
      </c>
      <c r="H40" s="31">
        <v>8</v>
      </c>
      <c r="I40" s="34">
        <f>+I39</f>
        <v>0.4</v>
      </c>
      <c r="J40" s="24">
        <f>ROUND(+IF(I40=0,0,G40*H40/I40),0)</f>
        <v>1572137</v>
      </c>
    </row>
    <row r="41" spans="1:10" ht="15" customHeight="1" x14ac:dyDescent="0.25">
      <c r="A41" s="22"/>
      <c r="B41" s="760"/>
      <c r="C41" s="760"/>
      <c r="D41" s="760"/>
      <c r="E41" s="760"/>
      <c r="F41" s="760"/>
      <c r="G41" s="24" t="str">
        <f>IF(B41="","",VLOOKUP(B41,CUADRILLAS!$B$87:$C$101,2,FALSE))</f>
        <v/>
      </c>
      <c r="H41" s="31"/>
      <c r="I41" s="34"/>
      <c r="J41" s="24">
        <f t="shared" ref="J41" si="2">+IF(I41=0,0,G41*H41/I41)</f>
        <v>0</v>
      </c>
    </row>
    <row r="42" spans="1:10" ht="15" customHeight="1" x14ac:dyDescent="0.25">
      <c r="A42" s="22"/>
      <c r="B42" s="761" t="s">
        <v>42</v>
      </c>
      <c r="C42" s="761"/>
      <c r="D42" s="761"/>
      <c r="E42" s="761"/>
      <c r="F42" s="761"/>
      <c r="G42" s="761"/>
      <c r="H42" s="761"/>
      <c r="I42" s="761"/>
      <c r="J42" s="24">
        <f>SUM(J38:J41)</f>
        <v>2947758</v>
      </c>
    </row>
    <row r="43" spans="1:10" ht="7.5" customHeight="1" x14ac:dyDescent="0.25">
      <c r="A43" s="22"/>
      <c r="B43" s="25"/>
      <c r="C43" s="25"/>
      <c r="D43" s="25"/>
      <c r="E43" s="25"/>
      <c r="F43" s="25"/>
      <c r="G43" s="25"/>
      <c r="H43" s="25"/>
      <c r="I43" s="25"/>
      <c r="J43" s="26"/>
    </row>
    <row r="44" spans="1:10" ht="15.75" customHeight="1" x14ac:dyDescent="0.25">
      <c r="A44" s="27"/>
      <c r="B44" s="762" t="s">
        <v>43</v>
      </c>
      <c r="C44" s="762"/>
      <c r="D44" s="762"/>
      <c r="E44" s="762"/>
      <c r="F44" s="762"/>
      <c r="G44" s="762"/>
      <c r="H44" s="762"/>
      <c r="I44" s="762"/>
      <c r="J44" s="106">
        <f>+J42+J34+J15+J26</f>
        <v>5805214</v>
      </c>
    </row>
    <row r="45" spans="1:10" x14ac:dyDescent="0.25">
      <c r="B45" s="21"/>
      <c r="C45" s="21"/>
      <c r="D45" s="21"/>
      <c r="E45" s="21"/>
      <c r="F45" s="21"/>
      <c r="G45" s="21"/>
      <c r="H45" s="21"/>
      <c r="I45" s="21"/>
      <c r="J45" s="21"/>
    </row>
    <row r="47" spans="1:10" x14ac:dyDescent="0.25">
      <c r="E47" s="801" t="s">
        <v>516</v>
      </c>
      <c r="F47" s="802"/>
      <c r="G47" s="802"/>
      <c r="H47" s="803"/>
    </row>
    <row r="48" spans="1:10" x14ac:dyDescent="0.25">
      <c r="E48" s="804" t="s">
        <v>515</v>
      </c>
      <c r="F48" s="805"/>
      <c r="G48" s="805"/>
      <c r="H48" s="806"/>
    </row>
    <row r="49" spans="5:9" x14ac:dyDescent="0.25">
      <c r="E49" s="296" t="s">
        <v>524</v>
      </c>
      <c r="H49" s="23"/>
    </row>
    <row r="50" spans="5:9" x14ac:dyDescent="0.25">
      <c r="E50" s="296" t="s">
        <v>518</v>
      </c>
      <c r="F50" s="279">
        <f>6*(1.05+0.42)</f>
        <v>8.82</v>
      </c>
      <c r="G50" s="20" t="s">
        <v>190</v>
      </c>
      <c r="H50" s="23"/>
    </row>
    <row r="51" spans="5:9" x14ac:dyDescent="0.25">
      <c r="E51" s="296" t="s">
        <v>519</v>
      </c>
      <c r="F51" s="279">
        <f>+F50*0.559</f>
        <v>4.9303800000000004</v>
      </c>
      <c r="G51" s="20" t="s">
        <v>181</v>
      </c>
      <c r="H51" s="23"/>
    </row>
    <row r="52" spans="5:9" x14ac:dyDescent="0.25">
      <c r="E52" s="22"/>
      <c r="H52" s="23"/>
    </row>
    <row r="53" spans="5:9" x14ac:dyDescent="0.25">
      <c r="E53" s="296" t="s">
        <v>520</v>
      </c>
      <c r="H53" s="23"/>
    </row>
    <row r="54" spans="5:9" x14ac:dyDescent="0.25">
      <c r="E54" s="296" t="s">
        <v>518</v>
      </c>
      <c r="F54" s="279">
        <f>3*5.2</f>
        <v>15.600000000000001</v>
      </c>
      <c r="G54" s="20" t="s">
        <v>190</v>
      </c>
      <c r="H54" s="23"/>
    </row>
    <row r="55" spans="5:9" x14ac:dyDescent="0.25">
      <c r="E55" s="297" t="s">
        <v>519</v>
      </c>
      <c r="F55" s="298">
        <f>+F54*0.559</f>
        <v>8.7204000000000015</v>
      </c>
      <c r="G55" s="299" t="s">
        <v>181</v>
      </c>
      <c r="H55" s="300"/>
    </row>
    <row r="57" spans="5:9" x14ac:dyDescent="0.25">
      <c r="E57" s="804" t="s">
        <v>521</v>
      </c>
      <c r="F57" s="805"/>
      <c r="G57" s="805"/>
      <c r="H57" s="806"/>
      <c r="I57" s="279"/>
    </row>
    <row r="58" spans="5:9" x14ac:dyDescent="0.25">
      <c r="E58" s="296" t="s">
        <v>528</v>
      </c>
      <c r="H58" s="23"/>
    </row>
    <row r="59" spans="5:9" x14ac:dyDescent="0.25">
      <c r="E59" s="296" t="s">
        <v>518</v>
      </c>
      <c r="F59" s="279">
        <f>20*1.4</f>
        <v>28</v>
      </c>
      <c r="G59" s="20" t="s">
        <v>190</v>
      </c>
      <c r="H59" s="23"/>
    </row>
    <row r="60" spans="5:9" x14ac:dyDescent="0.25">
      <c r="E60" s="296" t="s">
        <v>519</v>
      </c>
      <c r="F60" s="279">
        <f>+F59*2.237</f>
        <v>62.636000000000003</v>
      </c>
      <c r="G60" s="20" t="s">
        <v>181</v>
      </c>
      <c r="H60" s="23"/>
    </row>
    <row r="61" spans="5:9" x14ac:dyDescent="0.25">
      <c r="E61" s="22"/>
      <c r="H61" s="23"/>
    </row>
    <row r="62" spans="5:9" x14ac:dyDescent="0.25">
      <c r="E62" s="296" t="s">
        <v>527</v>
      </c>
      <c r="H62" s="23"/>
    </row>
    <row r="63" spans="5:9" x14ac:dyDescent="0.25">
      <c r="E63" s="296" t="s">
        <v>518</v>
      </c>
      <c r="F63" s="279">
        <f>4*3.5</f>
        <v>14</v>
      </c>
      <c r="G63" s="20" t="s">
        <v>190</v>
      </c>
      <c r="H63" s="23"/>
    </row>
    <row r="64" spans="5:9" x14ac:dyDescent="0.25">
      <c r="E64" s="297" t="s">
        <v>519</v>
      </c>
      <c r="F64" s="298">
        <f>+F63*0.994</f>
        <v>13.916</v>
      </c>
      <c r="G64" s="299" t="s">
        <v>181</v>
      </c>
      <c r="H64" s="300"/>
    </row>
    <row r="66" spans="5:7" x14ac:dyDescent="0.25">
      <c r="E66" s="301" t="s">
        <v>71</v>
      </c>
      <c r="F66" s="302">
        <f>+F64+F60+F55+F51</f>
        <v>90.202780000000004</v>
      </c>
      <c r="G66" s="303" t="s">
        <v>181</v>
      </c>
    </row>
  </sheetData>
  <mergeCells count="43">
    <mergeCell ref="E57:H57"/>
    <mergeCell ref="B41:F41"/>
    <mergeCell ref="B42:I42"/>
    <mergeCell ref="B44:I44"/>
    <mergeCell ref="B19:E19"/>
    <mergeCell ref="E47:H47"/>
    <mergeCell ref="E48:H48"/>
    <mergeCell ref="B34:I34"/>
    <mergeCell ref="B36:J36"/>
    <mergeCell ref="B37:F37"/>
    <mergeCell ref="B38:F38"/>
    <mergeCell ref="B39:F39"/>
    <mergeCell ref="B40:F40"/>
    <mergeCell ref="B28:J28"/>
    <mergeCell ref="B29:F29"/>
    <mergeCell ref="B30:F30"/>
    <mergeCell ref="B31:F31"/>
    <mergeCell ref="B32:F32"/>
    <mergeCell ref="B33:F33"/>
    <mergeCell ref="B21:E21"/>
    <mergeCell ref="B22:E22"/>
    <mergeCell ref="B23:E23"/>
    <mergeCell ref="B24:E24"/>
    <mergeCell ref="B25:E25"/>
    <mergeCell ref="B26:I26"/>
    <mergeCell ref="B20:E20"/>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13" display="'PPTO HOJA'!A13" xr:uid="{00000000-0004-0000-2F00-000000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2F00-000000000000}">
          <x14:formula1>
            <xm:f>CUADRILLAS!$B$86:$B$101</xm:f>
          </x14:formula1>
          <xm:sqref>B38:F41</xm:sqref>
        </x14:dataValidation>
      </x14:dataValidations>
    </ext>
  </extLst>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59999389629810485"/>
  </sheetPr>
  <dimension ref="A1:U50"/>
  <sheetViews>
    <sheetView topLeftCell="C1"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8" width="14.33203125" style="20" customWidth="1"/>
    <col min="9" max="9" width="14.6640625" style="20" bestFit="1" customWidth="1"/>
    <col min="10" max="10" width="17.109375" style="20" bestFit="1" customWidth="1"/>
    <col min="11" max="11" width="5.6640625" style="20" customWidth="1"/>
    <col min="12" max="13" width="11.44140625" style="20"/>
    <col min="14" max="14" width="11.5546875" style="20" bestFit="1" customWidth="1"/>
    <col min="15" max="16" width="11.44140625" style="20"/>
    <col min="17" max="17" width="11.5546875" style="20" bestFit="1" customWidth="1"/>
    <col min="18" max="19" width="12.6640625" style="20" bestFit="1" customWidth="1"/>
    <col min="20" max="20" width="14.33203125" style="20" customWidth="1"/>
    <col min="21" max="21" width="17.5546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65.400000000000006"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361</v>
      </c>
      <c r="B6" s="29" t="s">
        <v>22</v>
      </c>
      <c r="C6" s="116">
        <f>'PPTO HOJA'!A63</f>
        <v>6.1</v>
      </c>
      <c r="D6" s="28"/>
      <c r="E6" s="764" t="str">
        <f>'PPTO HOJA'!B63</f>
        <v>Mortero 1:4 para adherencia de zapata con cimentación</v>
      </c>
      <c r="F6" s="764"/>
      <c r="G6" s="764"/>
      <c r="H6" s="764"/>
      <c r="I6" s="30" t="s">
        <v>23</v>
      </c>
      <c r="J6" s="31" t="str">
        <f>'PPTO HOJA'!C63</f>
        <v>m3</v>
      </c>
      <c r="L6" s="30" t="str">
        <f>A6</f>
        <v>VI</v>
      </c>
      <c r="M6" s="29" t="s">
        <v>22</v>
      </c>
      <c r="N6" s="238">
        <f>C6</f>
        <v>6.1</v>
      </c>
      <c r="O6" s="28"/>
      <c r="P6" s="764" t="str">
        <f>E6</f>
        <v>Mortero 1:4 para adherencia de zapata con cimentación</v>
      </c>
      <c r="Q6" s="764"/>
      <c r="R6" s="764"/>
      <c r="S6" s="764"/>
      <c r="T6" s="30" t="s">
        <v>23</v>
      </c>
      <c r="U6" s="31" t="str">
        <f>J6</f>
        <v>m3</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4913</v>
      </c>
      <c r="L9" s="22"/>
      <c r="M9" s="771" t="s">
        <v>30</v>
      </c>
      <c r="N9" s="771"/>
      <c r="O9" s="771"/>
      <c r="P9" s="771"/>
      <c r="Q9" s="771"/>
      <c r="R9" s="206"/>
      <c r="S9" s="181"/>
      <c r="T9" s="208">
        <v>0.05</v>
      </c>
      <c r="U9" s="181">
        <f>ROUND(T9*U41,0)</f>
        <v>1965</v>
      </c>
    </row>
    <row r="10" spans="1:21" ht="15" customHeight="1" x14ac:dyDescent="0.25">
      <c r="A10" s="22"/>
      <c r="B10" s="794"/>
      <c r="C10" s="795"/>
      <c r="D10" s="795"/>
      <c r="E10" s="795"/>
      <c r="F10" s="796"/>
      <c r="G10" s="31"/>
      <c r="H10" s="24"/>
      <c r="I10" s="34"/>
      <c r="J10" s="24">
        <f>IF(B10="",0,ROUND(H10/I10,0))</f>
        <v>0</v>
      </c>
      <c r="L10" s="22"/>
      <c r="M10" s="798" t="s">
        <v>260</v>
      </c>
      <c r="N10" s="799"/>
      <c r="O10" s="799"/>
      <c r="P10" s="799"/>
      <c r="Q10" s="800"/>
      <c r="R10" s="214" t="s">
        <v>108</v>
      </c>
      <c r="S10" s="212">
        <v>116000</v>
      </c>
      <c r="T10" s="211">
        <f>+T37*5</f>
        <v>40</v>
      </c>
      <c r="U10" s="212">
        <f>IF(M10="",0,ROUND(S10/T10,0))</f>
        <v>2900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3" si="0">IF(B11="",0,ROUND(H11/I11,0))</f>
        <v>0</v>
      </c>
      <c r="L11" s="22"/>
      <c r="M11" s="771"/>
      <c r="N11" s="771"/>
      <c r="O11" s="771"/>
      <c r="P11" s="771"/>
      <c r="Q11" s="771"/>
      <c r="R11" s="206" t="s">
        <v>501</v>
      </c>
      <c r="S11" s="181" t="s">
        <v>501</v>
      </c>
      <c r="T11" s="180"/>
      <c r="U11" s="181">
        <f t="shared" ref="U11:U13"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4913</v>
      </c>
      <c r="L15" s="22"/>
      <c r="M15" s="772" t="s">
        <v>31</v>
      </c>
      <c r="N15" s="772"/>
      <c r="O15" s="772"/>
      <c r="P15" s="772"/>
      <c r="Q15" s="772"/>
      <c r="R15" s="772"/>
      <c r="S15" s="772"/>
      <c r="T15" s="772"/>
      <c r="U15" s="181">
        <f>SUM(U9:U14)</f>
        <v>4865</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1"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1" ht="14.25" customHeight="1" x14ac:dyDescent="0.25">
      <c r="A19" s="22"/>
      <c r="B19" s="764" t="s">
        <v>263</v>
      </c>
      <c r="C19" s="764"/>
      <c r="D19" s="764"/>
      <c r="E19" s="764"/>
      <c r="F19" s="34">
        <v>1</v>
      </c>
      <c r="G19" s="31" t="str">
        <f>+'APU BÁSICOS'!J232</f>
        <v>m3</v>
      </c>
      <c r="H19" s="107">
        <v>0.1</v>
      </c>
      <c r="I19" s="24">
        <f>+'APU BÁSICOS'!J269</f>
        <v>718979</v>
      </c>
      <c r="J19" s="24">
        <f t="shared" ref="J19:J24" si="2">IF(I19="",0,ROUND((+F19*I19*(1+H19)),0))</f>
        <v>790877</v>
      </c>
      <c r="L19" s="22"/>
      <c r="M19" s="778" t="s">
        <v>147</v>
      </c>
      <c r="N19" s="778"/>
      <c r="O19" s="778"/>
      <c r="P19" s="778"/>
      <c r="Q19" s="211">
        <v>190</v>
      </c>
      <c r="R19" s="214" t="s">
        <v>148</v>
      </c>
      <c r="S19" s="272"/>
      <c r="T19" s="212">
        <v>105</v>
      </c>
      <c r="U19" s="212">
        <f>IF(T19="",0,ROUND((+Q19*T19*(1+S19)),0))</f>
        <v>19950</v>
      </c>
    </row>
    <row r="20" spans="1:21" ht="15" customHeight="1" x14ac:dyDescent="0.25">
      <c r="A20" s="22"/>
      <c r="B20" s="760"/>
      <c r="C20" s="760"/>
      <c r="D20" s="760"/>
      <c r="E20" s="760"/>
      <c r="F20" s="34"/>
      <c r="G20" s="31"/>
      <c r="H20" s="107"/>
      <c r="I20" s="24"/>
      <c r="J20" s="24">
        <f t="shared" si="2"/>
        <v>0</v>
      </c>
      <c r="L20" s="22"/>
      <c r="M20" s="789" t="s">
        <v>264</v>
      </c>
      <c r="N20" s="789"/>
      <c r="O20" s="789"/>
      <c r="P20" s="789"/>
      <c r="Q20" s="211">
        <v>1.1599999999999999</v>
      </c>
      <c r="R20" s="214" t="s">
        <v>261</v>
      </c>
      <c r="S20" s="272"/>
      <c r="T20" s="212">
        <v>89250</v>
      </c>
      <c r="U20" s="212">
        <f t="shared" ref="U20:U24" si="3">IF(T20="",0,ROUND((+Q20*T20*(1+S20)),0))</f>
        <v>103530</v>
      </c>
    </row>
    <row r="21" spans="1:21" ht="15" customHeight="1" x14ac:dyDescent="0.25">
      <c r="A21" s="22"/>
      <c r="B21" s="760"/>
      <c r="C21" s="760"/>
      <c r="D21" s="760"/>
      <c r="E21" s="760"/>
      <c r="F21" s="34"/>
      <c r="G21" s="31"/>
      <c r="H21" s="107"/>
      <c r="I21" s="24"/>
      <c r="J21" s="24">
        <f t="shared" si="2"/>
        <v>0</v>
      </c>
      <c r="L21" s="22"/>
      <c r="M21" s="789" t="s">
        <v>435</v>
      </c>
      <c r="N21" s="789"/>
      <c r="O21" s="789"/>
      <c r="P21" s="789"/>
      <c r="Q21" s="211">
        <v>364</v>
      </c>
      <c r="R21" s="214" t="s">
        <v>49</v>
      </c>
      <c r="S21" s="272"/>
      <c r="T21" s="212">
        <v>977.2</v>
      </c>
      <c r="U21" s="212">
        <f t="shared" si="3"/>
        <v>355701</v>
      </c>
    </row>
    <row r="22" spans="1:21" ht="15" customHeight="1" x14ac:dyDescent="0.25">
      <c r="A22" s="22"/>
      <c r="B22" s="760"/>
      <c r="C22" s="760"/>
      <c r="D22" s="760"/>
      <c r="E22" s="760"/>
      <c r="F22" s="34"/>
      <c r="G22" s="31" t="str">
        <f>IF(F22=0,"",VLOOKUP(B22,'LISTADO DE MATERIALES'!$B$6:$D$311,2,FALSE))</f>
        <v/>
      </c>
      <c r="H22" s="107"/>
      <c r="I22" s="24" t="str">
        <f>IF(F22=0,"",VLOOKUP(B22,'LISTADO DE MATERIALES'!$B$6:$D$311,3,FALSE))</f>
        <v/>
      </c>
      <c r="J22" s="24">
        <f t="shared" si="2"/>
        <v>0</v>
      </c>
      <c r="L22" s="22"/>
      <c r="M22" s="771" t="s">
        <v>497</v>
      </c>
      <c r="N22" s="771"/>
      <c r="O22" s="771"/>
      <c r="P22" s="771"/>
      <c r="Q22" s="180" t="s">
        <v>498</v>
      </c>
      <c r="R22" s="206" t="s">
        <v>261</v>
      </c>
      <c r="S22" s="209">
        <v>0.05</v>
      </c>
      <c r="T22" s="181"/>
      <c r="U22" s="181">
        <f t="shared" si="3"/>
        <v>0</v>
      </c>
    </row>
    <row r="23" spans="1:21"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1"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1" ht="15" customHeight="1" x14ac:dyDescent="0.25">
      <c r="A25" s="22"/>
      <c r="B25" s="761" t="s">
        <v>37</v>
      </c>
      <c r="C25" s="761"/>
      <c r="D25" s="761"/>
      <c r="E25" s="761"/>
      <c r="F25" s="761"/>
      <c r="G25" s="761"/>
      <c r="H25" s="761"/>
      <c r="I25" s="761"/>
      <c r="J25" s="24">
        <f>SUM(J19:J24)</f>
        <v>790877</v>
      </c>
      <c r="L25" s="22"/>
      <c r="M25" s="772" t="s">
        <v>37</v>
      </c>
      <c r="N25" s="772"/>
      <c r="O25" s="772"/>
      <c r="P25" s="772"/>
      <c r="Q25" s="772"/>
      <c r="R25" s="772"/>
      <c r="S25" s="772"/>
      <c r="T25" s="772"/>
      <c r="U25" s="181">
        <f>SUM(U19:U24)</f>
        <v>479181</v>
      </c>
    </row>
    <row r="26" spans="1:21" ht="7.5" customHeight="1" x14ac:dyDescent="0.25">
      <c r="A26" s="22"/>
      <c r="B26" s="25"/>
      <c r="C26" s="25"/>
      <c r="D26" s="25"/>
      <c r="E26" s="25"/>
      <c r="F26" s="25"/>
      <c r="G26" s="25"/>
      <c r="H26" s="25"/>
      <c r="I26" s="25"/>
      <c r="J26" s="26"/>
      <c r="L26" s="22"/>
      <c r="M26" s="25"/>
      <c r="N26" s="25"/>
      <c r="O26" s="25"/>
      <c r="P26" s="25"/>
      <c r="Q26" s="25"/>
      <c r="R26" s="25"/>
      <c r="S26" s="25"/>
      <c r="T26" s="25"/>
      <c r="U26" s="26"/>
    </row>
    <row r="27" spans="1:21" ht="15" customHeight="1" x14ac:dyDescent="0.25">
      <c r="A27" s="22"/>
      <c r="B27" s="761" t="s">
        <v>38</v>
      </c>
      <c r="C27" s="761"/>
      <c r="D27" s="761"/>
      <c r="E27" s="761"/>
      <c r="F27" s="761"/>
      <c r="G27" s="761"/>
      <c r="H27" s="761"/>
      <c r="I27" s="761"/>
      <c r="J27" s="761"/>
      <c r="L27" s="22"/>
      <c r="M27" s="772" t="s">
        <v>38</v>
      </c>
      <c r="N27" s="772"/>
      <c r="O27" s="772"/>
      <c r="P27" s="772"/>
      <c r="Q27" s="772"/>
      <c r="R27" s="772"/>
      <c r="S27" s="772"/>
      <c r="T27" s="772"/>
      <c r="U27" s="772"/>
    </row>
    <row r="28" spans="1:21" x14ac:dyDescent="0.25">
      <c r="A28" s="22"/>
      <c r="B28" s="763" t="s">
        <v>33</v>
      </c>
      <c r="C28" s="763"/>
      <c r="D28" s="763"/>
      <c r="E28" s="763"/>
      <c r="F28" s="763"/>
      <c r="G28" s="31" t="s">
        <v>133</v>
      </c>
      <c r="H28" s="31" t="s">
        <v>132</v>
      </c>
      <c r="I28" s="31" t="s">
        <v>39</v>
      </c>
      <c r="J28" s="32" t="s">
        <v>29</v>
      </c>
      <c r="L28" s="22"/>
      <c r="M28" s="774" t="s">
        <v>33</v>
      </c>
      <c r="N28" s="774"/>
      <c r="O28" s="774"/>
      <c r="P28" s="774"/>
      <c r="Q28" s="774"/>
      <c r="R28" s="206" t="s">
        <v>133</v>
      </c>
      <c r="S28" s="206" t="s">
        <v>132</v>
      </c>
      <c r="T28" s="206" t="s">
        <v>39</v>
      </c>
      <c r="U28" s="207" t="s">
        <v>29</v>
      </c>
    </row>
    <row r="29" spans="1:21" ht="15" customHeight="1" x14ac:dyDescent="0.25">
      <c r="A29" s="22"/>
      <c r="B29" s="760"/>
      <c r="C29" s="760"/>
      <c r="D29" s="760"/>
      <c r="E29" s="760"/>
      <c r="F29" s="760"/>
      <c r="G29" s="34"/>
      <c r="H29" s="34"/>
      <c r="I29" s="24"/>
      <c r="J29" s="24">
        <f>ROUND((I29*H29*G29),0)</f>
        <v>0</v>
      </c>
      <c r="L29" s="22"/>
      <c r="M29" s="789" t="s">
        <v>262</v>
      </c>
      <c r="N29" s="789"/>
      <c r="O29" s="789"/>
      <c r="P29" s="789"/>
      <c r="Q29" s="789"/>
      <c r="R29" s="211">
        <f>+Q20</f>
        <v>1.1599999999999999</v>
      </c>
      <c r="S29" s="211">
        <v>60</v>
      </c>
      <c r="T29" s="212">
        <v>1241.46</v>
      </c>
      <c r="U29" s="212">
        <f>ROUND((T29*S29*R29),0)</f>
        <v>86406</v>
      </c>
    </row>
    <row r="30" spans="1:21"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1" ht="15" customHeight="1" x14ac:dyDescent="0.25">
      <c r="A31" s="22"/>
      <c r="B31" s="760"/>
      <c r="C31" s="760"/>
      <c r="D31" s="760"/>
      <c r="E31" s="760"/>
      <c r="F31" s="760"/>
      <c r="G31" s="31"/>
      <c r="H31" s="34"/>
      <c r="I31" s="24"/>
      <c r="J31" s="24">
        <v>0</v>
      </c>
      <c r="L31" s="22"/>
      <c r="M31" s="771"/>
      <c r="N31" s="771"/>
      <c r="O31" s="771"/>
      <c r="P31" s="771"/>
      <c r="Q31" s="771"/>
      <c r="R31" s="206"/>
      <c r="S31" s="180"/>
      <c r="T31" s="181"/>
      <c r="U31" s="181">
        <v>0</v>
      </c>
    </row>
    <row r="32" spans="1:21" ht="15" customHeight="1" x14ac:dyDescent="0.25">
      <c r="A32" s="22"/>
      <c r="B32" s="760"/>
      <c r="C32" s="760"/>
      <c r="D32" s="760"/>
      <c r="E32" s="760"/>
      <c r="F32" s="760"/>
      <c r="G32" s="31"/>
      <c r="H32" s="31"/>
      <c r="I32" s="24"/>
      <c r="J32" s="24">
        <v>0</v>
      </c>
      <c r="L32" s="22"/>
      <c r="M32" s="771"/>
      <c r="N32" s="771"/>
      <c r="O32" s="771"/>
      <c r="P32" s="771"/>
      <c r="Q32" s="771"/>
      <c r="R32" s="206"/>
      <c r="S32" s="206"/>
      <c r="T32" s="181"/>
      <c r="U32" s="181">
        <v>0</v>
      </c>
    </row>
    <row r="33" spans="1:21" ht="15" customHeight="1" x14ac:dyDescent="0.25">
      <c r="A33" s="22"/>
      <c r="B33" s="761" t="s">
        <v>40</v>
      </c>
      <c r="C33" s="761"/>
      <c r="D33" s="761"/>
      <c r="E33" s="761"/>
      <c r="F33" s="761"/>
      <c r="G33" s="761"/>
      <c r="H33" s="761"/>
      <c r="I33" s="761"/>
      <c r="J33" s="24">
        <f>SUM(J29:J32)</f>
        <v>0</v>
      </c>
      <c r="L33" s="22"/>
      <c r="M33" s="772" t="s">
        <v>40</v>
      </c>
      <c r="N33" s="772"/>
      <c r="O33" s="772"/>
      <c r="P33" s="772"/>
      <c r="Q33" s="772"/>
      <c r="R33" s="772"/>
      <c r="S33" s="772"/>
      <c r="T33" s="772"/>
      <c r="U33" s="181">
        <f>SUM(U29:U32)</f>
        <v>86406</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61" t="s">
        <v>41</v>
      </c>
      <c r="C35" s="761"/>
      <c r="D35" s="761"/>
      <c r="E35" s="761"/>
      <c r="F35" s="761"/>
      <c r="G35" s="761"/>
      <c r="H35" s="761"/>
      <c r="I35" s="761"/>
      <c r="J35" s="761"/>
      <c r="L35" s="22"/>
      <c r="M35" s="772" t="s">
        <v>41</v>
      </c>
      <c r="N35" s="772"/>
      <c r="O35" s="772"/>
      <c r="P35" s="772"/>
      <c r="Q35" s="772"/>
      <c r="R35" s="772"/>
      <c r="S35" s="772"/>
      <c r="T35" s="772"/>
      <c r="U35" s="772"/>
    </row>
    <row r="36" spans="1:21" ht="39.6" x14ac:dyDescent="0.25">
      <c r="A36" s="22"/>
      <c r="B36" s="763" t="s">
        <v>4</v>
      </c>
      <c r="C36" s="763"/>
      <c r="D36" s="763"/>
      <c r="E36" s="763"/>
      <c r="F36" s="763"/>
      <c r="G36" s="32" t="s">
        <v>51</v>
      </c>
      <c r="H36" s="32" t="s">
        <v>19</v>
      </c>
      <c r="I36" s="32" t="s">
        <v>28</v>
      </c>
      <c r="J36" s="32" t="s">
        <v>29</v>
      </c>
      <c r="L36" s="22"/>
      <c r="M36" s="774" t="s">
        <v>4</v>
      </c>
      <c r="N36" s="774"/>
      <c r="O36" s="774"/>
      <c r="P36" s="774"/>
      <c r="Q36" s="774"/>
      <c r="R36" s="207" t="s">
        <v>51</v>
      </c>
      <c r="S36" s="207" t="s">
        <v>19</v>
      </c>
      <c r="T36" s="207" t="s">
        <v>28</v>
      </c>
      <c r="U36" s="207" t="s">
        <v>29</v>
      </c>
    </row>
    <row r="37" spans="1:21" ht="15" customHeight="1" x14ac:dyDescent="0.25">
      <c r="A37" s="22"/>
      <c r="B37" s="760" t="s">
        <v>120</v>
      </c>
      <c r="C37" s="760"/>
      <c r="D37" s="760"/>
      <c r="E37" s="760"/>
      <c r="F37" s="760"/>
      <c r="G37" s="24">
        <f>IF(B37="","",VLOOKUP(B37,CUADRILLAS!$B$87:$C$101,2,FALSE))</f>
        <v>157213.73333333334</v>
      </c>
      <c r="H37" s="31">
        <v>1</v>
      </c>
      <c r="I37" s="34">
        <v>4</v>
      </c>
      <c r="J37" s="24">
        <f>ROUND(+IF(I37=0,0,G37*H37/I37),0)</f>
        <v>39303</v>
      </c>
      <c r="L37" s="22"/>
      <c r="M37" s="771" t="s">
        <v>120</v>
      </c>
      <c r="N37" s="771"/>
      <c r="O37" s="771"/>
      <c r="P37" s="771"/>
      <c r="Q37" s="771"/>
      <c r="R37" s="181">
        <v>157213.73333333334</v>
      </c>
      <c r="S37" s="206">
        <v>1</v>
      </c>
      <c r="T37" s="180">
        <v>8</v>
      </c>
      <c r="U37" s="181">
        <f>ROUND(+IF(T37=0,0,R37*S37/T37),0)</f>
        <v>19652</v>
      </c>
    </row>
    <row r="38" spans="1:21" ht="15" customHeight="1" x14ac:dyDescent="0.25">
      <c r="A38" s="22"/>
      <c r="B38" s="760" t="s">
        <v>121</v>
      </c>
      <c r="C38" s="760"/>
      <c r="D38" s="760"/>
      <c r="E38" s="760"/>
      <c r="F38" s="760"/>
      <c r="G38" s="24">
        <f>IF(B38="","",VLOOKUP(B38,CUADRILLAS!$B$87:$C$101,2,FALSE))</f>
        <v>78606.866666666669</v>
      </c>
      <c r="H38" s="31">
        <v>3</v>
      </c>
      <c r="I38" s="34">
        <f>+I37</f>
        <v>4</v>
      </c>
      <c r="J38" s="24">
        <f>ROUND(+IF(I38=0,0,G38*H38/I38),0)</f>
        <v>58955</v>
      </c>
      <c r="L38" s="22"/>
      <c r="M38" s="771" t="s">
        <v>121</v>
      </c>
      <c r="N38" s="771"/>
      <c r="O38" s="771"/>
      <c r="P38" s="771"/>
      <c r="Q38" s="771"/>
      <c r="R38" s="181">
        <v>78606.866666666669</v>
      </c>
      <c r="S38" s="214">
        <v>2</v>
      </c>
      <c r="T38" s="180">
        <f>+T37</f>
        <v>8</v>
      </c>
      <c r="U38" s="181">
        <f>ROUND(+IF(T38=0,0,R38*S38/T38),0)</f>
        <v>19652</v>
      </c>
    </row>
    <row r="39" spans="1:21" ht="15" customHeight="1" x14ac:dyDescent="0.25">
      <c r="A39" s="22"/>
      <c r="B39" s="760"/>
      <c r="C39" s="760"/>
      <c r="D39" s="760"/>
      <c r="E39" s="760"/>
      <c r="F39" s="760"/>
      <c r="G39" s="24" t="str">
        <f>IF(B39="","",VLOOKUP(B39,CUADRILLAS!$B$87:$C$101,2,FALSE))</f>
        <v/>
      </c>
      <c r="H39" s="31"/>
      <c r="I39" s="34"/>
      <c r="J39" s="24">
        <f t="shared" ref="J39:J40" si="4">+IF(I39=0,0,G39*H39/I39)</f>
        <v>0</v>
      </c>
      <c r="L39" s="22"/>
      <c r="M39" s="771"/>
      <c r="N39" s="771"/>
      <c r="O39" s="771"/>
      <c r="P39" s="771"/>
      <c r="Q39" s="771"/>
      <c r="R39" s="181" t="s">
        <v>501</v>
      </c>
      <c r="S39" s="206"/>
      <c r="T39" s="180"/>
      <c r="U39" s="181">
        <f t="shared" ref="U39:U40" si="5">+IF(T39=0,0,R39*S39/T39)</f>
        <v>0</v>
      </c>
    </row>
    <row r="40" spans="1:21" ht="15" customHeight="1" x14ac:dyDescent="0.25">
      <c r="A40" s="22"/>
      <c r="B40" s="760"/>
      <c r="C40" s="760"/>
      <c r="D40" s="760"/>
      <c r="E40" s="760"/>
      <c r="F40" s="760"/>
      <c r="G40" s="24" t="str">
        <f>IF(B40="","",VLOOKUP(B40,CUADRILLAS!$B$87:$C$101,2,FALSE))</f>
        <v/>
      </c>
      <c r="H40" s="31"/>
      <c r="I40" s="34"/>
      <c r="J40" s="24">
        <f t="shared" si="4"/>
        <v>0</v>
      </c>
      <c r="L40" s="22"/>
      <c r="M40" s="771"/>
      <c r="N40" s="771"/>
      <c r="O40" s="771"/>
      <c r="P40" s="771"/>
      <c r="Q40" s="771"/>
      <c r="R40" s="181" t="s">
        <v>501</v>
      </c>
      <c r="S40" s="206"/>
      <c r="T40" s="180"/>
      <c r="U40" s="181">
        <f t="shared" si="5"/>
        <v>0</v>
      </c>
    </row>
    <row r="41" spans="1:21" ht="15" customHeight="1" x14ac:dyDescent="0.25">
      <c r="A41" s="22"/>
      <c r="B41" s="761" t="s">
        <v>42</v>
      </c>
      <c r="C41" s="761"/>
      <c r="D41" s="761"/>
      <c r="E41" s="761"/>
      <c r="F41" s="761"/>
      <c r="G41" s="761"/>
      <c r="H41" s="761"/>
      <c r="I41" s="761"/>
      <c r="J41" s="24">
        <f>SUM(J37:J40)</f>
        <v>98258</v>
      </c>
      <c r="L41" s="22"/>
      <c r="M41" s="772" t="s">
        <v>42</v>
      </c>
      <c r="N41" s="772"/>
      <c r="O41" s="772"/>
      <c r="P41" s="772"/>
      <c r="Q41" s="772"/>
      <c r="R41" s="772"/>
      <c r="S41" s="772"/>
      <c r="T41" s="772"/>
      <c r="U41" s="181">
        <f>SUM(U37:U40)</f>
        <v>39304</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62" t="s">
        <v>43</v>
      </c>
      <c r="C43" s="762"/>
      <c r="D43" s="762"/>
      <c r="E43" s="762"/>
      <c r="F43" s="762"/>
      <c r="G43" s="762"/>
      <c r="H43" s="762"/>
      <c r="I43" s="762"/>
      <c r="J43" s="106">
        <f>+J41+J33+J15+J25</f>
        <v>894048</v>
      </c>
      <c r="L43" s="27"/>
      <c r="M43" s="773" t="s">
        <v>43</v>
      </c>
      <c r="N43" s="773"/>
      <c r="O43" s="773"/>
      <c r="P43" s="773"/>
      <c r="Q43" s="773"/>
      <c r="R43" s="773"/>
      <c r="S43" s="773"/>
      <c r="T43" s="773"/>
      <c r="U43" s="210">
        <f>+U41+U33+U15+U25</f>
        <v>609756</v>
      </c>
    </row>
    <row r="44" spans="1:21" x14ac:dyDescent="0.25">
      <c r="B44" s="21"/>
      <c r="C44" s="21"/>
      <c r="D44" s="21"/>
      <c r="E44" s="21"/>
      <c r="F44" s="21"/>
      <c r="G44" s="21"/>
      <c r="H44" s="21"/>
      <c r="I44" s="21"/>
      <c r="J44" s="21"/>
    </row>
    <row r="47" spans="1:21" x14ac:dyDescent="0.25">
      <c r="M47" s="790" t="s">
        <v>457</v>
      </c>
      <c r="N47" s="790"/>
      <c r="O47" s="790"/>
      <c r="P47" s="790"/>
      <c r="Q47" s="790"/>
      <c r="R47" s="790"/>
      <c r="S47" s="790"/>
      <c r="T47" s="790"/>
    </row>
    <row r="48" spans="1:21" x14ac:dyDescent="0.25">
      <c r="M48" s="790"/>
      <c r="N48" s="790"/>
      <c r="O48" s="790"/>
      <c r="P48" s="790"/>
      <c r="Q48" s="790"/>
      <c r="R48" s="790"/>
      <c r="S48" s="790"/>
      <c r="T48" s="790"/>
    </row>
    <row r="49" spans="13:20" x14ac:dyDescent="0.25">
      <c r="M49" s="790"/>
      <c r="N49" s="790"/>
      <c r="O49" s="790"/>
      <c r="P49" s="790"/>
      <c r="Q49" s="790"/>
      <c r="R49" s="790"/>
      <c r="S49" s="790"/>
      <c r="T49" s="790"/>
    </row>
    <row r="50" spans="13:20" x14ac:dyDescent="0.25">
      <c r="M50" s="790"/>
      <c r="N50" s="790"/>
      <c r="O50" s="790"/>
      <c r="P50" s="790"/>
      <c r="Q50" s="790"/>
      <c r="R50" s="790"/>
      <c r="S50" s="790"/>
      <c r="T50" s="790"/>
    </row>
  </sheetData>
  <mergeCells count="79">
    <mergeCell ref="M39:Q39"/>
    <mergeCell ref="M40:Q40"/>
    <mergeCell ref="M41:T41"/>
    <mergeCell ref="M43:T43"/>
    <mergeCell ref="M47:T50"/>
    <mergeCell ref="M33:T33"/>
    <mergeCell ref="M35:U35"/>
    <mergeCell ref="M36:Q36"/>
    <mergeCell ref="M37:Q37"/>
    <mergeCell ref="M38:Q38"/>
    <mergeCell ref="M28:Q28"/>
    <mergeCell ref="M29:Q29"/>
    <mergeCell ref="M30:Q30"/>
    <mergeCell ref="M31:Q31"/>
    <mergeCell ref="M32:Q32"/>
    <mergeCell ref="M22:P22"/>
    <mergeCell ref="M23:P23"/>
    <mergeCell ref="M24:P24"/>
    <mergeCell ref="M25:T25"/>
    <mergeCell ref="M27:U27"/>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I41"/>
    <mergeCell ref="B43:I43"/>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13" display="'PPTO HOJA'!A13" xr:uid="{00000000-0004-0000-3000-000000000000}"/>
    <hyperlink ref="N6" location="'PPTO HOJA'!A15" display="'PPTO HOJA'!A15" xr:uid="{00000000-0004-0000-30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3000-000000000000}">
          <x14:formula1>
            <xm:f>CUADRILLAS!$B$86:$B$101</xm:f>
          </x14:formula1>
          <xm:sqref>B37:F40</xm:sqref>
        </x14:dataValidation>
      </x14:dataValidations>
    </ext>
  </extLst>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theme="9" tint="0.59999389629810485"/>
  </sheetPr>
  <dimension ref="A1:U42"/>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9.33203125" style="20" bestFit="1" customWidth="1"/>
    <col min="11" max="11" width="4.5546875" style="20" customWidth="1"/>
    <col min="12" max="13" width="11.44140625" style="20"/>
    <col min="14" max="14" width="11.5546875" style="20" bestFit="1" customWidth="1"/>
    <col min="15" max="16" width="11.44140625" style="20"/>
    <col min="17" max="17" width="11.5546875" style="20" bestFit="1" customWidth="1"/>
    <col min="18" max="18" width="13.44140625" style="20" bestFit="1" customWidth="1"/>
    <col min="19" max="19" width="12.6640625" style="20" bestFit="1" customWidth="1"/>
    <col min="20" max="20" width="14.33203125" style="20" bestFit="1" customWidth="1"/>
    <col min="21" max="21" width="19.3320312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361</v>
      </c>
      <c r="B6" s="29" t="s">
        <v>22</v>
      </c>
      <c r="C6" s="154">
        <f>+'PPTO HOJA'!A64</f>
        <v>6.11</v>
      </c>
      <c r="D6" s="28"/>
      <c r="E6" s="764" t="str">
        <f>'PPTO HOJA'!B64</f>
        <v>Concreto Ciclopeo de Resistencia de 5000 PSI para cimentación</v>
      </c>
      <c r="F6" s="764"/>
      <c r="G6" s="764"/>
      <c r="H6" s="764"/>
      <c r="I6" s="30" t="s">
        <v>23</v>
      </c>
      <c r="J6" s="31" t="str">
        <f>'PPTO HOJA'!C64</f>
        <v>m3</v>
      </c>
      <c r="L6" s="30" t="str">
        <f>A6</f>
        <v>VI</v>
      </c>
      <c r="M6" s="29" t="s">
        <v>22</v>
      </c>
      <c r="N6" s="238">
        <f>C6</f>
        <v>6.11</v>
      </c>
      <c r="O6" s="28"/>
      <c r="P6" s="764" t="str">
        <f>E6</f>
        <v>Concreto Ciclopeo de Resistencia de 5000 PSI para cimentación</v>
      </c>
      <c r="Q6" s="764"/>
      <c r="R6" s="764"/>
      <c r="S6" s="764"/>
      <c r="T6" s="30" t="s">
        <v>23</v>
      </c>
      <c r="U6" s="31" t="str">
        <f>J6</f>
        <v>m3</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ROUND(I9*J40,0)</f>
        <v>5503</v>
      </c>
      <c r="L9" s="22"/>
      <c r="M9" s="771" t="s">
        <v>30</v>
      </c>
      <c r="N9" s="771"/>
      <c r="O9" s="771"/>
      <c r="P9" s="771"/>
      <c r="Q9" s="771"/>
      <c r="R9" s="206"/>
      <c r="S9" s="181"/>
      <c r="T9" s="208">
        <v>0.05</v>
      </c>
      <c r="U9" s="181">
        <f>ROUND(T9*U40,0)</f>
        <v>5503</v>
      </c>
    </row>
    <row r="10" spans="1:21" ht="15" customHeight="1" x14ac:dyDescent="0.25">
      <c r="A10" s="22"/>
      <c r="B10" s="794"/>
      <c r="C10" s="795"/>
      <c r="D10" s="795"/>
      <c r="E10" s="795"/>
      <c r="F10" s="796"/>
      <c r="G10" s="31"/>
      <c r="H10" s="24"/>
      <c r="I10" s="34"/>
      <c r="J10" s="24">
        <f t="shared" ref="J10:J13" si="0">IF(B10="",0,ROUND(H10/I10,0))</f>
        <v>0</v>
      </c>
      <c r="L10" s="22"/>
      <c r="M10" s="798" t="s">
        <v>260</v>
      </c>
      <c r="N10" s="799"/>
      <c r="O10" s="799"/>
      <c r="P10" s="799"/>
      <c r="Q10" s="800"/>
      <c r="R10" s="214" t="s">
        <v>108</v>
      </c>
      <c r="S10" s="212">
        <v>116000</v>
      </c>
      <c r="T10" s="211">
        <f>+T36</f>
        <v>5</v>
      </c>
      <c r="U10" s="212">
        <f t="shared" ref="U10:U13" si="1">IF(M10="",0,ROUND(S10/T10,0))</f>
        <v>23200</v>
      </c>
    </row>
    <row r="11" spans="1:21" ht="15" customHeight="1" x14ac:dyDescent="0.25">
      <c r="A11" s="22"/>
      <c r="B11" s="764"/>
      <c r="C11" s="764"/>
      <c r="D11" s="764"/>
      <c r="E11" s="764"/>
      <c r="F11" s="764"/>
      <c r="G11" s="31" t="str">
        <f>IF(B11="","",VLOOKUP(B11,EQUIPOS!$B$7:$F$46,3,FALSE))</f>
        <v/>
      </c>
      <c r="H11" s="24" t="str">
        <f>IF(B11="","",VLOOKUP(B11,EQUIPOS!$B$7:$F$46,5,FALSE))</f>
        <v/>
      </c>
      <c r="I11" s="34"/>
      <c r="J11" s="24">
        <f t="shared" si="0"/>
        <v>0</v>
      </c>
      <c r="L11" s="22"/>
      <c r="M11" s="777"/>
      <c r="N11" s="777"/>
      <c r="O11" s="777"/>
      <c r="P11" s="777"/>
      <c r="Q11" s="777"/>
      <c r="R11" s="206" t="s">
        <v>501</v>
      </c>
      <c r="S11" s="181" t="s">
        <v>501</v>
      </c>
      <c r="T11" s="180"/>
      <c r="U11" s="181">
        <f t="shared" si="1"/>
        <v>0</v>
      </c>
    </row>
    <row r="12" spans="1:21" ht="15" customHeight="1" x14ac:dyDescent="0.25">
      <c r="A12" s="22"/>
      <c r="B12" s="764"/>
      <c r="C12" s="764"/>
      <c r="D12" s="764"/>
      <c r="E12" s="764"/>
      <c r="F12" s="764"/>
      <c r="G12" s="31" t="str">
        <f>IF(B12="","",VLOOKUP(B12,EQUIPOS!$B$7:$F$46,3,FALSE))</f>
        <v/>
      </c>
      <c r="H12" s="24" t="str">
        <f>IF(B12="","",VLOOKUP(B12,EQUIPOS!$B$7:$F$46,5,FALSE))</f>
        <v/>
      </c>
      <c r="I12" s="34"/>
      <c r="J12" s="24">
        <f t="shared" si="0"/>
        <v>0</v>
      </c>
      <c r="L12" s="22"/>
      <c r="M12" s="777"/>
      <c r="N12" s="777"/>
      <c r="O12" s="777"/>
      <c r="P12" s="777"/>
      <c r="Q12" s="777"/>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5503</v>
      </c>
      <c r="L15" s="22"/>
      <c r="M15" s="772" t="s">
        <v>31</v>
      </c>
      <c r="N15" s="772"/>
      <c r="O15" s="772"/>
      <c r="P15" s="772"/>
      <c r="Q15" s="772"/>
      <c r="R15" s="772"/>
      <c r="S15" s="772"/>
      <c r="T15" s="772"/>
      <c r="U15" s="181">
        <f>SUM(U9:U14)</f>
        <v>28703</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1"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1" ht="16.5" customHeight="1" x14ac:dyDescent="0.25">
      <c r="A19" s="22"/>
      <c r="B19" s="791" t="s">
        <v>363</v>
      </c>
      <c r="C19" s="792"/>
      <c r="D19" s="792"/>
      <c r="E19" s="793"/>
      <c r="F19" s="34">
        <v>0.7</v>
      </c>
      <c r="G19" s="31" t="s">
        <v>261</v>
      </c>
      <c r="H19" s="107">
        <v>0.1</v>
      </c>
      <c r="I19" s="24">
        <f>+'APU BÁSICOS'!J45</f>
        <v>1024596</v>
      </c>
      <c r="J19" s="24">
        <f t="shared" ref="J19:J22" si="2">IF(I19="",0,ROUND((+F19*I19*(1+H19)),0))</f>
        <v>788939</v>
      </c>
      <c r="L19" s="22"/>
      <c r="M19" s="791" t="s">
        <v>363</v>
      </c>
      <c r="N19" s="792"/>
      <c r="O19" s="792"/>
      <c r="P19" s="793"/>
      <c r="Q19" s="180">
        <v>0.7</v>
      </c>
      <c r="R19" s="206" t="s">
        <v>261</v>
      </c>
      <c r="S19" s="209">
        <v>0.05</v>
      </c>
      <c r="T19" s="212">
        <v>1034166</v>
      </c>
      <c r="U19" s="181">
        <f t="shared" ref="U19:U22" si="3">IF(T19="",0,ROUND((+Q19*T19*(1+S19)),0))</f>
        <v>760112</v>
      </c>
    </row>
    <row r="20" spans="1:21" ht="21.75" customHeight="1" x14ac:dyDescent="0.25">
      <c r="A20" s="22"/>
      <c r="B20" s="764" t="s">
        <v>265</v>
      </c>
      <c r="C20" s="764"/>
      <c r="D20" s="764"/>
      <c r="E20" s="764"/>
      <c r="F20" s="34">
        <v>0.3</v>
      </c>
      <c r="G20" s="31" t="str">
        <f>IF(F20=0,"",VLOOKUP(B20,'LISTADO DE MATERIALES'!$B$6:$D$311,2,FALSE))</f>
        <v>m3</v>
      </c>
      <c r="H20" s="107">
        <v>0.1</v>
      </c>
      <c r="I20" s="24">
        <f>IF(F20=0,"",VLOOKUP(B20,'LISTADO DE MATERIALES'!$B$6:$D$311,3,FALSE))</f>
        <v>182390</v>
      </c>
      <c r="J20" s="24">
        <f t="shared" si="2"/>
        <v>60189</v>
      </c>
      <c r="L20" s="22"/>
      <c r="M20" s="777" t="s">
        <v>265</v>
      </c>
      <c r="N20" s="777"/>
      <c r="O20" s="777"/>
      <c r="P20" s="777"/>
      <c r="Q20" s="180">
        <v>0.3</v>
      </c>
      <c r="R20" s="206" t="s">
        <v>261</v>
      </c>
      <c r="S20" s="209">
        <v>0.05</v>
      </c>
      <c r="T20" s="181">
        <v>182390</v>
      </c>
      <c r="U20" s="181">
        <f t="shared" si="3"/>
        <v>57453</v>
      </c>
    </row>
    <row r="21" spans="1:21" x14ac:dyDescent="0.25">
      <c r="A21" s="22"/>
      <c r="B21" s="794"/>
      <c r="C21" s="795"/>
      <c r="D21" s="795"/>
      <c r="E21" s="796"/>
      <c r="F21" s="34"/>
      <c r="G21" s="31" t="str">
        <f>IF(F21=0,"",VLOOKUP(B21,'LISTADO DE MATERIALES'!$B$6:$D$311,2,FALSE))</f>
        <v/>
      </c>
      <c r="H21" s="107"/>
      <c r="I21" s="24" t="str">
        <f>IF(F21=0,"",VLOOKUP(B21,'LISTADO DE MATERIALES'!$B$6:$D$311,3,FALSE))</f>
        <v/>
      </c>
      <c r="J21" s="24">
        <f t="shared" si="2"/>
        <v>0</v>
      </c>
      <c r="L21" s="22"/>
      <c r="M21" s="791"/>
      <c r="N21" s="792"/>
      <c r="O21" s="792"/>
      <c r="P21" s="793"/>
      <c r="Q21" s="180"/>
      <c r="R21" s="206" t="s">
        <v>501</v>
      </c>
      <c r="S21" s="209"/>
      <c r="T21" s="181" t="s">
        <v>501</v>
      </c>
      <c r="U21" s="181">
        <f t="shared" si="3"/>
        <v>0</v>
      </c>
    </row>
    <row r="22" spans="1:21" ht="15" customHeight="1" x14ac:dyDescent="0.25">
      <c r="A22" s="22"/>
      <c r="B22" s="794"/>
      <c r="C22" s="795"/>
      <c r="D22" s="795"/>
      <c r="E22" s="796"/>
      <c r="F22" s="34"/>
      <c r="G22" s="31"/>
      <c r="H22" s="107"/>
      <c r="I22" s="24" t="str">
        <f>IF(F22=0,"",VLOOKUP(B22,'LISTADO DE MATERIALES'!$B$6:$D$311,3,FALSE))</f>
        <v/>
      </c>
      <c r="J22" s="24">
        <f t="shared" si="2"/>
        <v>0</v>
      </c>
      <c r="L22" s="22"/>
      <c r="M22" s="791"/>
      <c r="N22" s="792"/>
      <c r="O22" s="792"/>
      <c r="P22" s="793"/>
      <c r="Q22" s="180"/>
      <c r="R22" s="206"/>
      <c r="S22" s="209"/>
      <c r="T22" s="181" t="s">
        <v>501</v>
      </c>
      <c r="U22" s="181">
        <f t="shared" si="3"/>
        <v>0</v>
      </c>
    </row>
    <row r="23" spans="1:21" ht="15" customHeight="1" x14ac:dyDescent="0.25">
      <c r="A23" s="22"/>
      <c r="B23" s="794"/>
      <c r="C23" s="795"/>
      <c r="D23" s="795"/>
      <c r="E23" s="796"/>
      <c r="F23" s="34"/>
      <c r="G23" s="31"/>
      <c r="H23" s="107"/>
      <c r="I23" s="24"/>
      <c r="J23" s="24"/>
      <c r="L23" s="22"/>
      <c r="M23" s="791"/>
      <c r="N23" s="792"/>
      <c r="O23" s="792"/>
      <c r="P23" s="793"/>
      <c r="Q23" s="180"/>
      <c r="R23" s="206"/>
      <c r="S23" s="209"/>
      <c r="T23" s="181"/>
      <c r="U23" s="181"/>
    </row>
    <row r="24" spans="1:21" ht="15" customHeight="1" x14ac:dyDescent="0.25">
      <c r="A24" s="22"/>
      <c r="B24" s="761" t="s">
        <v>37</v>
      </c>
      <c r="C24" s="761"/>
      <c r="D24" s="761"/>
      <c r="E24" s="761"/>
      <c r="F24" s="761"/>
      <c r="G24" s="761"/>
      <c r="H24" s="761"/>
      <c r="I24" s="761"/>
      <c r="J24" s="24">
        <f>SUM(J19:J22)</f>
        <v>849128</v>
      </c>
      <c r="L24" s="22"/>
      <c r="M24" s="772" t="s">
        <v>37</v>
      </c>
      <c r="N24" s="772"/>
      <c r="O24" s="772"/>
      <c r="P24" s="772"/>
      <c r="Q24" s="772"/>
      <c r="R24" s="772"/>
      <c r="S24" s="772"/>
      <c r="T24" s="772"/>
      <c r="U24" s="181">
        <f>SUM(U19:U22)</f>
        <v>817565</v>
      </c>
    </row>
    <row r="25" spans="1:21" ht="7.5" customHeight="1" x14ac:dyDescent="0.25">
      <c r="A25" s="22"/>
      <c r="B25" s="25"/>
      <c r="C25" s="25"/>
      <c r="D25" s="25"/>
      <c r="E25" s="25"/>
      <c r="F25" s="25"/>
      <c r="G25" s="25"/>
      <c r="H25" s="25"/>
      <c r="I25" s="25"/>
      <c r="J25" s="26"/>
      <c r="L25" s="22"/>
      <c r="M25" s="25"/>
      <c r="N25" s="25"/>
      <c r="O25" s="25"/>
      <c r="P25" s="25"/>
      <c r="Q25" s="25"/>
      <c r="R25" s="25"/>
      <c r="S25" s="25"/>
      <c r="T25" s="25"/>
      <c r="U25" s="26"/>
    </row>
    <row r="26" spans="1:21" ht="15" customHeight="1" x14ac:dyDescent="0.25">
      <c r="A26" s="22"/>
      <c r="B26" s="761" t="s">
        <v>38</v>
      </c>
      <c r="C26" s="761"/>
      <c r="D26" s="761"/>
      <c r="E26" s="761"/>
      <c r="F26" s="761"/>
      <c r="G26" s="761"/>
      <c r="H26" s="761"/>
      <c r="I26" s="761"/>
      <c r="J26" s="761"/>
      <c r="L26" s="22"/>
      <c r="M26" s="772" t="s">
        <v>38</v>
      </c>
      <c r="N26" s="772"/>
      <c r="O26" s="772"/>
      <c r="P26" s="772"/>
      <c r="Q26" s="772"/>
      <c r="R26" s="772"/>
      <c r="S26" s="772"/>
      <c r="T26" s="772"/>
      <c r="U26" s="772"/>
    </row>
    <row r="27" spans="1:21" x14ac:dyDescent="0.25">
      <c r="A27" s="22"/>
      <c r="B27" s="763" t="s">
        <v>33</v>
      </c>
      <c r="C27" s="763"/>
      <c r="D27" s="763"/>
      <c r="E27" s="763"/>
      <c r="F27" s="763"/>
      <c r="G27" s="31" t="s">
        <v>133</v>
      </c>
      <c r="H27" s="31" t="s">
        <v>132</v>
      </c>
      <c r="I27" s="31" t="s">
        <v>39</v>
      </c>
      <c r="J27" s="32" t="s">
        <v>29</v>
      </c>
      <c r="L27" s="22"/>
      <c r="M27" s="774" t="s">
        <v>33</v>
      </c>
      <c r="N27" s="774"/>
      <c r="O27" s="774"/>
      <c r="P27" s="774"/>
      <c r="Q27" s="774"/>
      <c r="R27" s="206" t="s">
        <v>133</v>
      </c>
      <c r="S27" s="206" t="s">
        <v>132</v>
      </c>
      <c r="T27" s="206" t="s">
        <v>39</v>
      </c>
      <c r="U27" s="207" t="s">
        <v>29</v>
      </c>
    </row>
    <row r="28" spans="1:21" ht="15" customHeight="1" x14ac:dyDescent="0.25">
      <c r="A28" s="22"/>
      <c r="B28" s="760" t="s">
        <v>262</v>
      </c>
      <c r="C28" s="760"/>
      <c r="D28" s="760"/>
      <c r="E28" s="760"/>
      <c r="F28" s="760"/>
      <c r="G28" s="34">
        <f>SUM(F20)</f>
        <v>0.3</v>
      </c>
      <c r="H28" s="34">
        <v>60</v>
      </c>
      <c r="I28" s="24">
        <v>1241.46</v>
      </c>
      <c r="J28" s="24">
        <f>ROUND((I28*H28*G28),0)</f>
        <v>22346</v>
      </c>
      <c r="L28" s="22"/>
      <c r="M28" s="771" t="s">
        <v>262</v>
      </c>
      <c r="N28" s="771"/>
      <c r="O28" s="771"/>
      <c r="P28" s="771"/>
      <c r="Q28" s="771"/>
      <c r="R28" s="180">
        <f>SUM(Q20)</f>
        <v>0.3</v>
      </c>
      <c r="S28" s="180">
        <v>60</v>
      </c>
      <c r="T28" s="212">
        <v>1241.46</v>
      </c>
      <c r="U28" s="181">
        <f>ROUND((T28*S28*R28),0)</f>
        <v>22346</v>
      </c>
    </row>
    <row r="29" spans="1:21" ht="15" customHeight="1" x14ac:dyDescent="0.25">
      <c r="A29" s="22"/>
      <c r="B29" s="760"/>
      <c r="C29" s="760"/>
      <c r="D29" s="760"/>
      <c r="E29" s="760"/>
      <c r="F29" s="760"/>
      <c r="G29" s="31"/>
      <c r="H29" s="34"/>
      <c r="I29" s="24"/>
      <c r="J29" s="24">
        <v>0</v>
      </c>
      <c r="L29" s="22"/>
      <c r="M29" s="771"/>
      <c r="N29" s="771"/>
      <c r="O29" s="771"/>
      <c r="P29" s="771"/>
      <c r="Q29" s="771"/>
      <c r="R29" s="206"/>
      <c r="S29" s="180"/>
      <c r="T29" s="181"/>
      <c r="U29" s="181">
        <v>0</v>
      </c>
    </row>
    <row r="30" spans="1:21" ht="15" customHeight="1" x14ac:dyDescent="0.25">
      <c r="A30" s="22"/>
      <c r="B30" s="760"/>
      <c r="C30" s="760"/>
      <c r="D30" s="760"/>
      <c r="E30" s="760"/>
      <c r="F30" s="760"/>
      <c r="G30" s="31"/>
      <c r="H30" s="34"/>
      <c r="I30" s="24"/>
      <c r="J30" s="24">
        <v>0</v>
      </c>
      <c r="L30" s="22"/>
      <c r="M30" s="771"/>
      <c r="N30" s="771"/>
      <c r="O30" s="771"/>
      <c r="P30" s="771"/>
      <c r="Q30" s="771"/>
      <c r="R30" s="206"/>
      <c r="S30" s="180"/>
      <c r="T30" s="181"/>
      <c r="U30" s="181">
        <v>0</v>
      </c>
    </row>
    <row r="31" spans="1:21" ht="15" customHeight="1" x14ac:dyDescent="0.25">
      <c r="A31" s="22"/>
      <c r="B31" s="760"/>
      <c r="C31" s="760"/>
      <c r="D31" s="760"/>
      <c r="E31" s="760"/>
      <c r="F31" s="760"/>
      <c r="G31" s="31"/>
      <c r="H31" s="31"/>
      <c r="I31" s="24"/>
      <c r="J31" s="24">
        <v>0</v>
      </c>
      <c r="L31" s="22"/>
      <c r="M31" s="771"/>
      <c r="N31" s="771"/>
      <c r="O31" s="771"/>
      <c r="P31" s="771"/>
      <c r="Q31" s="771"/>
      <c r="R31" s="206"/>
      <c r="S31" s="206"/>
      <c r="T31" s="181"/>
      <c r="U31" s="181">
        <v>0</v>
      </c>
    </row>
    <row r="32" spans="1:21" ht="15" customHeight="1" x14ac:dyDescent="0.25">
      <c r="A32" s="22"/>
      <c r="B32" s="761" t="s">
        <v>40</v>
      </c>
      <c r="C32" s="761"/>
      <c r="D32" s="761"/>
      <c r="E32" s="761"/>
      <c r="F32" s="761"/>
      <c r="G32" s="761"/>
      <c r="H32" s="761"/>
      <c r="I32" s="761"/>
      <c r="J32" s="24">
        <f>SUM(J28:J31)</f>
        <v>22346</v>
      </c>
      <c r="L32" s="22"/>
      <c r="M32" s="772" t="s">
        <v>40</v>
      </c>
      <c r="N32" s="772"/>
      <c r="O32" s="772"/>
      <c r="P32" s="772"/>
      <c r="Q32" s="772"/>
      <c r="R32" s="772"/>
      <c r="S32" s="772"/>
      <c r="T32" s="772"/>
      <c r="U32" s="181">
        <f>SUM(U28:U31)</f>
        <v>22346</v>
      </c>
    </row>
    <row r="33" spans="1:21" ht="7.5" customHeight="1" x14ac:dyDescent="0.25">
      <c r="A33" s="22"/>
      <c r="B33" s="25"/>
      <c r="C33" s="25"/>
      <c r="D33" s="25"/>
      <c r="E33" s="25"/>
      <c r="F33" s="25"/>
      <c r="G33" s="25"/>
      <c r="H33" s="25"/>
      <c r="I33" s="25"/>
      <c r="J33" s="26"/>
      <c r="L33" s="22"/>
      <c r="M33" s="25"/>
      <c r="N33" s="25"/>
      <c r="O33" s="25"/>
      <c r="P33" s="25"/>
      <c r="Q33" s="25"/>
      <c r="R33" s="25"/>
      <c r="S33" s="25"/>
      <c r="T33" s="25"/>
      <c r="U33" s="26"/>
    </row>
    <row r="34" spans="1:21" ht="15" customHeight="1" x14ac:dyDescent="0.25">
      <c r="A34" s="22"/>
      <c r="B34" s="761" t="s">
        <v>41</v>
      </c>
      <c r="C34" s="761"/>
      <c r="D34" s="761"/>
      <c r="E34" s="761"/>
      <c r="F34" s="761"/>
      <c r="G34" s="761"/>
      <c r="H34" s="761"/>
      <c r="I34" s="761"/>
      <c r="J34" s="761"/>
      <c r="L34" s="22"/>
      <c r="M34" s="772" t="s">
        <v>41</v>
      </c>
      <c r="N34" s="772"/>
      <c r="O34" s="772"/>
      <c r="P34" s="772"/>
      <c r="Q34" s="772"/>
      <c r="R34" s="772"/>
      <c r="S34" s="772"/>
      <c r="T34" s="772"/>
      <c r="U34" s="772"/>
    </row>
    <row r="35" spans="1:21" ht="39.6" x14ac:dyDescent="0.25">
      <c r="A35" s="22"/>
      <c r="B35" s="763" t="s">
        <v>4</v>
      </c>
      <c r="C35" s="763"/>
      <c r="D35" s="763"/>
      <c r="E35" s="763"/>
      <c r="F35" s="763"/>
      <c r="G35" s="32" t="s">
        <v>51</v>
      </c>
      <c r="H35" s="32" t="s">
        <v>19</v>
      </c>
      <c r="I35" s="32" t="s">
        <v>28</v>
      </c>
      <c r="J35" s="32" t="s">
        <v>29</v>
      </c>
      <c r="L35" s="22"/>
      <c r="M35" s="774" t="s">
        <v>4</v>
      </c>
      <c r="N35" s="774"/>
      <c r="O35" s="774"/>
      <c r="P35" s="774"/>
      <c r="Q35" s="774"/>
      <c r="R35" s="207" t="s">
        <v>51</v>
      </c>
      <c r="S35" s="207" t="s">
        <v>19</v>
      </c>
      <c r="T35" s="207" t="s">
        <v>28</v>
      </c>
      <c r="U35" s="207" t="s">
        <v>29</v>
      </c>
    </row>
    <row r="36" spans="1:21" ht="15" customHeight="1" x14ac:dyDescent="0.25">
      <c r="A36" s="22"/>
      <c r="B36" s="760" t="s">
        <v>68</v>
      </c>
      <c r="C36" s="760"/>
      <c r="D36" s="760"/>
      <c r="E36" s="760"/>
      <c r="F36" s="760"/>
      <c r="G36" s="24">
        <f>IF(B36="","",VLOOKUP(B36,CUADRILLAS!$B$87:$C$101,2,FALSE))</f>
        <v>235820.59999999998</v>
      </c>
      <c r="H36" s="31">
        <v>1</v>
      </c>
      <c r="I36" s="34">
        <v>5</v>
      </c>
      <c r="J36" s="24">
        <f>ROUND(+IF(I36=0,0,G36*H36/I36),0)</f>
        <v>47164</v>
      </c>
      <c r="L36" s="22"/>
      <c r="M36" s="771" t="s">
        <v>68</v>
      </c>
      <c r="N36" s="771"/>
      <c r="O36" s="771"/>
      <c r="P36" s="771"/>
      <c r="Q36" s="771"/>
      <c r="R36" s="181">
        <v>235820.59999999998</v>
      </c>
      <c r="S36" s="206">
        <v>1</v>
      </c>
      <c r="T36" s="180">
        <v>5</v>
      </c>
      <c r="U36" s="181">
        <f>ROUND(+IF(T36=0,0,R36*S36/T36),0)</f>
        <v>47164</v>
      </c>
    </row>
    <row r="37" spans="1:21" ht="15" customHeight="1" x14ac:dyDescent="0.25">
      <c r="A37" s="22"/>
      <c r="B37" s="760" t="s">
        <v>120</v>
      </c>
      <c r="C37" s="760"/>
      <c r="D37" s="760"/>
      <c r="E37" s="760"/>
      <c r="F37" s="760"/>
      <c r="G37" s="24">
        <f>IF(B37="","",VLOOKUP(B37,CUADRILLAS!$B$87:$C$101,2,FALSE))</f>
        <v>157213.73333333334</v>
      </c>
      <c r="H37" s="31">
        <v>1</v>
      </c>
      <c r="I37" s="34">
        <f>+I36</f>
        <v>5</v>
      </c>
      <c r="J37" s="24">
        <f>ROUND(+IF(I37=0,0,G37*H37/I37),0)</f>
        <v>31443</v>
      </c>
      <c r="L37" s="22"/>
      <c r="M37" s="771" t="s">
        <v>120</v>
      </c>
      <c r="N37" s="771"/>
      <c r="O37" s="771"/>
      <c r="P37" s="771"/>
      <c r="Q37" s="771"/>
      <c r="R37" s="181">
        <v>157213.73333333334</v>
      </c>
      <c r="S37" s="206">
        <v>1</v>
      </c>
      <c r="T37" s="180">
        <f>+T36</f>
        <v>5</v>
      </c>
      <c r="U37" s="181">
        <f>ROUND(+IF(T37=0,0,R37*S37/T37),0)</f>
        <v>31443</v>
      </c>
    </row>
    <row r="38" spans="1:21" ht="15" customHeight="1" x14ac:dyDescent="0.25">
      <c r="A38" s="22"/>
      <c r="B38" s="760" t="s">
        <v>121</v>
      </c>
      <c r="C38" s="760"/>
      <c r="D38" s="760"/>
      <c r="E38" s="760"/>
      <c r="F38" s="760"/>
      <c r="G38" s="24">
        <f>IF(B38="","",VLOOKUP(B38,CUADRILLAS!$B$87:$C$101,2,FALSE))</f>
        <v>78606.866666666669</v>
      </c>
      <c r="H38" s="31">
        <v>2</v>
      </c>
      <c r="I38" s="34">
        <f>+I37</f>
        <v>5</v>
      </c>
      <c r="J38" s="24">
        <f>ROUND(+IF(I38=0,0,G38*H38/I38),0)</f>
        <v>31443</v>
      </c>
      <c r="L38" s="22"/>
      <c r="M38" s="771" t="s">
        <v>121</v>
      </c>
      <c r="N38" s="771"/>
      <c r="O38" s="771"/>
      <c r="P38" s="771"/>
      <c r="Q38" s="771"/>
      <c r="R38" s="181">
        <v>78606.866666666669</v>
      </c>
      <c r="S38" s="206">
        <v>2</v>
      </c>
      <c r="T38" s="180">
        <f>+T37</f>
        <v>5</v>
      </c>
      <c r="U38" s="181">
        <f>ROUND(+IF(T38=0,0,R38*S38/T38),0)</f>
        <v>31443</v>
      </c>
    </row>
    <row r="39" spans="1:21" ht="15" customHeight="1" x14ac:dyDescent="0.25">
      <c r="A39" s="22"/>
      <c r="B39" s="760"/>
      <c r="C39" s="760"/>
      <c r="D39" s="760"/>
      <c r="E39" s="760"/>
      <c r="F39" s="760"/>
      <c r="G39" s="24" t="str">
        <f>IF(B39="","",VLOOKUP(B39,CUADRILLAS!$B$87:$C$101,2,FALSE))</f>
        <v/>
      </c>
      <c r="H39" s="31"/>
      <c r="I39" s="34"/>
      <c r="J39" s="24">
        <f t="shared" ref="J39" si="4">+IF(I39=0,0,G39*H39/I39)</f>
        <v>0</v>
      </c>
      <c r="L39" s="22"/>
      <c r="M39" s="771"/>
      <c r="N39" s="771"/>
      <c r="O39" s="771"/>
      <c r="P39" s="771"/>
      <c r="Q39" s="771"/>
      <c r="R39" s="181" t="s">
        <v>501</v>
      </c>
      <c r="S39" s="206"/>
      <c r="T39" s="180"/>
      <c r="U39" s="181">
        <f t="shared" ref="U39" si="5">+IF(T39=0,0,R39*S39/T39)</f>
        <v>0</v>
      </c>
    </row>
    <row r="40" spans="1:21" ht="15" customHeight="1" x14ac:dyDescent="0.25">
      <c r="A40" s="22"/>
      <c r="B40" s="761" t="s">
        <v>42</v>
      </c>
      <c r="C40" s="761"/>
      <c r="D40" s="761"/>
      <c r="E40" s="761"/>
      <c r="F40" s="761"/>
      <c r="G40" s="761"/>
      <c r="H40" s="761"/>
      <c r="I40" s="761"/>
      <c r="J40" s="24">
        <f>SUM(J36:J39)</f>
        <v>110050</v>
      </c>
      <c r="L40" s="22"/>
      <c r="M40" s="772" t="s">
        <v>42</v>
      </c>
      <c r="N40" s="772"/>
      <c r="O40" s="772"/>
      <c r="P40" s="772"/>
      <c r="Q40" s="772"/>
      <c r="R40" s="772"/>
      <c r="S40" s="772"/>
      <c r="T40" s="772"/>
      <c r="U40" s="181">
        <f>SUM(U36:U39)</f>
        <v>110050</v>
      </c>
    </row>
    <row r="41" spans="1:21" ht="7.5" customHeight="1" x14ac:dyDescent="0.25">
      <c r="A41" s="22"/>
      <c r="B41" s="25"/>
      <c r="C41" s="25"/>
      <c r="D41" s="25"/>
      <c r="E41" s="25"/>
      <c r="F41" s="25"/>
      <c r="G41" s="25"/>
      <c r="H41" s="25"/>
      <c r="I41" s="25"/>
      <c r="J41" s="26"/>
      <c r="L41" s="22"/>
      <c r="M41" s="25"/>
      <c r="N41" s="25"/>
      <c r="O41" s="25"/>
      <c r="P41" s="25"/>
      <c r="Q41" s="25"/>
      <c r="R41" s="25"/>
      <c r="S41" s="25"/>
      <c r="T41" s="25"/>
      <c r="U41" s="26"/>
    </row>
    <row r="42" spans="1:21" ht="15.75" customHeight="1" x14ac:dyDescent="0.25">
      <c r="A42" s="27"/>
      <c r="B42" s="762" t="s">
        <v>43</v>
      </c>
      <c r="C42" s="762"/>
      <c r="D42" s="762"/>
      <c r="E42" s="762"/>
      <c r="F42" s="762"/>
      <c r="G42" s="762"/>
      <c r="H42" s="762"/>
      <c r="I42" s="762"/>
      <c r="J42" s="106">
        <f>+J40+J32+J15+J24</f>
        <v>987027</v>
      </c>
      <c r="L42" s="27"/>
      <c r="M42" s="773" t="s">
        <v>43</v>
      </c>
      <c r="N42" s="773"/>
      <c r="O42" s="773"/>
      <c r="P42" s="773"/>
      <c r="Q42" s="773"/>
      <c r="R42" s="773"/>
      <c r="S42" s="773"/>
      <c r="T42" s="773"/>
      <c r="U42" s="210">
        <f>+U40+U32+U15+U24</f>
        <v>978664</v>
      </c>
    </row>
  </sheetData>
  <mergeCells count="76">
    <mergeCell ref="M35:Q35"/>
    <mergeCell ref="M28:Q28"/>
    <mergeCell ref="M29:Q29"/>
    <mergeCell ref="M30:Q30"/>
    <mergeCell ref="M31:Q31"/>
    <mergeCell ref="M24:T24"/>
    <mergeCell ref="M26:U26"/>
    <mergeCell ref="M27:Q27"/>
    <mergeCell ref="M32:T32"/>
    <mergeCell ref="M34:U34"/>
    <mergeCell ref="M40:T40"/>
    <mergeCell ref="M42:T42"/>
    <mergeCell ref="M36:Q36"/>
    <mergeCell ref="M37:Q37"/>
    <mergeCell ref="M38:Q38"/>
    <mergeCell ref="M39:Q39"/>
    <mergeCell ref="M22:P22"/>
    <mergeCell ref="M23:P23"/>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I40"/>
    <mergeCell ref="B42:I42"/>
    <mergeCell ref="B34:J34"/>
    <mergeCell ref="B35:F35"/>
    <mergeCell ref="B36:F36"/>
    <mergeCell ref="B37:F37"/>
    <mergeCell ref="B38:F38"/>
    <mergeCell ref="B39:F39"/>
    <mergeCell ref="B32:I32"/>
    <mergeCell ref="B20:E20"/>
    <mergeCell ref="B21:E21"/>
    <mergeCell ref="B22:E22"/>
    <mergeCell ref="B23:E23"/>
    <mergeCell ref="B24:I24"/>
    <mergeCell ref="B26:J26"/>
    <mergeCell ref="B27:F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C6" location="'PPTO HOJA'!A115" display="'PPTO HOJA'!A115" xr:uid="{00000000-0004-0000-3100-000000000000}"/>
    <hyperlink ref="N6" location="'PPTO HOJA'!A15" display="'PPTO HOJA'!A15" xr:uid="{00000000-0004-0000-3100-000001000000}"/>
  </hyperlinks>
  <pageMargins left="0.7" right="0.7" top="0.75" bottom="0.75" header="0.3" footer="0.3"/>
  <pageSetup paperSize="9" scale="33"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3100-000000000000}">
          <x14:formula1>
            <xm:f>CUADRILLAS!$B$86:$B$101</xm:f>
          </x14:formula1>
          <xm:sqref>B36:F39</xm:sqref>
        </x14:dataValidation>
      </x14:dataValidations>
    </ext>
  </extLs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theme="9" tint="0.59999389629810485"/>
  </sheetPr>
  <dimension ref="A1:U4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6.33203125" style="20" bestFit="1" customWidth="1"/>
    <col min="11" max="13" width="11.44140625" style="20"/>
    <col min="14" max="14" width="11.5546875" style="20" bestFit="1" customWidth="1"/>
    <col min="15" max="16" width="11.44140625" style="20"/>
    <col min="17" max="17" width="11.5546875" style="20" bestFit="1" customWidth="1"/>
    <col min="18" max="19" width="12.6640625" style="20" bestFit="1" customWidth="1"/>
    <col min="20" max="20" width="13.109375" style="20" bestFit="1" customWidth="1"/>
    <col min="21" max="21" width="16.33203125" style="20" bestFit="1" customWidth="1"/>
    <col min="22" max="16384" width="11.44140625" style="20"/>
  </cols>
  <sheetData>
    <row r="1" spans="1:21" x14ac:dyDescent="0.25">
      <c r="A1" s="768"/>
      <c r="B1" s="768"/>
      <c r="C1" s="768"/>
      <c r="D1" s="769" t="s">
        <v>1</v>
      </c>
      <c r="E1" s="769"/>
      <c r="F1" s="769"/>
      <c r="G1" s="769"/>
      <c r="H1" s="769"/>
      <c r="I1" s="769"/>
      <c r="J1" s="769"/>
      <c r="L1" s="768"/>
      <c r="M1" s="768"/>
      <c r="N1" s="768"/>
      <c r="O1" s="769" t="s">
        <v>1</v>
      </c>
      <c r="P1" s="769"/>
      <c r="Q1" s="769"/>
      <c r="R1" s="769"/>
      <c r="S1" s="769"/>
      <c r="T1" s="769"/>
      <c r="U1" s="769"/>
    </row>
    <row r="2" spans="1:21" x14ac:dyDescent="0.25">
      <c r="A2" s="768"/>
      <c r="B2" s="768"/>
      <c r="C2" s="768"/>
      <c r="D2" s="769" t="s">
        <v>2</v>
      </c>
      <c r="E2" s="769"/>
      <c r="F2" s="769"/>
      <c r="G2" s="769"/>
      <c r="H2" s="769"/>
      <c r="I2" s="769"/>
      <c r="J2" s="769"/>
      <c r="L2" s="768"/>
      <c r="M2" s="768"/>
      <c r="N2" s="768"/>
      <c r="O2" s="769" t="s">
        <v>2</v>
      </c>
      <c r="P2" s="769"/>
      <c r="Q2" s="769"/>
      <c r="R2" s="769"/>
      <c r="S2" s="769"/>
      <c r="T2" s="769"/>
      <c r="U2" s="769"/>
    </row>
    <row r="3" spans="1:21" ht="67.2" customHeight="1" x14ac:dyDescent="0.25">
      <c r="A3" s="768"/>
      <c r="B3" s="768"/>
      <c r="C3" s="768"/>
      <c r="D3" s="770" t="s">
        <v>328</v>
      </c>
      <c r="E3" s="770"/>
      <c r="F3" s="770"/>
      <c r="G3" s="770"/>
      <c r="H3" s="770"/>
      <c r="I3" s="770"/>
      <c r="J3" s="770"/>
      <c r="L3" s="768"/>
      <c r="M3" s="768"/>
      <c r="N3" s="768"/>
      <c r="O3" s="770" t="s">
        <v>328</v>
      </c>
      <c r="P3" s="770"/>
      <c r="Q3" s="770"/>
      <c r="R3" s="770"/>
      <c r="S3" s="770"/>
      <c r="T3" s="770"/>
      <c r="U3" s="770"/>
    </row>
    <row r="4" spans="1:21" x14ac:dyDescent="0.25">
      <c r="A4" s="768"/>
      <c r="B4" s="768"/>
      <c r="C4" s="768"/>
      <c r="D4" s="769" t="s">
        <v>20</v>
      </c>
      <c r="E4" s="769"/>
      <c r="F4" s="769"/>
      <c r="G4" s="769"/>
      <c r="H4" s="769"/>
      <c r="I4" s="769"/>
      <c r="J4" s="769"/>
      <c r="L4" s="768"/>
      <c r="M4" s="768"/>
      <c r="N4" s="768"/>
      <c r="O4" s="769" t="s">
        <v>20</v>
      </c>
      <c r="P4" s="769"/>
      <c r="Q4" s="769"/>
      <c r="R4" s="769"/>
      <c r="S4" s="769"/>
      <c r="T4" s="769"/>
      <c r="U4" s="769"/>
    </row>
    <row r="5" spans="1:21" ht="9.75" customHeight="1" x14ac:dyDescent="0.25">
      <c r="A5" s="22"/>
      <c r="J5" s="23"/>
      <c r="L5" s="22"/>
      <c r="U5" s="23"/>
    </row>
    <row r="6" spans="1:21" s="21" customFormat="1" ht="33" customHeight="1" x14ac:dyDescent="0.3">
      <c r="A6" s="202" t="s">
        <v>361</v>
      </c>
      <c r="B6" s="203" t="s">
        <v>22</v>
      </c>
      <c r="C6" s="215">
        <f>+'PPTO HOJA'!A65</f>
        <v>6.12</v>
      </c>
      <c r="D6" s="205"/>
      <c r="E6" s="777" t="s">
        <v>18</v>
      </c>
      <c r="F6" s="777"/>
      <c r="G6" s="777"/>
      <c r="H6" s="777"/>
      <c r="I6" s="202" t="s">
        <v>23</v>
      </c>
      <c r="J6" s="206" t="s">
        <v>436</v>
      </c>
      <c r="L6" s="30" t="str">
        <f>A6</f>
        <v>VI</v>
      </c>
      <c r="M6" s="29" t="s">
        <v>22</v>
      </c>
      <c r="N6" s="238">
        <f>C6</f>
        <v>6.12</v>
      </c>
      <c r="O6" s="28"/>
      <c r="P6" s="764" t="str">
        <f>E6</f>
        <v>Concreto de Resistencia 2000 PSI  para solado de estructura e=0.05m</v>
      </c>
      <c r="Q6" s="764"/>
      <c r="R6" s="764"/>
      <c r="S6" s="764"/>
      <c r="T6" s="30" t="s">
        <v>23</v>
      </c>
      <c r="U6" s="31" t="str">
        <f>J6</f>
        <v>m2</v>
      </c>
    </row>
    <row r="7" spans="1:21" ht="15" customHeight="1" x14ac:dyDescent="0.25">
      <c r="A7" s="22"/>
      <c r="B7" s="772" t="s">
        <v>24</v>
      </c>
      <c r="C7" s="772"/>
      <c r="D7" s="772"/>
      <c r="E7" s="772"/>
      <c r="F7" s="772"/>
      <c r="G7" s="772"/>
      <c r="H7" s="772"/>
      <c r="I7" s="772"/>
      <c r="J7" s="772"/>
      <c r="L7" s="22"/>
      <c r="M7" s="772" t="s">
        <v>24</v>
      </c>
      <c r="N7" s="772"/>
      <c r="O7" s="772"/>
      <c r="P7" s="772"/>
      <c r="Q7" s="772"/>
      <c r="R7" s="772"/>
      <c r="S7" s="772"/>
      <c r="T7" s="772"/>
      <c r="U7" s="772"/>
    </row>
    <row r="8" spans="1:21"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1" ht="15" customHeight="1" x14ac:dyDescent="0.25">
      <c r="A9" s="22"/>
      <c r="B9" s="771" t="s">
        <v>30</v>
      </c>
      <c r="C9" s="771"/>
      <c r="D9" s="771"/>
      <c r="E9" s="771"/>
      <c r="F9" s="771"/>
      <c r="G9" s="206"/>
      <c r="H9" s="181"/>
      <c r="I9" s="208">
        <v>0.05</v>
      </c>
      <c r="J9" s="181">
        <f>ROUND(I9*J41,0)</f>
        <v>210</v>
      </c>
      <c r="L9" s="22"/>
      <c r="M9" s="771" t="s">
        <v>30</v>
      </c>
      <c r="N9" s="771"/>
      <c r="O9" s="771"/>
      <c r="P9" s="771"/>
      <c r="Q9" s="771"/>
      <c r="R9" s="206"/>
      <c r="S9" s="181"/>
      <c r="T9" s="208">
        <v>0.05</v>
      </c>
      <c r="U9" s="181">
        <f>ROUND(T9*U41,0)</f>
        <v>210</v>
      </c>
    </row>
    <row r="10" spans="1:21" ht="15" customHeight="1" x14ac:dyDescent="0.25">
      <c r="A10" s="22"/>
      <c r="B10" s="791"/>
      <c r="C10" s="792"/>
      <c r="D10" s="792"/>
      <c r="E10" s="792"/>
      <c r="F10" s="793"/>
      <c r="G10" s="206"/>
      <c r="H10" s="181"/>
      <c r="I10" s="180"/>
      <c r="J10" s="181">
        <f t="shared" ref="J10:J13" si="0">IF(B10="",0,ROUND(H10/I10,0))</f>
        <v>0</v>
      </c>
      <c r="L10" s="22"/>
      <c r="M10" s="798" t="s">
        <v>260</v>
      </c>
      <c r="N10" s="799"/>
      <c r="O10" s="799"/>
      <c r="P10" s="799"/>
      <c r="Q10" s="800"/>
      <c r="R10" s="214" t="s">
        <v>108</v>
      </c>
      <c r="S10" s="212">
        <v>116000</v>
      </c>
      <c r="T10" s="211">
        <f>+T37</f>
        <v>75</v>
      </c>
      <c r="U10" s="212">
        <f t="shared" ref="U10:U13" si="1">IF(M10="",0,ROUND(S10/T10,0))</f>
        <v>1547</v>
      </c>
    </row>
    <row r="11" spans="1:21" ht="15" customHeight="1" x14ac:dyDescent="0.25">
      <c r="A11" s="22"/>
      <c r="B11" s="777"/>
      <c r="C11" s="777"/>
      <c r="D11" s="777"/>
      <c r="E11" s="777"/>
      <c r="F11" s="777"/>
      <c r="G11" s="206" t="s">
        <v>501</v>
      </c>
      <c r="H11" s="181" t="s">
        <v>501</v>
      </c>
      <c r="I11" s="180"/>
      <c r="J11" s="181">
        <f t="shared" si="0"/>
        <v>0</v>
      </c>
      <c r="L11" s="22"/>
      <c r="M11" s="777"/>
      <c r="N11" s="777"/>
      <c r="O11" s="777"/>
      <c r="P11" s="777"/>
      <c r="Q11" s="777"/>
      <c r="R11" s="206" t="s">
        <v>501</v>
      </c>
      <c r="S11" s="181" t="s">
        <v>501</v>
      </c>
      <c r="T11" s="180"/>
      <c r="U11" s="181">
        <f t="shared" si="1"/>
        <v>0</v>
      </c>
    </row>
    <row r="12" spans="1:21" ht="15" customHeight="1" x14ac:dyDescent="0.25">
      <c r="A12" s="22"/>
      <c r="B12" s="777"/>
      <c r="C12" s="777"/>
      <c r="D12" s="777"/>
      <c r="E12" s="777"/>
      <c r="F12" s="777"/>
      <c r="G12" s="206" t="s">
        <v>501</v>
      </c>
      <c r="H12" s="181" t="s">
        <v>501</v>
      </c>
      <c r="I12" s="180"/>
      <c r="J12" s="181">
        <f t="shared" si="0"/>
        <v>0</v>
      </c>
      <c r="L12" s="22"/>
      <c r="M12" s="777"/>
      <c r="N12" s="777"/>
      <c r="O12" s="777"/>
      <c r="P12" s="777"/>
      <c r="Q12" s="777"/>
      <c r="R12" s="206" t="s">
        <v>501</v>
      </c>
      <c r="S12" s="181" t="s">
        <v>501</v>
      </c>
      <c r="T12" s="180"/>
      <c r="U12" s="181">
        <f t="shared" si="1"/>
        <v>0</v>
      </c>
    </row>
    <row r="13" spans="1:21" ht="15" customHeight="1" x14ac:dyDescent="0.25">
      <c r="A13" s="22"/>
      <c r="B13" s="771"/>
      <c r="C13" s="771"/>
      <c r="D13" s="771"/>
      <c r="E13" s="771"/>
      <c r="F13" s="771"/>
      <c r="G13" s="206" t="s">
        <v>501</v>
      </c>
      <c r="H13" s="181" t="s">
        <v>501</v>
      </c>
      <c r="I13" s="180"/>
      <c r="J13" s="181">
        <f t="shared" si="0"/>
        <v>0</v>
      </c>
      <c r="L13" s="22"/>
      <c r="M13" s="771"/>
      <c r="N13" s="771"/>
      <c r="O13" s="771"/>
      <c r="P13" s="771"/>
      <c r="Q13" s="771"/>
      <c r="R13" s="206" t="s">
        <v>501</v>
      </c>
      <c r="S13" s="181" t="s">
        <v>501</v>
      </c>
      <c r="T13" s="180"/>
      <c r="U13" s="181">
        <f t="shared" si="1"/>
        <v>0</v>
      </c>
    </row>
    <row r="14" spans="1:21" ht="15" customHeight="1" x14ac:dyDescent="0.25">
      <c r="A14" s="22"/>
      <c r="B14" s="771"/>
      <c r="C14" s="771"/>
      <c r="D14" s="771"/>
      <c r="E14" s="771"/>
      <c r="F14" s="771"/>
      <c r="G14" s="206" t="s">
        <v>501</v>
      </c>
      <c r="H14" s="181" t="s">
        <v>501</v>
      </c>
      <c r="I14" s="180"/>
      <c r="J14" s="181"/>
      <c r="L14" s="22"/>
      <c r="M14" s="771"/>
      <c r="N14" s="771"/>
      <c r="O14" s="771"/>
      <c r="P14" s="771"/>
      <c r="Q14" s="771"/>
      <c r="R14" s="206" t="s">
        <v>501</v>
      </c>
      <c r="S14" s="181" t="s">
        <v>501</v>
      </c>
      <c r="T14" s="180"/>
      <c r="U14" s="181"/>
    </row>
    <row r="15" spans="1:21" ht="15" customHeight="1" x14ac:dyDescent="0.25">
      <c r="A15" s="22"/>
      <c r="B15" s="772" t="s">
        <v>31</v>
      </c>
      <c r="C15" s="772"/>
      <c r="D15" s="772"/>
      <c r="E15" s="772"/>
      <c r="F15" s="772"/>
      <c r="G15" s="772"/>
      <c r="H15" s="772"/>
      <c r="I15" s="772"/>
      <c r="J15" s="181">
        <f>SUM(J9:J14)</f>
        <v>210</v>
      </c>
      <c r="L15" s="22"/>
      <c r="M15" s="772" t="s">
        <v>31</v>
      </c>
      <c r="N15" s="772"/>
      <c r="O15" s="772"/>
      <c r="P15" s="772"/>
      <c r="Q15" s="772"/>
      <c r="R15" s="772"/>
      <c r="S15" s="772"/>
      <c r="T15" s="772"/>
      <c r="U15" s="181">
        <f>SUM(U9:U14)</f>
        <v>1757</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72" t="s">
        <v>32</v>
      </c>
      <c r="C17" s="772"/>
      <c r="D17" s="772"/>
      <c r="E17" s="772"/>
      <c r="F17" s="772"/>
      <c r="G17" s="772"/>
      <c r="H17" s="772"/>
      <c r="I17" s="772"/>
      <c r="J17" s="772"/>
      <c r="L17" s="22"/>
      <c r="M17" s="772" t="s">
        <v>32</v>
      </c>
      <c r="N17" s="772"/>
      <c r="O17" s="772"/>
      <c r="P17" s="772"/>
      <c r="Q17" s="772"/>
      <c r="R17" s="772"/>
      <c r="S17" s="772"/>
      <c r="T17" s="772"/>
      <c r="U17" s="772"/>
    </row>
    <row r="18" spans="1:21" ht="26.4" x14ac:dyDescent="0.25">
      <c r="A18" s="22"/>
      <c r="B18" s="774" t="s">
        <v>33</v>
      </c>
      <c r="C18" s="774"/>
      <c r="D18" s="774"/>
      <c r="E18" s="774"/>
      <c r="F18" s="205" t="s">
        <v>19</v>
      </c>
      <c r="G18" s="206" t="s">
        <v>34</v>
      </c>
      <c r="H18" s="207" t="s">
        <v>35</v>
      </c>
      <c r="I18" s="207" t="s">
        <v>36</v>
      </c>
      <c r="J18" s="207" t="s">
        <v>29</v>
      </c>
      <c r="L18" s="22"/>
      <c r="M18" s="774" t="s">
        <v>33</v>
      </c>
      <c r="N18" s="774"/>
      <c r="O18" s="774"/>
      <c r="P18" s="774"/>
      <c r="Q18" s="205" t="s">
        <v>19</v>
      </c>
      <c r="R18" s="206" t="s">
        <v>34</v>
      </c>
      <c r="S18" s="207" t="s">
        <v>35</v>
      </c>
      <c r="T18" s="207" t="s">
        <v>36</v>
      </c>
      <c r="U18" s="207" t="s">
        <v>29</v>
      </c>
    </row>
    <row r="19" spans="1:21" ht="16.5" customHeight="1" x14ac:dyDescent="0.25">
      <c r="A19" s="22"/>
      <c r="B19" s="807" t="str">
        <f>+'APU BÁSICOS'!E144</f>
        <v>Concreto de 2000 PSI</v>
      </c>
      <c r="C19" s="777"/>
      <c r="D19" s="777"/>
      <c r="E19" s="777"/>
      <c r="F19" s="180">
        <f>1*0.5</f>
        <v>0.5</v>
      </c>
      <c r="G19" s="206" t="s">
        <v>261</v>
      </c>
      <c r="H19" s="209">
        <v>0.1</v>
      </c>
      <c r="I19" s="181">
        <f>+'APU BÁSICOS'!J181</f>
        <v>41291</v>
      </c>
      <c r="J19" s="181">
        <f>IF(I19="",0,ROUND((+F19*I19*(1+H19)),0))</f>
        <v>22710</v>
      </c>
      <c r="L19" s="22"/>
      <c r="M19" s="778" t="s">
        <v>147</v>
      </c>
      <c r="N19" s="778"/>
      <c r="O19" s="778"/>
      <c r="P19" s="778"/>
      <c r="Q19" s="211">
        <f>190/20</f>
        <v>9.5</v>
      </c>
      <c r="R19" s="214" t="s">
        <v>148</v>
      </c>
      <c r="S19" s="272"/>
      <c r="T19" s="212">
        <v>105</v>
      </c>
      <c r="U19" s="212">
        <f>IF(T19="",0,ROUND((+Q19*T19*(1+S19)),0))</f>
        <v>998</v>
      </c>
    </row>
    <row r="20" spans="1:21" x14ac:dyDescent="0.25">
      <c r="A20" s="22"/>
      <c r="B20" s="771"/>
      <c r="C20" s="771"/>
      <c r="D20" s="771"/>
      <c r="E20" s="771"/>
      <c r="F20" s="180"/>
      <c r="G20" s="206"/>
      <c r="H20" s="209"/>
      <c r="I20" s="181"/>
      <c r="J20" s="181">
        <f t="shared" ref="J20:J23" si="2">IF(I20="",0,ROUND((+F20*I20*(1+H20)),0))</f>
        <v>0</v>
      </c>
      <c r="L20" s="22"/>
      <c r="M20" s="789" t="s">
        <v>264</v>
      </c>
      <c r="N20" s="789"/>
      <c r="O20" s="789"/>
      <c r="P20" s="789"/>
      <c r="Q20" s="211">
        <f>0.555/20</f>
        <v>2.7750000000000004E-2</v>
      </c>
      <c r="R20" s="214" t="s">
        <v>261</v>
      </c>
      <c r="S20" s="272"/>
      <c r="T20" s="212">
        <v>89250</v>
      </c>
      <c r="U20" s="212">
        <f t="shared" ref="U20:U23" si="3">IF(T20="",0,ROUND((+Q20*T20*(1+S20)),0))</f>
        <v>2477</v>
      </c>
    </row>
    <row r="21" spans="1:21" x14ac:dyDescent="0.25">
      <c r="A21" s="22"/>
      <c r="B21" s="791"/>
      <c r="C21" s="792"/>
      <c r="D21" s="792"/>
      <c r="E21" s="793"/>
      <c r="F21" s="180"/>
      <c r="G21" s="206"/>
      <c r="H21" s="209"/>
      <c r="I21" s="181"/>
      <c r="J21" s="181">
        <f t="shared" si="2"/>
        <v>0</v>
      </c>
      <c r="L21" s="22"/>
      <c r="M21" s="798" t="s">
        <v>160</v>
      </c>
      <c r="N21" s="799"/>
      <c r="O21" s="799"/>
      <c r="P21" s="800"/>
      <c r="Q21" s="211">
        <f>0.92/20</f>
        <v>4.5999999999999999E-2</v>
      </c>
      <c r="R21" s="214" t="s">
        <v>261</v>
      </c>
      <c r="S21" s="272"/>
      <c r="T21" s="212">
        <v>144000</v>
      </c>
      <c r="U21" s="212">
        <f t="shared" si="3"/>
        <v>6624</v>
      </c>
    </row>
    <row r="22" spans="1:21" x14ac:dyDescent="0.25">
      <c r="A22" s="22"/>
      <c r="B22" s="771"/>
      <c r="C22" s="771"/>
      <c r="D22" s="771"/>
      <c r="E22" s="771"/>
      <c r="F22" s="180"/>
      <c r="G22" s="206"/>
      <c r="H22" s="209"/>
      <c r="I22" s="181"/>
      <c r="J22" s="181">
        <f t="shared" si="2"/>
        <v>0</v>
      </c>
      <c r="L22" s="22"/>
      <c r="M22" s="789" t="s">
        <v>435</v>
      </c>
      <c r="N22" s="789"/>
      <c r="O22" s="789"/>
      <c r="P22" s="789"/>
      <c r="Q22" s="211">
        <f>230/20</f>
        <v>11.5</v>
      </c>
      <c r="R22" s="214" t="s">
        <v>49</v>
      </c>
      <c r="S22" s="272"/>
      <c r="T22" s="212">
        <v>680</v>
      </c>
      <c r="U22" s="212">
        <f t="shared" si="3"/>
        <v>7820</v>
      </c>
    </row>
    <row r="23" spans="1:21" ht="15" customHeight="1" x14ac:dyDescent="0.25">
      <c r="A23" s="22"/>
      <c r="B23" s="791"/>
      <c r="C23" s="792"/>
      <c r="D23" s="792"/>
      <c r="E23" s="793"/>
      <c r="F23" s="180"/>
      <c r="G23" s="206"/>
      <c r="H23" s="209"/>
      <c r="I23" s="181" t="s">
        <v>501</v>
      </c>
      <c r="J23" s="181">
        <f t="shared" si="2"/>
        <v>0</v>
      </c>
      <c r="L23" s="22"/>
      <c r="M23" s="791" t="s">
        <v>499</v>
      </c>
      <c r="N23" s="792"/>
      <c r="O23" s="792"/>
      <c r="P23" s="793"/>
      <c r="Q23" s="180" t="s">
        <v>500</v>
      </c>
      <c r="R23" s="206" t="s">
        <v>261</v>
      </c>
      <c r="S23" s="209">
        <v>0.05</v>
      </c>
      <c r="T23" s="181"/>
      <c r="U23" s="181">
        <f t="shared" si="3"/>
        <v>0</v>
      </c>
    </row>
    <row r="24" spans="1:21" ht="15" customHeight="1" x14ac:dyDescent="0.25">
      <c r="A24" s="22"/>
      <c r="B24" s="791"/>
      <c r="C24" s="792"/>
      <c r="D24" s="792"/>
      <c r="E24" s="793"/>
      <c r="F24" s="180"/>
      <c r="G24" s="206"/>
      <c r="H24" s="209"/>
      <c r="I24" s="181"/>
      <c r="J24" s="181"/>
      <c r="L24" s="22"/>
      <c r="M24" s="791"/>
      <c r="N24" s="792"/>
      <c r="O24" s="792"/>
      <c r="P24" s="793"/>
      <c r="Q24" s="180"/>
      <c r="R24" s="206"/>
      <c r="S24" s="209"/>
      <c r="T24" s="181"/>
      <c r="U24" s="181"/>
    </row>
    <row r="25" spans="1:21" ht="15" customHeight="1" x14ac:dyDescent="0.25">
      <c r="A25" s="22"/>
      <c r="B25" s="772" t="s">
        <v>37</v>
      </c>
      <c r="C25" s="772"/>
      <c r="D25" s="772"/>
      <c r="E25" s="772"/>
      <c r="F25" s="772"/>
      <c r="G25" s="772"/>
      <c r="H25" s="772"/>
      <c r="I25" s="772"/>
      <c r="J25" s="181">
        <f>SUM(J19:J24)</f>
        <v>22710</v>
      </c>
      <c r="L25" s="22"/>
      <c r="M25" s="772" t="s">
        <v>37</v>
      </c>
      <c r="N25" s="772"/>
      <c r="O25" s="772"/>
      <c r="P25" s="772"/>
      <c r="Q25" s="772"/>
      <c r="R25" s="772"/>
      <c r="S25" s="772"/>
      <c r="T25" s="772"/>
      <c r="U25" s="181">
        <f>SUM(U19:U23)</f>
        <v>17919</v>
      </c>
    </row>
    <row r="26" spans="1:21" ht="7.5" customHeight="1" x14ac:dyDescent="0.25">
      <c r="A26" s="22"/>
      <c r="B26" s="25"/>
      <c r="C26" s="25"/>
      <c r="D26" s="25"/>
      <c r="E26" s="25"/>
      <c r="F26" s="25"/>
      <c r="G26" s="25"/>
      <c r="H26" s="25"/>
      <c r="I26" s="25"/>
      <c r="J26" s="26"/>
      <c r="L26" s="22"/>
      <c r="M26" s="25"/>
      <c r="N26" s="25"/>
      <c r="O26" s="25"/>
      <c r="P26" s="25"/>
      <c r="Q26" s="25"/>
      <c r="R26" s="25"/>
      <c r="S26" s="25"/>
      <c r="T26" s="25"/>
      <c r="U26" s="26"/>
    </row>
    <row r="27" spans="1:21" ht="15" customHeight="1" x14ac:dyDescent="0.25">
      <c r="A27" s="22"/>
      <c r="B27" s="772" t="s">
        <v>38</v>
      </c>
      <c r="C27" s="772"/>
      <c r="D27" s="772"/>
      <c r="E27" s="772"/>
      <c r="F27" s="772"/>
      <c r="G27" s="772"/>
      <c r="H27" s="772"/>
      <c r="I27" s="772"/>
      <c r="J27" s="772"/>
      <c r="L27" s="22"/>
      <c r="M27" s="772" t="s">
        <v>38</v>
      </c>
      <c r="N27" s="772"/>
      <c r="O27" s="772"/>
      <c r="P27" s="772"/>
      <c r="Q27" s="772"/>
      <c r="R27" s="772"/>
      <c r="S27" s="772"/>
      <c r="T27" s="772"/>
      <c r="U27" s="772"/>
    </row>
    <row r="28" spans="1:21" x14ac:dyDescent="0.25">
      <c r="A28" s="22"/>
      <c r="B28" s="774" t="s">
        <v>33</v>
      </c>
      <c r="C28" s="774"/>
      <c r="D28" s="774"/>
      <c r="E28" s="774"/>
      <c r="F28" s="774"/>
      <c r="G28" s="206" t="s">
        <v>133</v>
      </c>
      <c r="H28" s="206" t="s">
        <v>132</v>
      </c>
      <c r="I28" s="206" t="s">
        <v>39</v>
      </c>
      <c r="J28" s="207" t="s">
        <v>29</v>
      </c>
      <c r="L28" s="22"/>
      <c r="M28" s="774" t="s">
        <v>33</v>
      </c>
      <c r="N28" s="774"/>
      <c r="O28" s="774"/>
      <c r="P28" s="774"/>
      <c r="Q28" s="774"/>
      <c r="R28" s="206" t="s">
        <v>133</v>
      </c>
      <c r="S28" s="206" t="s">
        <v>132</v>
      </c>
      <c r="T28" s="206" t="s">
        <v>39</v>
      </c>
      <c r="U28" s="207" t="s">
        <v>29</v>
      </c>
    </row>
    <row r="29" spans="1:21" ht="15" customHeight="1" x14ac:dyDescent="0.25">
      <c r="A29" s="22"/>
      <c r="B29" s="771"/>
      <c r="C29" s="771"/>
      <c r="D29" s="771"/>
      <c r="E29" s="771"/>
      <c r="F29" s="771"/>
      <c r="G29" s="180"/>
      <c r="H29" s="180"/>
      <c r="I29" s="181"/>
      <c r="J29" s="181">
        <f>ROUND((I29*H29*G29),0)</f>
        <v>0</v>
      </c>
      <c r="L29" s="22"/>
      <c r="M29" s="789" t="s">
        <v>262</v>
      </c>
      <c r="N29" s="789"/>
      <c r="O29" s="789"/>
      <c r="P29" s="789"/>
      <c r="Q29" s="789"/>
      <c r="R29" s="211">
        <f>1.34/20</f>
        <v>6.7000000000000004E-2</v>
      </c>
      <c r="S29" s="211">
        <v>29</v>
      </c>
      <c r="T29" s="212">
        <v>1241.46</v>
      </c>
      <c r="U29" s="212">
        <f>ROUND((T29*S29*R29),0)</f>
        <v>2412</v>
      </c>
    </row>
    <row r="30" spans="1:21" ht="15" customHeight="1" x14ac:dyDescent="0.25">
      <c r="A30" s="22"/>
      <c r="B30" s="771"/>
      <c r="C30" s="771"/>
      <c r="D30" s="771"/>
      <c r="E30" s="771"/>
      <c r="F30" s="771"/>
      <c r="G30" s="206"/>
      <c r="H30" s="180"/>
      <c r="I30" s="181"/>
      <c r="J30" s="181">
        <v>0</v>
      </c>
      <c r="L30" s="22"/>
      <c r="M30" s="771"/>
      <c r="N30" s="771"/>
      <c r="O30" s="771"/>
      <c r="P30" s="771"/>
      <c r="Q30" s="771"/>
      <c r="R30" s="206"/>
      <c r="S30" s="180"/>
      <c r="T30" s="181"/>
      <c r="U30" s="181">
        <v>0</v>
      </c>
    </row>
    <row r="31" spans="1:21" ht="15" customHeight="1" x14ac:dyDescent="0.25">
      <c r="A31" s="22"/>
      <c r="B31" s="808"/>
      <c r="C31" s="809"/>
      <c r="D31" s="809"/>
      <c r="E31" s="809"/>
      <c r="F31" s="810"/>
      <c r="G31" s="206"/>
      <c r="H31" s="213"/>
      <c r="I31" s="181"/>
      <c r="J31" s="181"/>
      <c r="L31" s="22"/>
      <c r="M31" s="771"/>
      <c r="N31" s="771"/>
      <c r="O31" s="771"/>
      <c r="P31" s="771"/>
      <c r="Q31" s="180"/>
      <c r="R31" s="206"/>
      <c r="S31" s="213"/>
      <c r="T31" s="181"/>
      <c r="U31" s="181"/>
    </row>
    <row r="32" spans="1:21" ht="15" customHeight="1" x14ac:dyDescent="0.25">
      <c r="A32" s="22"/>
      <c r="B32" s="771"/>
      <c r="C32" s="771"/>
      <c r="D32" s="771"/>
      <c r="E32" s="771"/>
      <c r="F32" s="771"/>
      <c r="G32" s="206"/>
      <c r="H32" s="206"/>
      <c r="I32" s="181"/>
      <c r="J32" s="181">
        <v>0</v>
      </c>
      <c r="L32" s="22"/>
      <c r="M32" s="771"/>
      <c r="N32" s="771"/>
      <c r="O32" s="771"/>
      <c r="P32" s="771"/>
      <c r="Q32" s="771"/>
      <c r="R32" s="206"/>
      <c r="S32" s="206"/>
      <c r="T32" s="181"/>
      <c r="U32" s="181">
        <v>0</v>
      </c>
    </row>
    <row r="33" spans="1:21" ht="15" customHeight="1" x14ac:dyDescent="0.25">
      <c r="A33" s="22"/>
      <c r="B33" s="772" t="s">
        <v>40</v>
      </c>
      <c r="C33" s="772"/>
      <c r="D33" s="772"/>
      <c r="E33" s="772"/>
      <c r="F33" s="772"/>
      <c r="G33" s="772"/>
      <c r="H33" s="772"/>
      <c r="I33" s="772"/>
      <c r="J33" s="181">
        <f>SUM(J29:J32)</f>
        <v>0</v>
      </c>
      <c r="L33" s="22"/>
      <c r="M33" s="772" t="s">
        <v>40</v>
      </c>
      <c r="N33" s="772"/>
      <c r="O33" s="772"/>
      <c r="P33" s="772"/>
      <c r="Q33" s="772"/>
      <c r="R33" s="772"/>
      <c r="S33" s="772"/>
      <c r="T33" s="772"/>
      <c r="U33" s="181">
        <f>SUM(U29:U32)</f>
        <v>2412</v>
      </c>
    </row>
    <row r="34" spans="1:21" ht="7.5" customHeight="1" x14ac:dyDescent="0.25">
      <c r="A34" s="22"/>
      <c r="B34" s="25"/>
      <c r="C34" s="25"/>
      <c r="D34" s="25"/>
      <c r="E34" s="25"/>
      <c r="F34" s="25"/>
      <c r="G34" s="25"/>
      <c r="H34" s="25"/>
      <c r="I34" s="25"/>
      <c r="J34" s="26"/>
      <c r="L34" s="22"/>
      <c r="M34" s="25"/>
      <c r="N34" s="25"/>
      <c r="O34" s="25"/>
      <c r="P34" s="25"/>
      <c r="Q34" s="25"/>
      <c r="R34" s="25"/>
      <c r="S34" s="25"/>
      <c r="T34" s="25"/>
      <c r="U34" s="26"/>
    </row>
    <row r="35" spans="1:21" ht="15" customHeight="1" x14ac:dyDescent="0.25">
      <c r="A35" s="22"/>
      <c r="B35" s="772" t="s">
        <v>41</v>
      </c>
      <c r="C35" s="772"/>
      <c r="D35" s="772"/>
      <c r="E35" s="772"/>
      <c r="F35" s="772"/>
      <c r="G35" s="772"/>
      <c r="H35" s="772"/>
      <c r="I35" s="772"/>
      <c r="J35" s="772"/>
      <c r="L35" s="22"/>
      <c r="M35" s="772" t="s">
        <v>41</v>
      </c>
      <c r="N35" s="772"/>
      <c r="O35" s="772"/>
      <c r="P35" s="772"/>
      <c r="Q35" s="772"/>
      <c r="R35" s="772"/>
      <c r="S35" s="772"/>
      <c r="T35" s="772"/>
      <c r="U35" s="772"/>
    </row>
    <row r="36" spans="1:21" ht="39.6" x14ac:dyDescent="0.25">
      <c r="A36" s="22"/>
      <c r="B36" s="774" t="s">
        <v>4</v>
      </c>
      <c r="C36" s="774"/>
      <c r="D36" s="774"/>
      <c r="E36" s="774"/>
      <c r="F36" s="774"/>
      <c r="G36" s="207" t="s">
        <v>51</v>
      </c>
      <c r="H36" s="207" t="s">
        <v>19</v>
      </c>
      <c r="I36" s="207" t="s">
        <v>28</v>
      </c>
      <c r="J36" s="207" t="s">
        <v>29</v>
      </c>
      <c r="L36" s="22"/>
      <c r="M36" s="774" t="s">
        <v>4</v>
      </c>
      <c r="N36" s="774"/>
      <c r="O36" s="774"/>
      <c r="P36" s="774"/>
      <c r="Q36" s="774"/>
      <c r="R36" s="207" t="s">
        <v>51</v>
      </c>
      <c r="S36" s="207" t="s">
        <v>19</v>
      </c>
      <c r="T36" s="207" t="s">
        <v>28</v>
      </c>
      <c r="U36" s="207" t="s">
        <v>29</v>
      </c>
    </row>
    <row r="37" spans="1:21" ht="15" customHeight="1" x14ac:dyDescent="0.25">
      <c r="A37" s="22"/>
      <c r="B37" s="771" t="s">
        <v>120</v>
      </c>
      <c r="C37" s="771"/>
      <c r="D37" s="771"/>
      <c r="E37" s="771"/>
      <c r="F37" s="771"/>
      <c r="G37" s="181">
        <v>157213.73333333334</v>
      </c>
      <c r="H37" s="206">
        <v>1</v>
      </c>
      <c r="I37" s="180">
        <v>75</v>
      </c>
      <c r="J37" s="181">
        <f>ROUND(+IF(I37=0,0,G37*H37/I37),0)</f>
        <v>2096</v>
      </c>
      <c r="L37" s="22"/>
      <c r="M37" s="771" t="s">
        <v>120</v>
      </c>
      <c r="N37" s="771"/>
      <c r="O37" s="771"/>
      <c r="P37" s="771"/>
      <c r="Q37" s="771"/>
      <c r="R37" s="181">
        <v>157213.73333333334</v>
      </c>
      <c r="S37" s="206">
        <v>1</v>
      </c>
      <c r="T37" s="180">
        <v>75</v>
      </c>
      <c r="U37" s="181">
        <f>ROUND(+IF(T37=0,0,R37*S37/T37),0)</f>
        <v>2096</v>
      </c>
    </row>
    <row r="38" spans="1:21" ht="15" customHeight="1" x14ac:dyDescent="0.25">
      <c r="A38" s="22"/>
      <c r="B38" s="771" t="s">
        <v>121</v>
      </c>
      <c r="C38" s="771"/>
      <c r="D38" s="771"/>
      <c r="E38" s="771"/>
      <c r="F38" s="771"/>
      <c r="G38" s="181">
        <v>78606.866666666669</v>
      </c>
      <c r="H38" s="206">
        <v>2</v>
      </c>
      <c r="I38" s="180">
        <f>+I37</f>
        <v>75</v>
      </c>
      <c r="J38" s="181">
        <f>ROUND(+IF(I38=0,0,G38*H38/I38),0)</f>
        <v>2096</v>
      </c>
      <c r="L38" s="22"/>
      <c r="M38" s="771" t="s">
        <v>121</v>
      </c>
      <c r="N38" s="771"/>
      <c r="O38" s="771"/>
      <c r="P38" s="771"/>
      <c r="Q38" s="771"/>
      <c r="R38" s="181">
        <v>78606.866666666669</v>
      </c>
      <c r="S38" s="206">
        <v>2</v>
      </c>
      <c r="T38" s="180">
        <f>+T37</f>
        <v>75</v>
      </c>
      <c r="U38" s="181">
        <f>ROUND(+IF(T38=0,0,R38*S38/T38),0)</f>
        <v>2096</v>
      </c>
    </row>
    <row r="39" spans="1:21" ht="15" customHeight="1" x14ac:dyDescent="0.25">
      <c r="A39" s="22"/>
      <c r="B39" s="771"/>
      <c r="C39" s="771"/>
      <c r="D39" s="771"/>
      <c r="E39" s="771"/>
      <c r="F39" s="771"/>
      <c r="G39" s="181" t="s">
        <v>501</v>
      </c>
      <c r="H39" s="206"/>
      <c r="I39" s="180"/>
      <c r="J39" s="181">
        <f>ROUND(+IF(I39=0,0,G39*H39/I39),0)</f>
        <v>0</v>
      </c>
      <c r="L39" s="22"/>
      <c r="M39" s="771"/>
      <c r="N39" s="771"/>
      <c r="O39" s="771"/>
      <c r="P39" s="771"/>
      <c r="Q39" s="771"/>
      <c r="R39" s="181" t="s">
        <v>501</v>
      </c>
      <c r="S39" s="206"/>
      <c r="T39" s="180"/>
      <c r="U39" s="181">
        <f>ROUND(+IF(T39=0,0,R39*S39/T39),0)</f>
        <v>0</v>
      </c>
    </row>
    <row r="40" spans="1:21" ht="15" customHeight="1" x14ac:dyDescent="0.25">
      <c r="A40" s="22"/>
      <c r="B40" s="771"/>
      <c r="C40" s="771"/>
      <c r="D40" s="771"/>
      <c r="E40" s="771"/>
      <c r="F40" s="771"/>
      <c r="G40" s="181" t="s">
        <v>501</v>
      </c>
      <c r="H40" s="206"/>
      <c r="I40" s="180"/>
      <c r="J40" s="181">
        <f t="shared" ref="J40" si="4">+IF(I40=0,0,G40*H40/I40)</f>
        <v>0</v>
      </c>
      <c r="L40" s="22"/>
      <c r="M40" s="771"/>
      <c r="N40" s="771"/>
      <c r="O40" s="771"/>
      <c r="P40" s="771"/>
      <c r="Q40" s="771"/>
      <c r="R40" s="181" t="s">
        <v>501</v>
      </c>
      <c r="S40" s="206"/>
      <c r="T40" s="180"/>
      <c r="U40" s="181">
        <f t="shared" ref="U40" si="5">+IF(T40=0,0,R40*S40/T40)</f>
        <v>0</v>
      </c>
    </row>
    <row r="41" spans="1:21" ht="15" customHeight="1" x14ac:dyDescent="0.25">
      <c r="A41" s="22"/>
      <c r="B41" s="772" t="s">
        <v>42</v>
      </c>
      <c r="C41" s="772"/>
      <c r="D41" s="772"/>
      <c r="E41" s="772"/>
      <c r="F41" s="772"/>
      <c r="G41" s="772"/>
      <c r="H41" s="772"/>
      <c r="I41" s="772"/>
      <c r="J41" s="181">
        <f>SUM(J37:J40)</f>
        <v>4192</v>
      </c>
      <c r="L41" s="22"/>
      <c r="M41" s="772" t="s">
        <v>42</v>
      </c>
      <c r="N41" s="772"/>
      <c r="O41" s="772"/>
      <c r="P41" s="772"/>
      <c r="Q41" s="772"/>
      <c r="R41" s="772"/>
      <c r="S41" s="772"/>
      <c r="T41" s="772"/>
      <c r="U41" s="181">
        <f>SUM(U37:U40)</f>
        <v>4192</v>
      </c>
    </row>
    <row r="42" spans="1:21" ht="7.5" customHeight="1" x14ac:dyDescent="0.25">
      <c r="A42" s="22"/>
      <c r="B42" s="25"/>
      <c r="C42" s="25"/>
      <c r="D42" s="25"/>
      <c r="E42" s="25"/>
      <c r="F42" s="25"/>
      <c r="G42" s="25"/>
      <c r="H42" s="25"/>
      <c r="I42" s="25"/>
      <c r="J42" s="26"/>
      <c r="L42" s="22"/>
      <c r="M42" s="25"/>
      <c r="N42" s="25"/>
      <c r="O42" s="25"/>
      <c r="P42" s="25"/>
      <c r="Q42" s="25"/>
      <c r="R42" s="25"/>
      <c r="S42" s="25"/>
      <c r="T42" s="25"/>
      <c r="U42" s="26"/>
    </row>
    <row r="43" spans="1:21" ht="15.75" customHeight="1" x14ac:dyDescent="0.25">
      <c r="A43" s="27"/>
      <c r="B43" s="773" t="s">
        <v>43</v>
      </c>
      <c r="C43" s="773"/>
      <c r="D43" s="773"/>
      <c r="E43" s="773"/>
      <c r="F43" s="773"/>
      <c r="G43" s="773"/>
      <c r="H43" s="773"/>
      <c r="I43" s="773"/>
      <c r="J43" s="210">
        <f>+J41+J33+J15+J25</f>
        <v>27112</v>
      </c>
      <c r="L43" s="27"/>
      <c r="M43" s="773" t="s">
        <v>43</v>
      </c>
      <c r="N43" s="773"/>
      <c r="O43" s="773"/>
      <c r="P43" s="773"/>
      <c r="Q43" s="773"/>
      <c r="R43" s="773"/>
      <c r="S43" s="773"/>
      <c r="T43" s="773"/>
      <c r="U43" s="210">
        <f>+U41+U33+U15+U25</f>
        <v>26280</v>
      </c>
    </row>
    <row r="44" spans="1:21" x14ac:dyDescent="0.25">
      <c r="B44" s="21"/>
      <c r="C44" s="21"/>
      <c r="D44" s="21"/>
      <c r="E44" s="21"/>
      <c r="F44" s="21"/>
      <c r="G44" s="21"/>
      <c r="H44" s="21"/>
      <c r="I44" s="21"/>
      <c r="J44" s="21"/>
    </row>
  </sheetData>
  <mergeCells count="78">
    <mergeCell ref="M41:T41"/>
    <mergeCell ref="M43:T43"/>
    <mergeCell ref="M35:U35"/>
    <mergeCell ref="M36:Q36"/>
    <mergeCell ref="M37:Q37"/>
    <mergeCell ref="M38:Q38"/>
    <mergeCell ref="M39:Q39"/>
    <mergeCell ref="M40:Q40"/>
    <mergeCell ref="M33:T33"/>
    <mergeCell ref="M21:P21"/>
    <mergeCell ref="M22:P22"/>
    <mergeCell ref="M23:P23"/>
    <mergeCell ref="M24:P24"/>
    <mergeCell ref="M25:T25"/>
    <mergeCell ref="M27:U27"/>
    <mergeCell ref="M28:Q28"/>
    <mergeCell ref="M29:Q29"/>
    <mergeCell ref="M30:Q30"/>
    <mergeCell ref="M31:P31"/>
    <mergeCell ref="M32:Q32"/>
    <mergeCell ref="M20:P20"/>
    <mergeCell ref="M8:Q8"/>
    <mergeCell ref="M9:Q9"/>
    <mergeCell ref="M10:Q10"/>
    <mergeCell ref="M11:Q11"/>
    <mergeCell ref="M12:Q12"/>
    <mergeCell ref="M13:Q13"/>
    <mergeCell ref="M14:Q14"/>
    <mergeCell ref="M15:T15"/>
    <mergeCell ref="M17:U17"/>
    <mergeCell ref="M18:P18"/>
    <mergeCell ref="M19:P19"/>
    <mergeCell ref="B40:F40"/>
    <mergeCell ref="B41:I41"/>
    <mergeCell ref="B43:I43"/>
    <mergeCell ref="L1:N4"/>
    <mergeCell ref="O1:U1"/>
    <mergeCell ref="O2:U2"/>
    <mergeCell ref="O3:U3"/>
    <mergeCell ref="O4:U4"/>
    <mergeCell ref="P6:S6"/>
    <mergeCell ref="M7:U7"/>
    <mergeCell ref="B33:I33"/>
    <mergeCell ref="B35:J35"/>
    <mergeCell ref="B36:F36"/>
    <mergeCell ref="B37:F37"/>
    <mergeCell ref="B38:F38"/>
    <mergeCell ref="B39:F39"/>
    <mergeCell ref="B32:F32"/>
    <mergeCell ref="B20:E20"/>
    <mergeCell ref="B21:E21"/>
    <mergeCell ref="B22:E22"/>
    <mergeCell ref="B23:E23"/>
    <mergeCell ref="B24:E24"/>
    <mergeCell ref="B25:I25"/>
    <mergeCell ref="B27:J27"/>
    <mergeCell ref="B28:F28"/>
    <mergeCell ref="B29:F29"/>
    <mergeCell ref="B30:F30"/>
    <mergeCell ref="B31:F31"/>
    <mergeCell ref="B19:E19"/>
    <mergeCell ref="B7:J7"/>
    <mergeCell ref="B8:F8"/>
    <mergeCell ref="B9:F9"/>
    <mergeCell ref="B10:F10"/>
    <mergeCell ref="B11:F11"/>
    <mergeCell ref="B12:F12"/>
    <mergeCell ref="B13:F13"/>
    <mergeCell ref="B14:F14"/>
    <mergeCell ref="B15:I15"/>
    <mergeCell ref="B17:J17"/>
    <mergeCell ref="B18:E18"/>
    <mergeCell ref="E6:H6"/>
    <mergeCell ref="A1:C4"/>
    <mergeCell ref="D1:J1"/>
    <mergeCell ref="D2:J2"/>
    <mergeCell ref="D3:J3"/>
    <mergeCell ref="D4:J4"/>
  </mergeCells>
  <hyperlinks>
    <hyperlink ref="N6" location="'PPTO HOJA'!A15" display="'PPTO HOJA'!A15" xr:uid="{00000000-0004-0000-3200-000000000000}"/>
  </hyperlinks>
  <pageMargins left="0.7" right="0.7" top="0.75" bottom="0.75" header="0.3" footer="0.3"/>
  <pageSetup paperSize="9" scale="35"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theme="9" tint="0.59999389629810485"/>
  </sheetPr>
  <dimension ref="A1:U46"/>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9.33203125" style="20" bestFit="1" customWidth="1"/>
    <col min="11" max="11" width="6.33203125" style="20" customWidth="1"/>
    <col min="12" max="13" width="11.44140625" style="20"/>
    <col min="14" max="14" width="11.5546875" style="20" bestFit="1" customWidth="1"/>
    <col min="15" max="16" width="11.44140625" style="20"/>
    <col min="17" max="17" width="11.5546875" style="20" bestFit="1" customWidth="1"/>
    <col min="18" max="18" width="13.44140625" style="20" bestFit="1" customWidth="1"/>
    <col min="19" max="19" width="12.6640625" style="20" bestFit="1" customWidth="1"/>
    <col min="20" max="20" width="13.109375" style="20" bestFit="1" customWidth="1"/>
    <col min="21" max="21" width="19.3320312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361</v>
      </c>
      <c r="B6" s="29" t="s">
        <v>22</v>
      </c>
      <c r="C6" s="154">
        <f>+'PPTO HOJA'!A66</f>
        <v>6.13</v>
      </c>
      <c r="D6" s="28"/>
      <c r="E6" s="764" t="str">
        <f>'PPTO HOJA'!B66</f>
        <v>Concreto de Resistencia 5000 PSI para cimentación</v>
      </c>
      <c r="F6" s="764"/>
      <c r="G6" s="764"/>
      <c r="H6" s="764"/>
      <c r="I6" s="30" t="s">
        <v>23</v>
      </c>
      <c r="J6" s="31" t="str">
        <f>'PPTO HOJA'!C66</f>
        <v>m3</v>
      </c>
      <c r="L6" s="30" t="str">
        <f>A6</f>
        <v>VI</v>
      </c>
      <c r="M6" s="29" t="s">
        <v>22</v>
      </c>
      <c r="N6" s="238">
        <f>C6</f>
        <v>6.13</v>
      </c>
      <c r="O6" s="28"/>
      <c r="P6" s="764" t="str">
        <f>E6</f>
        <v>Concreto de Resistencia 5000 PSI para cimentación</v>
      </c>
      <c r="Q6" s="764"/>
      <c r="R6" s="764"/>
      <c r="S6" s="764"/>
      <c r="T6" s="30" t="s">
        <v>23</v>
      </c>
      <c r="U6" s="31" t="str">
        <f>J6</f>
        <v>m3</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v>
      </c>
      <c r="C9" s="760"/>
      <c r="D9" s="760"/>
      <c r="E9" s="760"/>
      <c r="F9" s="760"/>
      <c r="G9" s="31"/>
      <c r="H9" s="24"/>
      <c r="I9" s="33">
        <v>0.05</v>
      </c>
      <c r="J9" s="24">
        <f>ROUND(I9*J41,0)</f>
        <v>1310</v>
      </c>
      <c r="L9" s="22"/>
      <c r="M9" s="771" t="s">
        <v>30</v>
      </c>
      <c r="N9" s="771"/>
      <c r="O9" s="771"/>
      <c r="P9" s="771"/>
      <c r="Q9" s="771"/>
      <c r="R9" s="206"/>
      <c r="S9" s="181"/>
      <c r="T9" s="208">
        <v>0.05</v>
      </c>
      <c r="U9" s="181">
        <f>ROUND(T9*U41,0)</f>
        <v>1310</v>
      </c>
    </row>
    <row r="10" spans="1:21" ht="15" customHeight="1" x14ac:dyDescent="0.25">
      <c r="A10" s="22"/>
      <c r="B10" s="764"/>
      <c r="C10" s="764"/>
      <c r="D10" s="764"/>
      <c r="E10" s="764"/>
      <c r="F10" s="764"/>
      <c r="G10" s="31"/>
      <c r="H10" s="24"/>
      <c r="I10" s="34"/>
      <c r="J10" s="24">
        <f t="shared" ref="J10:J13" si="0">IF(B10="",0,ROUND(H10/I10,0))</f>
        <v>0</v>
      </c>
      <c r="L10" s="22"/>
      <c r="M10" s="778" t="s">
        <v>113</v>
      </c>
      <c r="N10" s="778"/>
      <c r="O10" s="778"/>
      <c r="P10" s="778"/>
      <c r="Q10" s="778"/>
      <c r="R10" s="214" t="s">
        <v>108</v>
      </c>
      <c r="S10" s="212">
        <v>116000</v>
      </c>
      <c r="T10" s="211">
        <f>+T39</f>
        <v>6</v>
      </c>
      <c r="U10" s="212">
        <f t="shared" ref="U10:U13" si="1">IF(M10="",0,ROUND(S10/T10,0))</f>
        <v>19333</v>
      </c>
    </row>
    <row r="11" spans="1:21" ht="15" customHeight="1" x14ac:dyDescent="0.25">
      <c r="A11" s="22"/>
      <c r="B11" s="764"/>
      <c r="C11" s="764"/>
      <c r="D11" s="764"/>
      <c r="E11" s="764"/>
      <c r="F11" s="764"/>
      <c r="G11" s="31" t="str">
        <f>IF(B11="","",VLOOKUP(B11,EQUIPOS!$B$7:$F$46,3,FALSE))</f>
        <v/>
      </c>
      <c r="H11" s="24" t="str">
        <f>IF(B11="","",VLOOKUP(B11,EQUIPOS!$B$7:$F$46,5,FALSE))</f>
        <v/>
      </c>
      <c r="I11" s="34"/>
      <c r="J11" s="24">
        <f t="shared" si="0"/>
        <v>0</v>
      </c>
      <c r="L11" s="22"/>
      <c r="M11" s="777"/>
      <c r="N11" s="777"/>
      <c r="O11" s="777"/>
      <c r="P11" s="777"/>
      <c r="Q11" s="777"/>
      <c r="R11" s="206" t="s">
        <v>501</v>
      </c>
      <c r="S11" s="181" t="s">
        <v>501</v>
      </c>
      <c r="T11" s="180"/>
      <c r="U11" s="181">
        <f t="shared" si="1"/>
        <v>0</v>
      </c>
    </row>
    <row r="12" spans="1:21" ht="15" customHeight="1" x14ac:dyDescent="0.25">
      <c r="A12" s="22"/>
      <c r="B12" s="764"/>
      <c r="C12" s="764"/>
      <c r="D12" s="764"/>
      <c r="E12" s="764"/>
      <c r="F12" s="764"/>
      <c r="G12" s="31" t="str">
        <f>IF(B12="","",VLOOKUP(B12,EQUIPOS!$B$7:$F$46,3,FALSE))</f>
        <v/>
      </c>
      <c r="H12" s="24" t="str">
        <f>IF(B12="","",VLOOKUP(B12,EQUIPOS!$B$7:$F$46,5,FALSE))</f>
        <v/>
      </c>
      <c r="I12" s="34"/>
      <c r="J12" s="24">
        <f t="shared" si="0"/>
        <v>0</v>
      </c>
      <c r="L12" s="22"/>
      <c r="M12" s="777"/>
      <c r="N12" s="777"/>
      <c r="O12" s="777"/>
      <c r="P12" s="777"/>
      <c r="Q12" s="777"/>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c r="L14" s="22"/>
      <c r="M14" s="771"/>
      <c r="N14" s="771"/>
      <c r="O14" s="771"/>
      <c r="P14" s="771"/>
      <c r="Q14" s="771"/>
      <c r="R14" s="206" t="s">
        <v>501</v>
      </c>
      <c r="S14" s="181" t="s">
        <v>501</v>
      </c>
      <c r="T14" s="180"/>
      <c r="U14" s="181"/>
    </row>
    <row r="15" spans="1:21" ht="15" customHeight="1" x14ac:dyDescent="0.25">
      <c r="A15" s="22"/>
      <c r="B15" s="761" t="s">
        <v>31</v>
      </c>
      <c r="C15" s="761"/>
      <c r="D15" s="761"/>
      <c r="E15" s="761"/>
      <c r="F15" s="761"/>
      <c r="G15" s="761"/>
      <c r="H15" s="761"/>
      <c r="I15" s="761"/>
      <c r="J15" s="24">
        <f>SUM(J9:J14)</f>
        <v>1310</v>
      </c>
      <c r="L15" s="22"/>
      <c r="M15" s="772" t="s">
        <v>31</v>
      </c>
      <c r="N15" s="772"/>
      <c r="O15" s="772"/>
      <c r="P15" s="772"/>
      <c r="Q15" s="772"/>
      <c r="R15" s="772"/>
      <c r="S15" s="772"/>
      <c r="T15" s="772"/>
      <c r="U15" s="181">
        <f>SUM(U9:U14)</f>
        <v>20643</v>
      </c>
    </row>
    <row r="16" spans="1:21" ht="7.5" customHeight="1" x14ac:dyDescent="0.25">
      <c r="A16" s="22"/>
      <c r="B16" s="25"/>
      <c r="C16" s="25"/>
      <c r="D16" s="25"/>
      <c r="E16" s="25"/>
      <c r="F16" s="25"/>
      <c r="G16" s="25"/>
      <c r="H16" s="25"/>
      <c r="I16" s="25"/>
      <c r="J16" s="26"/>
      <c r="L16" s="22"/>
      <c r="M16" s="25"/>
      <c r="N16" s="25"/>
      <c r="O16" s="25"/>
      <c r="P16" s="25"/>
      <c r="Q16" s="25"/>
      <c r="R16" s="25"/>
      <c r="S16" s="25"/>
      <c r="T16" s="25"/>
      <c r="U16" s="26"/>
    </row>
    <row r="17" spans="1:21" ht="15" customHeight="1" x14ac:dyDescent="0.25">
      <c r="A17" s="22"/>
      <c r="B17" s="761" t="s">
        <v>32</v>
      </c>
      <c r="C17" s="761"/>
      <c r="D17" s="761"/>
      <c r="E17" s="761"/>
      <c r="F17" s="761"/>
      <c r="G17" s="761"/>
      <c r="H17" s="761"/>
      <c r="I17" s="761"/>
      <c r="J17" s="761"/>
      <c r="L17" s="22"/>
      <c r="M17" s="772" t="s">
        <v>32</v>
      </c>
      <c r="N17" s="772"/>
      <c r="O17" s="772"/>
      <c r="P17" s="772"/>
      <c r="Q17" s="772"/>
      <c r="R17" s="772"/>
      <c r="S17" s="772"/>
      <c r="T17" s="772"/>
      <c r="U17" s="772"/>
    </row>
    <row r="18" spans="1:21" ht="26.4" x14ac:dyDescent="0.25">
      <c r="A18" s="22"/>
      <c r="B18" s="763" t="s">
        <v>33</v>
      </c>
      <c r="C18" s="763"/>
      <c r="D18" s="763"/>
      <c r="E18" s="763"/>
      <c r="F18" s="28" t="s">
        <v>19</v>
      </c>
      <c r="G18" s="31" t="s">
        <v>34</v>
      </c>
      <c r="H18" s="32" t="s">
        <v>35</v>
      </c>
      <c r="I18" s="32" t="s">
        <v>36</v>
      </c>
      <c r="J18" s="32" t="s">
        <v>29</v>
      </c>
      <c r="L18" s="22"/>
      <c r="M18" s="774" t="s">
        <v>33</v>
      </c>
      <c r="N18" s="774"/>
      <c r="O18" s="774"/>
      <c r="P18" s="774"/>
      <c r="Q18" s="205" t="s">
        <v>19</v>
      </c>
      <c r="R18" s="206" t="s">
        <v>34</v>
      </c>
      <c r="S18" s="207" t="s">
        <v>35</v>
      </c>
      <c r="T18" s="207" t="s">
        <v>36</v>
      </c>
      <c r="U18" s="207" t="s">
        <v>29</v>
      </c>
    </row>
    <row r="19" spans="1:21" ht="14.25" customHeight="1" x14ac:dyDescent="0.25">
      <c r="A19" s="22"/>
      <c r="B19" s="794" t="str">
        <f>+'LISTADO DE MATERIALES'!B132</f>
        <v>Madera para Formaleta - Tabla Caracolí cepillada 0.30 m x 3.00 m</v>
      </c>
      <c r="C19" s="795"/>
      <c r="D19" s="795"/>
      <c r="E19" s="796"/>
      <c r="F19" s="34">
        <v>4</v>
      </c>
      <c r="G19" s="31" t="str">
        <f>IF(F19=0,"",VLOOKUP(B19,'LISTADO DE MATERIALES'!$B$6:$D$311,2,FALSE))</f>
        <v>und</v>
      </c>
      <c r="H19" s="107">
        <v>0.05</v>
      </c>
      <c r="I19" s="24">
        <f>IF(F19=0,"",VLOOKUP(B19,'LISTADO DE MATERIALES'!$B$6:$D$311,3,FALSE))</f>
        <v>25000</v>
      </c>
      <c r="J19" s="24">
        <f t="shared" ref="J19:J26" si="2">IF(I19="",0,ROUND((+F19*I19*(1+H19)),0))</f>
        <v>105000</v>
      </c>
      <c r="L19" s="22"/>
      <c r="M19" s="798" t="s">
        <v>147</v>
      </c>
      <c r="N19" s="799"/>
      <c r="O19" s="799"/>
      <c r="P19" s="800"/>
      <c r="Q19" s="211">
        <v>248.8</v>
      </c>
      <c r="R19" s="214" t="s">
        <v>148</v>
      </c>
      <c r="S19" s="272">
        <v>0.1</v>
      </c>
      <c r="T19" s="212">
        <v>105</v>
      </c>
      <c r="U19" s="212">
        <f>IF(T19="",0,ROUND((+Q19*T19*(1+S19)),0))</f>
        <v>28736</v>
      </c>
    </row>
    <row r="20" spans="1:21" ht="15" customHeight="1" x14ac:dyDescent="0.25">
      <c r="A20" s="22"/>
      <c r="B20" s="794" t="s">
        <v>354</v>
      </c>
      <c r="C20" s="795"/>
      <c r="D20" s="795"/>
      <c r="E20" s="796"/>
      <c r="F20" s="34">
        <v>3</v>
      </c>
      <c r="G20" s="31" t="str">
        <f>IF(F20=0,"",VLOOKUP(B20,'LISTADO DE MATERIALES'!$B$6:$D$311,2,FALSE))</f>
        <v>und</v>
      </c>
      <c r="H20" s="107">
        <v>0.05</v>
      </c>
      <c r="I20" s="24">
        <f>IF(F20=0,"",VLOOKUP(B20,'LISTADO DE MATERIALES'!$B$6:$D$311,3,FALSE))</f>
        <v>18000</v>
      </c>
      <c r="J20" s="24">
        <f t="shared" si="2"/>
        <v>56700</v>
      </c>
      <c r="L20" s="22"/>
      <c r="M20" s="778" t="s">
        <v>161</v>
      </c>
      <c r="N20" s="778"/>
      <c r="O20" s="778"/>
      <c r="P20" s="778"/>
      <c r="Q20" s="211">
        <v>0.67</v>
      </c>
      <c r="R20" s="214" t="s">
        <v>261</v>
      </c>
      <c r="S20" s="272">
        <v>0.1</v>
      </c>
      <c r="T20" s="212">
        <v>89250</v>
      </c>
      <c r="U20" s="212">
        <f t="shared" ref="U20:U26" si="3">IF(T20="",0,ROUND((+Q20*T20*(1+S20)),0))</f>
        <v>65777</v>
      </c>
    </row>
    <row r="21" spans="1:21" ht="27" customHeight="1" x14ac:dyDescent="0.25">
      <c r="A21" s="22"/>
      <c r="B21" s="791" t="str">
        <f>+'APU BÁSICOS'!E6</f>
        <v>Concreto de Resistencia 5000 PSI para cimentación</v>
      </c>
      <c r="C21" s="792"/>
      <c r="D21" s="792"/>
      <c r="E21" s="793"/>
      <c r="F21" s="34">
        <v>1</v>
      </c>
      <c r="G21" s="31" t="s">
        <v>261</v>
      </c>
      <c r="H21" s="107">
        <v>0.1</v>
      </c>
      <c r="I21" s="24">
        <f>+'APU BÁSICOS'!J45</f>
        <v>1024596</v>
      </c>
      <c r="J21" s="24">
        <f t="shared" si="2"/>
        <v>1127056</v>
      </c>
      <c r="L21" s="22"/>
      <c r="M21" s="798" t="s">
        <v>160</v>
      </c>
      <c r="N21" s="799"/>
      <c r="O21" s="799"/>
      <c r="P21" s="800"/>
      <c r="Q21" s="211">
        <v>0.67</v>
      </c>
      <c r="R21" s="214" t="s">
        <v>261</v>
      </c>
      <c r="S21" s="272">
        <v>0.1</v>
      </c>
      <c r="T21" s="212">
        <v>144000</v>
      </c>
      <c r="U21" s="212">
        <f t="shared" si="3"/>
        <v>106128</v>
      </c>
    </row>
    <row r="22" spans="1:21" ht="15" customHeight="1" x14ac:dyDescent="0.25">
      <c r="A22" s="22"/>
      <c r="B22" s="791"/>
      <c r="C22" s="792"/>
      <c r="D22" s="792"/>
      <c r="E22" s="793"/>
      <c r="F22" s="34"/>
      <c r="G22" s="31"/>
      <c r="H22" s="107"/>
      <c r="I22" s="24"/>
      <c r="J22" s="24">
        <f t="shared" si="2"/>
        <v>0</v>
      </c>
      <c r="L22" s="22"/>
      <c r="M22" s="798" t="s">
        <v>162</v>
      </c>
      <c r="N22" s="799"/>
      <c r="O22" s="799"/>
      <c r="P22" s="800"/>
      <c r="Q22" s="211">
        <v>625</v>
      </c>
      <c r="R22" s="214" t="s">
        <v>49</v>
      </c>
      <c r="S22" s="272">
        <v>0.1</v>
      </c>
      <c r="T22" s="212">
        <v>977.2</v>
      </c>
      <c r="U22" s="212">
        <f t="shared" si="3"/>
        <v>671825</v>
      </c>
    </row>
    <row r="23" spans="1:21" x14ac:dyDescent="0.25">
      <c r="A23" s="22"/>
      <c r="B23" s="811"/>
      <c r="C23" s="812"/>
      <c r="D23" s="812"/>
      <c r="E23" s="813"/>
      <c r="F23" s="277"/>
      <c r="G23" s="277"/>
      <c r="H23" s="277"/>
      <c r="I23" s="277"/>
      <c r="J23" s="24">
        <f t="shared" si="2"/>
        <v>0</v>
      </c>
      <c r="L23" s="22"/>
      <c r="M23" s="791" t="s">
        <v>353</v>
      </c>
      <c r="N23" s="792"/>
      <c r="O23" s="792"/>
      <c r="P23" s="793"/>
      <c r="Q23" s="180">
        <v>4</v>
      </c>
      <c r="R23" s="206" t="s">
        <v>9</v>
      </c>
      <c r="S23" s="209"/>
      <c r="T23" s="181">
        <v>25000</v>
      </c>
      <c r="U23" s="181">
        <f t="shared" si="3"/>
        <v>100000</v>
      </c>
    </row>
    <row r="24" spans="1:21" ht="15" customHeight="1" x14ac:dyDescent="0.25">
      <c r="A24" s="22"/>
      <c r="B24" s="811"/>
      <c r="C24" s="812"/>
      <c r="D24" s="812"/>
      <c r="E24" s="813"/>
      <c r="F24" s="277"/>
      <c r="G24" s="277"/>
      <c r="H24" s="277"/>
      <c r="I24" s="277"/>
      <c r="J24" s="24">
        <f t="shared" si="2"/>
        <v>0</v>
      </c>
      <c r="L24" s="22"/>
      <c r="M24" s="791" t="s">
        <v>354</v>
      </c>
      <c r="N24" s="792"/>
      <c r="O24" s="792"/>
      <c r="P24" s="793"/>
      <c r="Q24" s="180">
        <v>3</v>
      </c>
      <c r="R24" s="206" t="s">
        <v>9</v>
      </c>
      <c r="S24" s="209"/>
      <c r="T24" s="181">
        <v>18000</v>
      </c>
      <c r="U24" s="181">
        <f t="shared" si="3"/>
        <v>54000</v>
      </c>
    </row>
    <row r="25" spans="1:21" ht="15" customHeight="1" x14ac:dyDescent="0.25">
      <c r="A25" s="22"/>
      <c r="B25" s="794"/>
      <c r="C25" s="795"/>
      <c r="D25" s="795"/>
      <c r="E25" s="796"/>
      <c r="F25" s="34"/>
      <c r="G25" s="31" t="str">
        <f>IF(F25=0,"",VLOOKUP(B25,'LISTADO DE MATERIALES'!$B$6:$D$311,2,FALSE))</f>
        <v/>
      </c>
      <c r="H25" s="107"/>
      <c r="I25" s="24" t="str">
        <f>IF(F25=0,"",VLOOKUP(B25,'LISTADO DE MATERIALES'!$B$6:$D$311,3,FALSE))</f>
        <v/>
      </c>
      <c r="J25" s="24">
        <f t="shared" si="2"/>
        <v>0</v>
      </c>
      <c r="L25" s="22"/>
      <c r="M25" s="791" t="s">
        <v>494</v>
      </c>
      <c r="N25" s="792"/>
      <c r="O25" s="792"/>
      <c r="P25" s="793"/>
      <c r="Q25" s="180" t="s">
        <v>500</v>
      </c>
      <c r="R25" s="206" t="s">
        <v>261</v>
      </c>
      <c r="S25" s="209">
        <v>0.05</v>
      </c>
      <c r="T25" s="181"/>
      <c r="U25" s="181">
        <f t="shared" si="3"/>
        <v>0</v>
      </c>
    </row>
    <row r="26" spans="1:21" ht="15" customHeight="1" x14ac:dyDescent="0.25">
      <c r="A26" s="22"/>
      <c r="B26" s="794"/>
      <c r="C26" s="795"/>
      <c r="D26" s="795"/>
      <c r="E26" s="796"/>
      <c r="F26" s="34"/>
      <c r="G26" s="31" t="str">
        <f>IF(F26=0,"",VLOOKUP(B26,'LISTADO DE MATERIALES'!$B$6:$D$311,2,FALSE))</f>
        <v/>
      </c>
      <c r="H26" s="107"/>
      <c r="I26" s="24" t="str">
        <f>IF(F26=0,"",VLOOKUP(B26,'LISTADO DE MATERIALES'!$B$6:$D$311,3,FALSE))</f>
        <v/>
      </c>
      <c r="J26" s="24">
        <f t="shared" si="2"/>
        <v>0</v>
      </c>
      <c r="L26" s="22"/>
      <c r="M26" s="791"/>
      <c r="N26" s="792"/>
      <c r="O26" s="792"/>
      <c r="P26" s="793"/>
      <c r="Q26" s="180"/>
      <c r="R26" s="206" t="s">
        <v>501</v>
      </c>
      <c r="S26" s="209"/>
      <c r="T26" s="181" t="s">
        <v>501</v>
      </c>
      <c r="U26" s="181">
        <f t="shared" si="3"/>
        <v>0</v>
      </c>
    </row>
    <row r="27" spans="1:21" ht="15" customHeight="1" x14ac:dyDescent="0.25">
      <c r="A27" s="22"/>
      <c r="B27" s="761" t="s">
        <v>37</v>
      </c>
      <c r="C27" s="761"/>
      <c r="D27" s="761"/>
      <c r="E27" s="761"/>
      <c r="F27" s="761"/>
      <c r="G27" s="761"/>
      <c r="H27" s="761"/>
      <c r="I27" s="761"/>
      <c r="J27" s="24">
        <f>SUM(J19:J26)</f>
        <v>1288756</v>
      </c>
      <c r="L27" s="22"/>
      <c r="M27" s="772" t="s">
        <v>37</v>
      </c>
      <c r="N27" s="772"/>
      <c r="O27" s="772"/>
      <c r="P27" s="772"/>
      <c r="Q27" s="772"/>
      <c r="R27" s="772"/>
      <c r="S27" s="772"/>
      <c r="T27" s="772"/>
      <c r="U27" s="181">
        <f>SUM(U19:U26)</f>
        <v>1026466</v>
      </c>
    </row>
    <row r="28" spans="1:21" ht="7.5" customHeight="1" x14ac:dyDescent="0.25">
      <c r="A28" s="22"/>
      <c r="B28" s="25"/>
      <c r="C28" s="25"/>
      <c r="D28" s="25"/>
      <c r="E28" s="25"/>
      <c r="F28" s="25"/>
      <c r="G28" s="25"/>
      <c r="H28" s="25"/>
      <c r="I28" s="25"/>
      <c r="J28" s="26"/>
      <c r="L28" s="22"/>
      <c r="M28" s="25"/>
      <c r="N28" s="25"/>
      <c r="O28" s="25"/>
      <c r="P28" s="25"/>
      <c r="Q28" s="25"/>
      <c r="R28" s="25"/>
      <c r="S28" s="25"/>
      <c r="T28" s="25"/>
      <c r="U28" s="26"/>
    </row>
    <row r="29" spans="1:21" ht="15" customHeight="1" x14ac:dyDescent="0.25">
      <c r="A29" s="22"/>
      <c r="B29" s="761" t="s">
        <v>38</v>
      </c>
      <c r="C29" s="761"/>
      <c r="D29" s="761"/>
      <c r="E29" s="761"/>
      <c r="F29" s="761"/>
      <c r="G29" s="761"/>
      <c r="H29" s="761"/>
      <c r="I29" s="761"/>
      <c r="J29" s="761"/>
      <c r="L29" s="22"/>
      <c r="M29" s="772" t="s">
        <v>38</v>
      </c>
      <c r="N29" s="772"/>
      <c r="O29" s="772"/>
      <c r="P29" s="772"/>
      <c r="Q29" s="772"/>
      <c r="R29" s="772"/>
      <c r="S29" s="772"/>
      <c r="T29" s="772"/>
      <c r="U29" s="772"/>
    </row>
    <row r="30" spans="1:21" x14ac:dyDescent="0.25">
      <c r="A30" s="22"/>
      <c r="B30" s="763" t="s">
        <v>33</v>
      </c>
      <c r="C30" s="763"/>
      <c r="D30" s="763"/>
      <c r="E30" s="763"/>
      <c r="F30" s="763"/>
      <c r="G30" s="31" t="s">
        <v>133</v>
      </c>
      <c r="H30" s="31" t="s">
        <v>132</v>
      </c>
      <c r="I30" s="31" t="s">
        <v>39</v>
      </c>
      <c r="J30" s="32" t="s">
        <v>29</v>
      </c>
      <c r="L30" s="22"/>
      <c r="M30" s="774" t="s">
        <v>33</v>
      </c>
      <c r="N30" s="774"/>
      <c r="O30" s="774"/>
      <c r="P30" s="774"/>
      <c r="Q30" s="774"/>
      <c r="R30" s="206" t="s">
        <v>133</v>
      </c>
      <c r="S30" s="206" t="s">
        <v>132</v>
      </c>
      <c r="T30" s="206" t="s">
        <v>39</v>
      </c>
      <c r="U30" s="207" t="s">
        <v>29</v>
      </c>
    </row>
    <row r="31" spans="1:21" ht="15" customHeight="1" x14ac:dyDescent="0.25">
      <c r="A31" s="22"/>
      <c r="B31" s="760"/>
      <c r="C31" s="760"/>
      <c r="D31" s="760"/>
      <c r="E31" s="760"/>
      <c r="F31" s="760"/>
      <c r="G31" s="34"/>
      <c r="H31" s="34"/>
      <c r="I31" s="24"/>
      <c r="J31" s="24">
        <f>ROUND((I31*H31*G31),0)</f>
        <v>0</v>
      </c>
      <c r="L31" s="22"/>
      <c r="M31" s="789" t="s">
        <v>262</v>
      </c>
      <c r="N31" s="789"/>
      <c r="O31" s="789"/>
      <c r="P31" s="789"/>
      <c r="Q31" s="789"/>
      <c r="R31" s="211">
        <f>SUM(Q20:Q21)</f>
        <v>1.34</v>
      </c>
      <c r="S31" s="211">
        <v>60</v>
      </c>
      <c r="T31" s="212">
        <v>1241.46</v>
      </c>
      <c r="U31" s="212">
        <f>ROUND((T31*S31*R31),0)</f>
        <v>99813</v>
      </c>
    </row>
    <row r="32" spans="1:21" ht="15" customHeight="1" x14ac:dyDescent="0.25">
      <c r="A32" s="22"/>
      <c r="B32" s="760"/>
      <c r="C32" s="760"/>
      <c r="D32" s="760"/>
      <c r="E32" s="760"/>
      <c r="F32" s="760"/>
      <c r="G32" s="31"/>
      <c r="H32" s="34"/>
      <c r="I32" s="24"/>
      <c r="J32" s="24">
        <v>0</v>
      </c>
      <c r="L32" s="22"/>
      <c r="M32" s="771"/>
      <c r="N32" s="771"/>
      <c r="O32" s="771"/>
      <c r="P32" s="771"/>
      <c r="Q32" s="771"/>
      <c r="R32" s="206"/>
      <c r="S32" s="180"/>
      <c r="T32" s="181"/>
      <c r="U32" s="181">
        <v>0</v>
      </c>
    </row>
    <row r="33" spans="1:21" ht="15" customHeight="1" x14ac:dyDescent="0.25">
      <c r="A33" s="22"/>
      <c r="B33" s="760"/>
      <c r="C33" s="760"/>
      <c r="D33" s="760"/>
      <c r="E33" s="760"/>
      <c r="F33" s="760"/>
      <c r="G33" s="31"/>
      <c r="H33" s="34"/>
      <c r="I33" s="24"/>
      <c r="J33" s="24">
        <v>0</v>
      </c>
      <c r="L33" s="22"/>
      <c r="M33" s="771"/>
      <c r="N33" s="771"/>
      <c r="O33" s="771"/>
      <c r="P33" s="771"/>
      <c r="Q33" s="771"/>
      <c r="R33" s="206"/>
      <c r="S33" s="180"/>
      <c r="T33" s="181"/>
      <c r="U33" s="181">
        <v>0</v>
      </c>
    </row>
    <row r="34" spans="1:21" ht="15" customHeight="1" x14ac:dyDescent="0.25">
      <c r="A34" s="22"/>
      <c r="B34" s="760"/>
      <c r="C34" s="760"/>
      <c r="D34" s="760"/>
      <c r="E34" s="760"/>
      <c r="F34" s="760"/>
      <c r="G34" s="31"/>
      <c r="H34" s="31"/>
      <c r="I34" s="24"/>
      <c r="J34" s="24">
        <v>0</v>
      </c>
      <c r="L34" s="22"/>
      <c r="M34" s="771"/>
      <c r="N34" s="771"/>
      <c r="O34" s="771"/>
      <c r="P34" s="771"/>
      <c r="Q34" s="771"/>
      <c r="R34" s="206"/>
      <c r="S34" s="206"/>
      <c r="T34" s="181"/>
      <c r="U34" s="181">
        <v>0</v>
      </c>
    </row>
    <row r="35" spans="1:21" ht="15" customHeight="1" x14ac:dyDescent="0.25">
      <c r="A35" s="22"/>
      <c r="B35" s="761" t="s">
        <v>40</v>
      </c>
      <c r="C35" s="761"/>
      <c r="D35" s="761"/>
      <c r="E35" s="761"/>
      <c r="F35" s="761"/>
      <c r="G35" s="761"/>
      <c r="H35" s="761"/>
      <c r="I35" s="761"/>
      <c r="J35" s="24">
        <f>SUM(J31:J34)</f>
        <v>0</v>
      </c>
      <c r="L35" s="22"/>
      <c r="M35" s="772" t="s">
        <v>40</v>
      </c>
      <c r="N35" s="772"/>
      <c r="O35" s="772"/>
      <c r="P35" s="772"/>
      <c r="Q35" s="772"/>
      <c r="R35" s="772"/>
      <c r="S35" s="772"/>
      <c r="T35" s="772"/>
      <c r="U35" s="181">
        <f>SUM(U31:U34)</f>
        <v>99813</v>
      </c>
    </row>
    <row r="36" spans="1:21" ht="7.5" customHeight="1" x14ac:dyDescent="0.25">
      <c r="A36" s="22"/>
      <c r="B36" s="25"/>
      <c r="C36" s="25"/>
      <c r="D36" s="25"/>
      <c r="E36" s="25"/>
      <c r="F36" s="25"/>
      <c r="G36" s="25"/>
      <c r="H36" s="25"/>
      <c r="I36" s="25"/>
      <c r="J36" s="26"/>
      <c r="L36" s="22"/>
      <c r="M36" s="25"/>
      <c r="N36" s="25"/>
      <c r="O36" s="25"/>
      <c r="P36" s="25"/>
      <c r="Q36" s="25"/>
      <c r="R36" s="25"/>
      <c r="S36" s="25"/>
      <c r="T36" s="25"/>
      <c r="U36" s="26"/>
    </row>
    <row r="37" spans="1:21" ht="15" customHeight="1" x14ac:dyDescent="0.25">
      <c r="A37" s="22"/>
      <c r="B37" s="761" t="s">
        <v>41</v>
      </c>
      <c r="C37" s="761"/>
      <c r="D37" s="761"/>
      <c r="E37" s="761"/>
      <c r="F37" s="761"/>
      <c r="G37" s="761"/>
      <c r="H37" s="761"/>
      <c r="I37" s="761"/>
      <c r="J37" s="761"/>
      <c r="L37" s="22"/>
      <c r="M37" s="772" t="s">
        <v>41</v>
      </c>
      <c r="N37" s="772"/>
      <c r="O37" s="772"/>
      <c r="P37" s="772"/>
      <c r="Q37" s="772"/>
      <c r="R37" s="772"/>
      <c r="S37" s="772"/>
      <c r="T37" s="772"/>
      <c r="U37" s="772"/>
    </row>
    <row r="38" spans="1:21" ht="39.6" x14ac:dyDescent="0.25">
      <c r="A38" s="22"/>
      <c r="B38" s="763" t="s">
        <v>4</v>
      </c>
      <c r="C38" s="763"/>
      <c r="D38" s="763"/>
      <c r="E38" s="763"/>
      <c r="F38" s="763"/>
      <c r="G38" s="32" t="s">
        <v>51</v>
      </c>
      <c r="H38" s="32" t="s">
        <v>19</v>
      </c>
      <c r="I38" s="32" t="s">
        <v>28</v>
      </c>
      <c r="J38" s="32" t="s">
        <v>29</v>
      </c>
      <c r="L38" s="22"/>
      <c r="M38" s="774" t="s">
        <v>4</v>
      </c>
      <c r="N38" s="774"/>
      <c r="O38" s="774"/>
      <c r="P38" s="774"/>
      <c r="Q38" s="774"/>
      <c r="R38" s="207" t="s">
        <v>51</v>
      </c>
      <c r="S38" s="207" t="s">
        <v>19</v>
      </c>
      <c r="T38" s="207" t="s">
        <v>28</v>
      </c>
      <c r="U38" s="207" t="s">
        <v>29</v>
      </c>
    </row>
    <row r="39" spans="1:21" ht="15" customHeight="1" x14ac:dyDescent="0.25">
      <c r="A39" s="22"/>
      <c r="B39" s="760" t="s">
        <v>68</v>
      </c>
      <c r="C39" s="760"/>
      <c r="D39" s="760"/>
      <c r="E39" s="760"/>
      <c r="F39" s="760"/>
      <c r="G39" s="24">
        <f>IF(B39="","",VLOOKUP(B39,CUADRILLAS!$B$87:$C$101,2,FALSE))</f>
        <v>235820.59999999998</v>
      </c>
      <c r="H39" s="31">
        <v>1</v>
      </c>
      <c r="I39" s="34">
        <v>6</v>
      </c>
      <c r="J39" s="24">
        <f>ROUND(+IF(I39=0,0,G39*H39/I39),0)</f>
        <v>39303</v>
      </c>
      <c r="L39" s="22"/>
      <c r="M39" s="771" t="s">
        <v>68</v>
      </c>
      <c r="N39" s="771"/>
      <c r="O39" s="771"/>
      <c r="P39" s="771"/>
      <c r="Q39" s="771"/>
      <c r="R39" s="181">
        <v>235820.59999999998</v>
      </c>
      <c r="S39" s="206">
        <v>1</v>
      </c>
      <c r="T39" s="180">
        <v>6</v>
      </c>
      <c r="U39" s="181">
        <f>ROUND(+IF(T39=0,0,R39*S39/T39),0)</f>
        <v>39303</v>
      </c>
    </row>
    <row r="40" spans="1:21" ht="15" customHeight="1" x14ac:dyDescent="0.25">
      <c r="A40" s="22"/>
      <c r="B40" s="760" t="s">
        <v>120</v>
      </c>
      <c r="C40" s="760"/>
      <c r="D40" s="760"/>
      <c r="E40" s="760"/>
      <c r="F40" s="760"/>
      <c r="G40" s="24">
        <f>IF(B40="","",VLOOKUP(B40,CUADRILLAS!$B$87:$C$101,2,FALSE))</f>
        <v>157213.73333333334</v>
      </c>
      <c r="H40" s="31">
        <v>1</v>
      </c>
      <c r="I40" s="34">
        <f>+I39</f>
        <v>6</v>
      </c>
      <c r="J40" s="24">
        <f t="shared" ref="J40:J41" si="4">ROUND(+IF(I40=0,0,G40*H40/I40),0)</f>
        <v>26202</v>
      </c>
      <c r="L40" s="22"/>
      <c r="M40" s="771" t="s">
        <v>120</v>
      </c>
      <c r="N40" s="771"/>
      <c r="O40" s="771"/>
      <c r="P40" s="771"/>
      <c r="Q40" s="771"/>
      <c r="R40" s="181">
        <v>157213.73333333334</v>
      </c>
      <c r="S40" s="214">
        <v>1</v>
      </c>
      <c r="T40" s="180">
        <f>+T39</f>
        <v>6</v>
      </c>
      <c r="U40" s="181">
        <f t="shared" ref="U40:U41" si="5">ROUND(+IF(T40=0,0,R40*S40/T40),0)</f>
        <v>26202</v>
      </c>
    </row>
    <row r="41" spans="1:21" ht="15" customHeight="1" x14ac:dyDescent="0.25">
      <c r="A41" s="22"/>
      <c r="B41" s="760" t="s">
        <v>121</v>
      </c>
      <c r="C41" s="760"/>
      <c r="D41" s="760"/>
      <c r="E41" s="760"/>
      <c r="F41" s="760"/>
      <c r="G41" s="24">
        <f>IF(B41="","",VLOOKUP(B41,CUADRILLAS!$B$87:$C$101,2,FALSE))</f>
        <v>78606.866666666669</v>
      </c>
      <c r="H41" s="31">
        <v>2</v>
      </c>
      <c r="I41" s="34">
        <f>+I40</f>
        <v>6</v>
      </c>
      <c r="J41" s="24">
        <f t="shared" si="4"/>
        <v>26202</v>
      </c>
      <c r="L41" s="22"/>
      <c r="M41" s="771" t="s">
        <v>121</v>
      </c>
      <c r="N41" s="771"/>
      <c r="O41" s="771"/>
      <c r="P41" s="771"/>
      <c r="Q41" s="771"/>
      <c r="R41" s="181">
        <v>78606.866666666669</v>
      </c>
      <c r="S41" s="214">
        <v>2</v>
      </c>
      <c r="T41" s="180">
        <f>+T40</f>
        <v>6</v>
      </c>
      <c r="U41" s="181">
        <f t="shared" si="5"/>
        <v>26202</v>
      </c>
    </row>
    <row r="42" spans="1:21" ht="15" customHeight="1" x14ac:dyDescent="0.25">
      <c r="A42" s="22"/>
      <c r="B42" s="760"/>
      <c r="C42" s="760"/>
      <c r="D42" s="760"/>
      <c r="E42" s="760"/>
      <c r="F42" s="760"/>
      <c r="G42" s="24" t="str">
        <f>IF(B42="","",VLOOKUP(B42,CUADRILLAS!$B$87:$C$101,2,FALSE))</f>
        <v/>
      </c>
      <c r="H42" s="31"/>
      <c r="I42" s="34"/>
      <c r="J42" s="24">
        <f t="shared" ref="J42" si="6">+IF(I42=0,0,G42*H42/I42)</f>
        <v>0</v>
      </c>
      <c r="L42" s="22"/>
      <c r="M42" s="771"/>
      <c r="N42" s="771"/>
      <c r="O42" s="771"/>
      <c r="P42" s="771"/>
      <c r="Q42" s="771"/>
      <c r="R42" s="181" t="s">
        <v>501</v>
      </c>
      <c r="S42" s="206"/>
      <c r="T42" s="180"/>
      <c r="U42" s="181">
        <f t="shared" ref="U42" si="7">+IF(T42=0,0,R42*S42/T42)</f>
        <v>0</v>
      </c>
    </row>
    <row r="43" spans="1:21" ht="15" customHeight="1" x14ac:dyDescent="0.25">
      <c r="A43" s="22"/>
      <c r="B43" s="761" t="s">
        <v>42</v>
      </c>
      <c r="C43" s="761"/>
      <c r="D43" s="761"/>
      <c r="E43" s="761"/>
      <c r="F43" s="761"/>
      <c r="G43" s="761"/>
      <c r="H43" s="761"/>
      <c r="I43" s="761"/>
      <c r="J43" s="24">
        <f>SUM(J39:J42)</f>
        <v>91707</v>
      </c>
      <c r="L43" s="22"/>
      <c r="M43" s="772" t="s">
        <v>42</v>
      </c>
      <c r="N43" s="772"/>
      <c r="O43" s="772"/>
      <c r="P43" s="772"/>
      <c r="Q43" s="772"/>
      <c r="R43" s="772"/>
      <c r="S43" s="772"/>
      <c r="T43" s="772"/>
      <c r="U43" s="181">
        <f>SUM(U39:U42)</f>
        <v>91707</v>
      </c>
    </row>
    <row r="44" spans="1:21" ht="7.5" customHeight="1" x14ac:dyDescent="0.25">
      <c r="A44" s="22"/>
      <c r="B44" s="25"/>
      <c r="C44" s="25"/>
      <c r="D44" s="25"/>
      <c r="E44" s="25"/>
      <c r="F44" s="25"/>
      <c r="G44" s="25"/>
      <c r="H44" s="25"/>
      <c r="I44" s="25"/>
      <c r="J44" s="26"/>
      <c r="L44" s="22"/>
      <c r="M44" s="25"/>
      <c r="N44" s="25"/>
      <c r="O44" s="25"/>
      <c r="P44" s="25"/>
      <c r="Q44" s="25"/>
      <c r="R44" s="25"/>
      <c r="S44" s="25"/>
      <c r="T44" s="25"/>
      <c r="U44" s="26"/>
    </row>
    <row r="45" spans="1:21" ht="15.75" customHeight="1" x14ac:dyDescent="0.25">
      <c r="A45" s="27"/>
      <c r="B45" s="762" t="s">
        <v>43</v>
      </c>
      <c r="C45" s="762"/>
      <c r="D45" s="762"/>
      <c r="E45" s="762"/>
      <c r="F45" s="762"/>
      <c r="G45" s="762"/>
      <c r="H45" s="762"/>
      <c r="I45" s="762"/>
      <c r="J45" s="106">
        <f>+J43+J35+J15+J27</f>
        <v>1381773</v>
      </c>
      <c r="L45" s="27"/>
      <c r="M45" s="773" t="s">
        <v>43</v>
      </c>
      <c r="N45" s="773"/>
      <c r="O45" s="773"/>
      <c r="P45" s="773"/>
      <c r="Q45" s="773"/>
      <c r="R45" s="773"/>
      <c r="S45" s="773"/>
      <c r="T45" s="773"/>
      <c r="U45" s="210">
        <f>+U43+U35+U15+U27</f>
        <v>1238629</v>
      </c>
    </row>
    <row r="46" spans="1:21" x14ac:dyDescent="0.25">
      <c r="B46" s="21"/>
      <c r="C46" s="21"/>
      <c r="D46" s="21"/>
      <c r="E46" s="21"/>
      <c r="F46" s="21"/>
      <c r="G46" s="21"/>
      <c r="H46" s="21"/>
      <c r="I46" s="21"/>
      <c r="J46" s="21"/>
    </row>
  </sheetData>
  <mergeCells count="82">
    <mergeCell ref="M45:T45"/>
    <mergeCell ref="M39:Q39"/>
    <mergeCell ref="M40:Q40"/>
    <mergeCell ref="M43:T43"/>
    <mergeCell ref="M25:P25"/>
    <mergeCell ref="M26:P26"/>
    <mergeCell ref="M27:T27"/>
    <mergeCell ref="M29:U29"/>
    <mergeCell ref="M33:Q33"/>
    <mergeCell ref="M34:Q34"/>
    <mergeCell ref="M35:T35"/>
    <mergeCell ref="M37:U37"/>
    <mergeCell ref="M41:Q41"/>
    <mergeCell ref="M42:Q42"/>
    <mergeCell ref="M38:Q38"/>
    <mergeCell ref="M30:Q30"/>
    <mergeCell ref="M31:Q31"/>
    <mergeCell ref="M32:Q32"/>
    <mergeCell ref="M22:P22"/>
    <mergeCell ref="M23:P23"/>
    <mergeCell ref="M24:P24"/>
    <mergeCell ref="M17:U17"/>
    <mergeCell ref="M18:P18"/>
    <mergeCell ref="M19:P19"/>
    <mergeCell ref="M20:P20"/>
    <mergeCell ref="M21:P21"/>
    <mergeCell ref="M11:Q11"/>
    <mergeCell ref="M12:Q12"/>
    <mergeCell ref="M13:Q13"/>
    <mergeCell ref="M14:Q14"/>
    <mergeCell ref="M15:T15"/>
    <mergeCell ref="P6:S6"/>
    <mergeCell ref="M7:U7"/>
    <mergeCell ref="M8:Q8"/>
    <mergeCell ref="M9:Q9"/>
    <mergeCell ref="M10:Q10"/>
    <mergeCell ref="L1:N4"/>
    <mergeCell ref="O1:U1"/>
    <mergeCell ref="O2:U2"/>
    <mergeCell ref="O3:U3"/>
    <mergeCell ref="O4:U4"/>
    <mergeCell ref="B40:F40"/>
    <mergeCell ref="B41:F41"/>
    <mergeCell ref="B42:F42"/>
    <mergeCell ref="B43:I43"/>
    <mergeCell ref="B45:I45"/>
    <mergeCell ref="B39:F39"/>
    <mergeCell ref="B26:E26"/>
    <mergeCell ref="B27:I27"/>
    <mergeCell ref="B29:J29"/>
    <mergeCell ref="B30:F30"/>
    <mergeCell ref="B31:F31"/>
    <mergeCell ref="B32:F32"/>
    <mergeCell ref="B33:F33"/>
    <mergeCell ref="B34:F34"/>
    <mergeCell ref="B35:I35"/>
    <mergeCell ref="B37:J37"/>
    <mergeCell ref="B38:F38"/>
    <mergeCell ref="B25:E25"/>
    <mergeCell ref="B13:F13"/>
    <mergeCell ref="B14:F14"/>
    <mergeCell ref="B15:I15"/>
    <mergeCell ref="B17:J17"/>
    <mergeCell ref="B18:E18"/>
    <mergeCell ref="B21:E21"/>
    <mergeCell ref="B22:E22"/>
    <mergeCell ref="B19:E19"/>
    <mergeCell ref="B20:E20"/>
    <mergeCell ref="B23:E23"/>
    <mergeCell ref="B24:E24"/>
    <mergeCell ref="B12:F12"/>
    <mergeCell ref="A1:C4"/>
    <mergeCell ref="D1:J1"/>
    <mergeCell ref="D2:J2"/>
    <mergeCell ref="D3:J3"/>
    <mergeCell ref="D4:J4"/>
    <mergeCell ref="E6:H6"/>
    <mergeCell ref="B7:J7"/>
    <mergeCell ref="B8:F8"/>
    <mergeCell ref="B9:F9"/>
    <mergeCell ref="B10:F10"/>
    <mergeCell ref="B11:F11"/>
  </mergeCells>
  <hyperlinks>
    <hyperlink ref="C6" location="'PPTO HOJA'!A114" display="'PPTO HOJA'!A114" xr:uid="{00000000-0004-0000-3300-000000000000}"/>
    <hyperlink ref="N6" location="'PPTO HOJA'!A15" display="'PPTO HOJA'!A15" xr:uid="{00000000-0004-0000-3300-000001000000}"/>
  </hyperlinks>
  <pageMargins left="0.7" right="0.7" top="0.75" bottom="0.75" header="0.3" footer="0.3"/>
  <pageSetup paperSize="9" scale="35"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3300-000000000000}">
          <x14:formula1>
            <xm:f>CUADRILLAS!$B$86:$B$101</xm:f>
          </x14:formula1>
          <xm:sqref>B39:F42</xm:sqref>
        </x14:dataValidation>
      </x14:dataValidations>
    </ext>
  </extLst>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theme="9" tint="0.59999389629810485"/>
  </sheetPr>
  <dimension ref="A1:U46"/>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4.88671875" style="20" customWidth="1"/>
    <col min="11" max="11" width="5.5546875" style="20" customWidth="1"/>
    <col min="12" max="17" width="11.44140625" style="20"/>
    <col min="18" max="18" width="13.44140625" style="20" bestFit="1" customWidth="1"/>
    <col min="19" max="19" width="11.44140625" style="20"/>
    <col min="20" max="20" width="13.5546875" style="20" bestFit="1" customWidth="1"/>
    <col min="21" max="21" width="14.88671875" style="20" bestFit="1"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46.5"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361</v>
      </c>
      <c r="B6" s="29" t="s">
        <v>22</v>
      </c>
      <c r="C6" s="116">
        <f>+'PPTO HOJA'!A67</f>
        <v>6.14</v>
      </c>
      <c r="D6" s="28"/>
      <c r="E6" s="764" t="str">
        <f>+'PPTO HOJA'!B67</f>
        <v>Acero de refuerzo fy 420 MPa</v>
      </c>
      <c r="F6" s="764"/>
      <c r="G6" s="764"/>
      <c r="H6" s="764"/>
      <c r="I6" s="30" t="s">
        <v>23</v>
      </c>
      <c r="J6" s="31" t="str">
        <f>+'PPTO HOJA'!C67</f>
        <v>kg</v>
      </c>
      <c r="L6" s="30" t="str">
        <f>A6</f>
        <v>VI</v>
      </c>
      <c r="M6" s="29" t="s">
        <v>22</v>
      </c>
      <c r="N6" s="238">
        <f>C6</f>
        <v>6.14</v>
      </c>
      <c r="O6" s="28"/>
      <c r="P6" s="764" t="str">
        <f>E6</f>
        <v>Acero de refuerzo fy 420 MPa</v>
      </c>
      <c r="Q6" s="764"/>
      <c r="R6" s="764"/>
      <c r="S6" s="764"/>
      <c r="T6" s="30" t="s">
        <v>23</v>
      </c>
      <c r="U6" s="31" t="str">
        <f>J6</f>
        <v>kg</v>
      </c>
    </row>
    <row r="7" spans="1:21" ht="15" customHeight="1" x14ac:dyDescent="0.25">
      <c r="A7" s="22"/>
      <c r="B7" s="761" t="s">
        <v>24</v>
      </c>
      <c r="C7" s="761"/>
      <c r="D7" s="761"/>
      <c r="E7" s="761"/>
      <c r="F7" s="761"/>
      <c r="G7" s="761"/>
      <c r="H7" s="761"/>
      <c r="I7" s="761"/>
      <c r="J7" s="761"/>
      <c r="L7" s="22"/>
      <c r="M7" s="761" t="s">
        <v>24</v>
      </c>
      <c r="N7" s="761"/>
      <c r="O7" s="761"/>
      <c r="P7" s="761"/>
      <c r="Q7" s="761"/>
      <c r="R7" s="761"/>
      <c r="S7" s="761"/>
      <c r="T7" s="761"/>
      <c r="U7" s="761"/>
    </row>
    <row r="8" spans="1:21" ht="26.4" x14ac:dyDescent="0.25">
      <c r="A8" s="22"/>
      <c r="B8" s="763" t="s">
        <v>25</v>
      </c>
      <c r="C8" s="763"/>
      <c r="D8" s="763"/>
      <c r="E8" s="763"/>
      <c r="F8" s="763"/>
      <c r="G8" s="31" t="s">
        <v>26</v>
      </c>
      <c r="H8" s="31" t="s">
        <v>27</v>
      </c>
      <c r="I8" s="31" t="s">
        <v>28</v>
      </c>
      <c r="J8" s="32" t="s">
        <v>29</v>
      </c>
      <c r="L8" s="22"/>
      <c r="M8" s="763" t="s">
        <v>25</v>
      </c>
      <c r="N8" s="763"/>
      <c r="O8" s="763"/>
      <c r="P8" s="763"/>
      <c r="Q8" s="763"/>
      <c r="R8" s="31" t="s">
        <v>26</v>
      </c>
      <c r="S8" s="31" t="s">
        <v>27</v>
      </c>
      <c r="T8" s="31" t="s">
        <v>28</v>
      </c>
      <c r="U8" s="32" t="s">
        <v>29</v>
      </c>
    </row>
    <row r="9" spans="1:21" ht="15" customHeight="1" x14ac:dyDescent="0.25">
      <c r="A9" s="22"/>
      <c r="B9" s="760" t="s">
        <v>30</v>
      </c>
      <c r="C9" s="760"/>
      <c r="D9" s="760"/>
      <c r="E9" s="760"/>
      <c r="F9" s="760"/>
      <c r="G9" s="31"/>
      <c r="H9" s="24"/>
      <c r="I9" s="33">
        <v>0.05</v>
      </c>
      <c r="J9" s="24">
        <f>ROUND(I9*J43,0)</f>
        <v>76</v>
      </c>
      <c r="L9" s="22"/>
      <c r="M9" s="760" t="s">
        <v>30</v>
      </c>
      <c r="N9" s="760"/>
      <c r="O9" s="760"/>
      <c r="P9" s="760"/>
      <c r="Q9" s="760"/>
      <c r="R9" s="31"/>
      <c r="S9" s="24"/>
      <c r="T9" s="33">
        <v>0.05</v>
      </c>
      <c r="U9" s="24">
        <f>ROUND(T9*U43,0)</f>
        <v>74</v>
      </c>
    </row>
    <row r="10" spans="1:21" ht="22.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64"/>
      <c r="N10" s="764"/>
      <c r="O10" s="764"/>
      <c r="P10" s="764"/>
      <c r="Q10" s="764"/>
      <c r="R10" s="31" t="str">
        <f>IF(M10="","",VLOOKUP(M10,EQUIPOS!$B$7:$F$46,3,FALSE))</f>
        <v/>
      </c>
      <c r="S10" s="24" t="str">
        <f>IF(M10="","",VLOOKUP(M10,EQUIPOS!$B$7:$F$46,5,FALSE))</f>
        <v/>
      </c>
      <c r="T10" s="34"/>
      <c r="U10" s="24">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5" si="0">IF(B11="",0,ROUND(H11/I11,0))</f>
        <v>0</v>
      </c>
      <c r="L11" s="22"/>
      <c r="M11" s="760"/>
      <c r="N11" s="760"/>
      <c r="O11" s="760"/>
      <c r="P11" s="760"/>
      <c r="Q11" s="760"/>
      <c r="R11" s="31" t="str">
        <f>IF(M11="","",VLOOKUP(M11,EQUIPOS!$B$7:$F$46,3,FALSE))</f>
        <v/>
      </c>
      <c r="S11" s="24" t="str">
        <f>IF(M11="","",VLOOKUP(M11,EQUIPOS!$B$7:$F$46,5,FALSE))</f>
        <v/>
      </c>
      <c r="T11" s="34"/>
      <c r="U11" s="24">
        <f t="shared" ref="U11:U15"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60"/>
      <c r="N12" s="760"/>
      <c r="O12" s="760"/>
      <c r="P12" s="760"/>
      <c r="Q12" s="760"/>
      <c r="R12" s="31" t="str">
        <f>IF(M12="","",VLOOKUP(M12,EQUIPOS!$B$7:$F$46,3,FALSE))</f>
        <v/>
      </c>
      <c r="S12" s="24" t="str">
        <f>IF(M12="","",VLOOKUP(M12,EQUIPOS!$B$7:$F$46,5,FALSE))</f>
        <v/>
      </c>
      <c r="T12" s="34"/>
      <c r="U12" s="24">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60"/>
      <c r="N13" s="760"/>
      <c r="O13" s="760"/>
      <c r="P13" s="760"/>
      <c r="Q13" s="760"/>
      <c r="R13" s="31" t="str">
        <f>IF(M13="","",VLOOKUP(M13,EQUIPOS!$B$7:$F$46,3,FALSE))</f>
        <v/>
      </c>
      <c r="S13" s="24" t="str">
        <f>IF(M13="","",VLOOKUP(M13,EQUIPOS!$B$7:$F$46,5,FALSE))</f>
        <v/>
      </c>
      <c r="T13" s="34"/>
      <c r="U13" s="24">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f t="shared" si="0"/>
        <v>0</v>
      </c>
      <c r="L14" s="22"/>
      <c r="M14" s="760"/>
      <c r="N14" s="760"/>
      <c r="O14" s="760"/>
      <c r="P14" s="760"/>
      <c r="Q14" s="760"/>
      <c r="R14" s="31" t="str">
        <f>IF(M14="","",VLOOKUP(M14,EQUIPOS!$B$7:$F$46,3,FALSE))</f>
        <v/>
      </c>
      <c r="S14" s="24" t="str">
        <f>IF(M14="","",VLOOKUP(M14,EQUIPOS!$B$7:$F$46,5,FALSE))</f>
        <v/>
      </c>
      <c r="T14" s="34"/>
      <c r="U14" s="24">
        <f t="shared" si="1"/>
        <v>0</v>
      </c>
    </row>
    <row r="15" spans="1:21" ht="15" customHeight="1" x14ac:dyDescent="0.25">
      <c r="A15" s="22"/>
      <c r="B15" s="760"/>
      <c r="C15" s="760"/>
      <c r="D15" s="760"/>
      <c r="E15" s="760"/>
      <c r="F15" s="760"/>
      <c r="G15" s="31" t="str">
        <f>IF(B15="","",VLOOKUP(B15,EQUIPOS!$B$7:$F$46,3,FALSE))</f>
        <v/>
      </c>
      <c r="H15" s="24" t="str">
        <f>IF(B15="","",VLOOKUP(B15,EQUIPOS!$B$7:$F$46,5,FALSE))</f>
        <v/>
      </c>
      <c r="I15" s="34"/>
      <c r="J15" s="24">
        <f t="shared" si="0"/>
        <v>0</v>
      </c>
      <c r="L15" s="22"/>
      <c r="M15" s="760"/>
      <c r="N15" s="760"/>
      <c r="O15" s="760"/>
      <c r="P15" s="760"/>
      <c r="Q15" s="760"/>
      <c r="R15" s="31" t="str">
        <f>IF(M15="","",VLOOKUP(M15,EQUIPOS!$B$7:$F$46,3,FALSE))</f>
        <v/>
      </c>
      <c r="S15" s="24" t="str">
        <f>IF(M15="","",VLOOKUP(M15,EQUIPOS!$B$7:$F$46,5,FALSE))</f>
        <v/>
      </c>
      <c r="T15" s="34"/>
      <c r="U15" s="24">
        <f t="shared" si="1"/>
        <v>0</v>
      </c>
    </row>
    <row r="16" spans="1:21" ht="15" customHeight="1" x14ac:dyDescent="0.25">
      <c r="A16" s="22"/>
      <c r="B16" s="760"/>
      <c r="C16" s="760"/>
      <c r="D16" s="760"/>
      <c r="E16" s="760"/>
      <c r="F16" s="760"/>
      <c r="G16" s="31" t="str">
        <f>IF(B16="","",VLOOKUP(B16,EQUIPOS!$B$7:$F$46,3,FALSE))</f>
        <v/>
      </c>
      <c r="H16" s="24" t="str">
        <f>IF(B16="","",VLOOKUP(B16,EQUIPOS!$B$7:$F$46,5,FALSE))</f>
        <v/>
      </c>
      <c r="I16" s="34"/>
      <c r="J16" s="24"/>
      <c r="L16" s="22"/>
      <c r="M16" s="760"/>
      <c r="N16" s="760"/>
      <c r="O16" s="760"/>
      <c r="P16" s="760"/>
      <c r="Q16" s="760"/>
      <c r="R16" s="31" t="str">
        <f>IF(M16="","",VLOOKUP(M16,EQUIPOS!$B$7:$F$46,3,FALSE))</f>
        <v/>
      </c>
      <c r="S16" s="24" t="str">
        <f>IF(M16="","",VLOOKUP(M16,EQUIPOS!$B$7:$F$46,5,FALSE))</f>
        <v/>
      </c>
      <c r="T16" s="34"/>
      <c r="U16" s="24"/>
    </row>
    <row r="17" spans="1:21" ht="15" customHeight="1" x14ac:dyDescent="0.25">
      <c r="A17" s="22"/>
      <c r="B17" s="761" t="s">
        <v>31</v>
      </c>
      <c r="C17" s="761"/>
      <c r="D17" s="761"/>
      <c r="E17" s="761"/>
      <c r="F17" s="761"/>
      <c r="G17" s="761"/>
      <c r="H17" s="761"/>
      <c r="I17" s="761"/>
      <c r="J17" s="24">
        <f>SUM(J9:J16)</f>
        <v>76</v>
      </c>
      <c r="L17" s="22"/>
      <c r="M17" s="761" t="s">
        <v>31</v>
      </c>
      <c r="N17" s="761"/>
      <c r="O17" s="761"/>
      <c r="P17" s="761"/>
      <c r="Q17" s="761"/>
      <c r="R17" s="761"/>
      <c r="S17" s="761"/>
      <c r="T17" s="761"/>
      <c r="U17" s="24">
        <f>SUM(U9:U16)</f>
        <v>74</v>
      </c>
    </row>
    <row r="18" spans="1:21" ht="7.5" customHeight="1" x14ac:dyDescent="0.25">
      <c r="A18" s="22"/>
      <c r="B18" s="25"/>
      <c r="C18" s="25"/>
      <c r="D18" s="25"/>
      <c r="E18" s="25"/>
      <c r="F18" s="25"/>
      <c r="G18" s="25"/>
      <c r="H18" s="25"/>
      <c r="I18" s="25"/>
      <c r="J18" s="26"/>
      <c r="L18" s="22"/>
      <c r="M18" s="25"/>
      <c r="N18" s="25"/>
      <c r="O18" s="25"/>
      <c r="P18" s="25"/>
      <c r="Q18" s="25"/>
      <c r="R18" s="25"/>
      <c r="S18" s="25"/>
      <c r="T18" s="25"/>
      <c r="U18" s="26"/>
    </row>
    <row r="19" spans="1:21" ht="15" customHeight="1" x14ac:dyDescent="0.25">
      <c r="A19" s="22"/>
      <c r="B19" s="761" t="s">
        <v>32</v>
      </c>
      <c r="C19" s="761"/>
      <c r="D19" s="761"/>
      <c r="E19" s="761"/>
      <c r="F19" s="761"/>
      <c r="G19" s="761"/>
      <c r="H19" s="761"/>
      <c r="I19" s="761"/>
      <c r="J19" s="761"/>
      <c r="L19" s="22"/>
      <c r="M19" s="761" t="s">
        <v>32</v>
      </c>
      <c r="N19" s="761"/>
      <c r="O19" s="761"/>
      <c r="P19" s="761"/>
      <c r="Q19" s="761"/>
      <c r="R19" s="761"/>
      <c r="S19" s="761"/>
      <c r="T19" s="761"/>
      <c r="U19" s="761"/>
    </row>
    <row r="20" spans="1:21" ht="26.4" x14ac:dyDescent="0.25">
      <c r="A20" s="22"/>
      <c r="B20" s="763" t="s">
        <v>33</v>
      </c>
      <c r="C20" s="763"/>
      <c r="D20" s="763"/>
      <c r="E20" s="763"/>
      <c r="F20" s="28" t="s">
        <v>19</v>
      </c>
      <c r="G20" s="31" t="s">
        <v>34</v>
      </c>
      <c r="H20" s="32" t="s">
        <v>35</v>
      </c>
      <c r="I20" s="32" t="s">
        <v>36</v>
      </c>
      <c r="J20" s="32" t="s">
        <v>29</v>
      </c>
      <c r="L20" s="22"/>
      <c r="M20" s="763" t="s">
        <v>33</v>
      </c>
      <c r="N20" s="763"/>
      <c r="O20" s="763"/>
      <c r="P20" s="763"/>
      <c r="Q20" s="28" t="s">
        <v>19</v>
      </c>
      <c r="R20" s="31" t="s">
        <v>34</v>
      </c>
      <c r="S20" s="32" t="s">
        <v>35</v>
      </c>
      <c r="T20" s="32" t="s">
        <v>36</v>
      </c>
      <c r="U20" s="32" t="s">
        <v>29</v>
      </c>
    </row>
    <row r="21" spans="1:21" ht="15.75" customHeight="1" x14ac:dyDescent="0.25">
      <c r="A21" s="22"/>
      <c r="B21" s="764" t="s">
        <v>250</v>
      </c>
      <c r="C21" s="764"/>
      <c r="D21" s="764"/>
      <c r="E21" s="764"/>
      <c r="F21" s="34">
        <v>1</v>
      </c>
      <c r="G21" s="31" t="str">
        <f>IF(F21=0,"",VLOOKUP(B21,'LISTADO DE MATERIALES'!$B$6:$D$311,2,FALSE))</f>
        <v>Kg</v>
      </c>
      <c r="H21" s="107">
        <v>0.05</v>
      </c>
      <c r="I21" s="24">
        <f>IF(F21=0,"",VLOOKUP(B21,'LISTADO DE MATERIALES'!$B$6:$D$311,3,FALSE))</f>
        <v>6225</v>
      </c>
      <c r="J21" s="24">
        <f>IF(I21="",0,ROUND((+F21*I21*(1+H21)),0))</f>
        <v>6536</v>
      </c>
      <c r="L21" s="22"/>
      <c r="M21" s="764" t="s">
        <v>250</v>
      </c>
      <c r="N21" s="764"/>
      <c r="O21" s="764"/>
      <c r="P21" s="764"/>
      <c r="Q21" s="34">
        <v>1</v>
      </c>
      <c r="R21" s="31" t="str">
        <f>IF(Q21=0,"",VLOOKUP(M21,'LISTADO DE MATERIALES'!$B$6:$D$311,2,FALSE))</f>
        <v>Kg</v>
      </c>
      <c r="S21" s="107">
        <v>0.05</v>
      </c>
      <c r="T21" s="24">
        <f>IF(Q21=0,"",VLOOKUP(M21,'LISTADO DE MATERIALES'!$B$6:$D$311,3,FALSE))</f>
        <v>6225</v>
      </c>
      <c r="U21" s="24">
        <f>IF(T21="",0,ROUND((+Q21*T21*(1+S21)),0))</f>
        <v>6536</v>
      </c>
    </row>
    <row r="22" spans="1:21" ht="15" customHeight="1" x14ac:dyDescent="0.25">
      <c r="A22" s="22"/>
      <c r="B22" s="764" t="s">
        <v>251</v>
      </c>
      <c r="C22" s="764"/>
      <c r="D22" s="764"/>
      <c r="E22" s="764"/>
      <c r="F22" s="34">
        <f>+F21*5%</f>
        <v>0.05</v>
      </c>
      <c r="G22" s="31" t="str">
        <f>IF(F22=0,"",VLOOKUP(B22,'LISTADO DE MATERIALES'!$B$6:$D$311,2,FALSE))</f>
        <v>Kg</v>
      </c>
      <c r="H22" s="107">
        <v>0.1</v>
      </c>
      <c r="I22" s="24">
        <f>IF(F22=0,"",VLOOKUP(B22,'LISTADO DE MATERIALES'!$B$6:$D$311,3,FALSE))</f>
        <v>12450</v>
      </c>
      <c r="J22" s="24">
        <f t="shared" ref="J22:J26" si="2">IF(I22="",0,ROUND((+F22*I22*(1+H22)),0))</f>
        <v>685</v>
      </c>
      <c r="K22" s="117"/>
      <c r="L22" s="22"/>
      <c r="M22" s="764" t="s">
        <v>251</v>
      </c>
      <c r="N22" s="764"/>
      <c r="O22" s="764"/>
      <c r="P22" s="764"/>
      <c r="Q22" s="34">
        <f>+Q21*4%</f>
        <v>0.04</v>
      </c>
      <c r="R22" s="31" t="str">
        <f>IF(Q22=0,"",VLOOKUP(M22,'LISTADO DE MATERIALES'!$B$6:$D$311,2,FALSE))</f>
        <v>Kg</v>
      </c>
      <c r="S22" s="107"/>
      <c r="T22" s="24">
        <f>IF(Q22=0,"",VLOOKUP(M22,'LISTADO DE MATERIALES'!$B$6:$D$311,3,FALSE))</f>
        <v>12450</v>
      </c>
      <c r="U22" s="24">
        <f t="shared" ref="U22:U26" si="3">IF(T22="",0,ROUND((+Q22*T22*(1+S22)),0))</f>
        <v>498</v>
      </c>
    </row>
    <row r="23" spans="1:21"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60"/>
      <c r="N23" s="760"/>
      <c r="O23" s="760"/>
      <c r="P23" s="760"/>
      <c r="Q23" s="34"/>
      <c r="R23" s="31" t="str">
        <f>IF(Q23=0,"",VLOOKUP(M23,'LISTADO DE MATERIALES'!$B$6:$D$311,2,FALSE))</f>
        <v/>
      </c>
      <c r="S23" s="107"/>
      <c r="T23" s="24" t="str">
        <f>IF(Q23=0,"",VLOOKUP(M23,'LISTADO DE MATERIALES'!$B$6:$D$311,3,FALSE))</f>
        <v/>
      </c>
      <c r="U23" s="24">
        <f t="shared" si="3"/>
        <v>0</v>
      </c>
    </row>
    <row r="24" spans="1:21"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60"/>
      <c r="N24" s="760"/>
      <c r="O24" s="760"/>
      <c r="P24" s="760"/>
      <c r="Q24" s="34"/>
      <c r="R24" s="31" t="str">
        <f>IF(Q24=0,"",VLOOKUP(M24,'LISTADO DE MATERIALES'!$B$6:$D$311,2,FALSE))</f>
        <v/>
      </c>
      <c r="S24" s="107"/>
      <c r="T24" s="24" t="str">
        <f>IF(Q24=0,"",VLOOKUP(M24,'LISTADO DE MATERIALES'!$B$6:$D$311,3,FALSE))</f>
        <v/>
      </c>
      <c r="U24" s="24">
        <f t="shared" si="3"/>
        <v>0</v>
      </c>
    </row>
    <row r="25" spans="1:21" ht="15" customHeight="1" x14ac:dyDescent="0.25">
      <c r="A25" s="22"/>
      <c r="B25" s="760"/>
      <c r="C25" s="760"/>
      <c r="D25" s="760"/>
      <c r="E25" s="760"/>
      <c r="F25" s="34"/>
      <c r="G25" s="31" t="str">
        <f>IF(F25=0,"",VLOOKUP(B25,'LISTADO DE MATERIALES'!$B$6:$D$311,2,FALSE))</f>
        <v/>
      </c>
      <c r="H25" s="107"/>
      <c r="I25" s="24" t="str">
        <f>IF(F25=0,"",VLOOKUP(B25,'LISTADO DE MATERIALES'!$B$6:$D$311,3,FALSE))</f>
        <v/>
      </c>
      <c r="J25" s="24">
        <f t="shared" si="2"/>
        <v>0</v>
      </c>
      <c r="L25" s="22"/>
      <c r="M25" s="760"/>
      <c r="N25" s="760"/>
      <c r="O25" s="760"/>
      <c r="P25" s="760"/>
      <c r="Q25" s="34"/>
      <c r="R25" s="31" t="str">
        <f>IF(Q25=0,"",VLOOKUP(M25,'LISTADO DE MATERIALES'!$B$6:$D$311,2,FALSE))</f>
        <v/>
      </c>
      <c r="S25" s="107"/>
      <c r="T25" s="24" t="str">
        <f>IF(Q25=0,"",VLOOKUP(M25,'LISTADO DE MATERIALES'!$B$6:$D$311,3,FALSE))</f>
        <v/>
      </c>
      <c r="U25" s="24">
        <f t="shared" si="3"/>
        <v>0</v>
      </c>
    </row>
    <row r="26" spans="1:21" ht="15" customHeight="1" x14ac:dyDescent="0.25">
      <c r="A26" s="22"/>
      <c r="B26" s="760"/>
      <c r="C26" s="760"/>
      <c r="D26" s="760"/>
      <c r="E26" s="760"/>
      <c r="F26" s="34"/>
      <c r="G26" s="31" t="str">
        <f>IF(F26=0,"",VLOOKUP(B26,'LISTADO DE MATERIALES'!$B$6:$D$311,2,FALSE))</f>
        <v/>
      </c>
      <c r="H26" s="107"/>
      <c r="I26" s="24" t="str">
        <f>IF(F26=0,"",VLOOKUP(B26,'LISTADO DE MATERIALES'!$B$6:$D$311,3,FALSE))</f>
        <v/>
      </c>
      <c r="J26" s="24">
        <f t="shared" si="2"/>
        <v>0</v>
      </c>
      <c r="L26" s="22"/>
      <c r="M26" s="760"/>
      <c r="N26" s="760"/>
      <c r="O26" s="760"/>
      <c r="P26" s="760"/>
      <c r="Q26" s="34"/>
      <c r="R26" s="31" t="str">
        <f>IF(Q26=0,"",VLOOKUP(M26,'LISTADO DE MATERIALES'!$B$6:$D$311,2,FALSE))</f>
        <v/>
      </c>
      <c r="S26" s="107"/>
      <c r="T26" s="24" t="str">
        <f>IF(Q26=0,"",VLOOKUP(M26,'LISTADO DE MATERIALES'!$B$6:$D$311,3,FALSE))</f>
        <v/>
      </c>
      <c r="U26" s="24">
        <f t="shared" si="3"/>
        <v>0</v>
      </c>
    </row>
    <row r="27" spans="1:21" ht="15" customHeight="1" x14ac:dyDescent="0.25">
      <c r="A27" s="22"/>
      <c r="B27" s="761" t="s">
        <v>37</v>
      </c>
      <c r="C27" s="761"/>
      <c r="D27" s="761"/>
      <c r="E27" s="761"/>
      <c r="F27" s="761"/>
      <c r="G27" s="761"/>
      <c r="H27" s="761"/>
      <c r="I27" s="761"/>
      <c r="J27" s="24">
        <f>SUM(J21:J26)</f>
        <v>7221</v>
      </c>
      <c r="L27" s="22"/>
      <c r="M27" s="761" t="s">
        <v>37</v>
      </c>
      <c r="N27" s="761"/>
      <c r="O27" s="761"/>
      <c r="P27" s="761"/>
      <c r="Q27" s="761"/>
      <c r="R27" s="761"/>
      <c r="S27" s="761"/>
      <c r="T27" s="761"/>
      <c r="U27" s="24">
        <f>SUM(U21:U26)</f>
        <v>7034</v>
      </c>
    </row>
    <row r="28" spans="1:21" ht="7.5" customHeight="1" x14ac:dyDescent="0.25">
      <c r="A28" s="22"/>
      <c r="B28" s="25"/>
      <c r="C28" s="25"/>
      <c r="D28" s="25"/>
      <c r="E28" s="25"/>
      <c r="F28" s="25"/>
      <c r="G28" s="25"/>
      <c r="H28" s="25"/>
      <c r="I28" s="25"/>
      <c r="J28" s="26"/>
      <c r="L28" s="22"/>
      <c r="M28" s="25"/>
      <c r="N28" s="25"/>
      <c r="O28" s="25"/>
      <c r="P28" s="25"/>
      <c r="Q28" s="25"/>
      <c r="R28" s="25"/>
      <c r="S28" s="25"/>
      <c r="T28" s="25"/>
      <c r="U28" s="26"/>
    </row>
    <row r="29" spans="1:21" ht="15" customHeight="1" x14ac:dyDescent="0.25">
      <c r="A29" s="22"/>
      <c r="B29" s="761" t="s">
        <v>38</v>
      </c>
      <c r="C29" s="761"/>
      <c r="D29" s="761"/>
      <c r="E29" s="761"/>
      <c r="F29" s="761"/>
      <c r="G29" s="761"/>
      <c r="H29" s="761"/>
      <c r="I29" s="761"/>
      <c r="J29" s="761"/>
      <c r="L29" s="22"/>
      <c r="M29" s="761" t="s">
        <v>38</v>
      </c>
      <c r="N29" s="761"/>
      <c r="O29" s="761"/>
      <c r="P29" s="761"/>
      <c r="Q29" s="761"/>
      <c r="R29" s="761"/>
      <c r="S29" s="761"/>
      <c r="T29" s="761"/>
      <c r="U29" s="761"/>
    </row>
    <row r="30" spans="1:21" ht="26.4" x14ac:dyDescent="0.25">
      <c r="A30" s="22"/>
      <c r="B30" s="763" t="s">
        <v>33</v>
      </c>
      <c r="C30" s="763"/>
      <c r="D30" s="763"/>
      <c r="E30" s="763"/>
      <c r="F30" s="763"/>
      <c r="G30" s="31" t="s">
        <v>133</v>
      </c>
      <c r="H30" s="31" t="s">
        <v>132</v>
      </c>
      <c r="I30" s="31" t="s">
        <v>39</v>
      </c>
      <c r="J30" s="32" t="s">
        <v>29</v>
      </c>
      <c r="L30" s="22"/>
      <c r="M30" s="763" t="s">
        <v>33</v>
      </c>
      <c r="N30" s="763"/>
      <c r="O30" s="763"/>
      <c r="P30" s="763"/>
      <c r="Q30" s="763"/>
      <c r="R30" s="31" t="s">
        <v>133</v>
      </c>
      <c r="S30" s="31" t="s">
        <v>132</v>
      </c>
      <c r="T30" s="31" t="s">
        <v>39</v>
      </c>
      <c r="U30" s="32" t="s">
        <v>29</v>
      </c>
    </row>
    <row r="31" spans="1:21" ht="15" customHeight="1" x14ac:dyDescent="0.25">
      <c r="A31" s="22"/>
      <c r="B31" s="760"/>
      <c r="C31" s="760"/>
      <c r="D31" s="760"/>
      <c r="E31" s="760"/>
      <c r="F31" s="760"/>
      <c r="G31" s="31"/>
      <c r="H31" s="34"/>
      <c r="I31" s="24"/>
      <c r="J31" s="24">
        <f>ROUND(I31*H31,0)</f>
        <v>0</v>
      </c>
      <c r="L31" s="22"/>
      <c r="M31" s="760"/>
      <c r="N31" s="760"/>
      <c r="O31" s="760"/>
      <c r="P31" s="760"/>
      <c r="Q31" s="760"/>
      <c r="R31" s="31"/>
      <c r="S31" s="34"/>
      <c r="T31" s="24"/>
      <c r="U31" s="24">
        <f>ROUND(T31*S31,0)</f>
        <v>0</v>
      </c>
    </row>
    <row r="32" spans="1:21" ht="15" customHeight="1" x14ac:dyDescent="0.25">
      <c r="A32" s="22"/>
      <c r="B32" s="760"/>
      <c r="C32" s="760"/>
      <c r="D32" s="760"/>
      <c r="E32" s="760"/>
      <c r="F32" s="760"/>
      <c r="G32" s="31"/>
      <c r="H32" s="34"/>
      <c r="I32" s="24"/>
      <c r="J32" s="24">
        <v>0</v>
      </c>
      <c r="L32" s="22"/>
      <c r="M32" s="760"/>
      <c r="N32" s="760"/>
      <c r="O32" s="760"/>
      <c r="P32" s="760"/>
      <c r="Q32" s="760"/>
      <c r="R32" s="31"/>
      <c r="S32" s="34"/>
      <c r="T32" s="24"/>
      <c r="U32" s="24">
        <v>0</v>
      </c>
    </row>
    <row r="33" spans="1:21" ht="15" customHeight="1" x14ac:dyDescent="0.25">
      <c r="A33" s="22"/>
      <c r="B33" s="760"/>
      <c r="C33" s="760"/>
      <c r="D33" s="760"/>
      <c r="E33" s="760"/>
      <c r="F33" s="760"/>
      <c r="G33" s="31"/>
      <c r="H33" s="34"/>
      <c r="I33" s="24"/>
      <c r="J33" s="24">
        <v>0</v>
      </c>
      <c r="L33" s="22"/>
      <c r="M33" s="760"/>
      <c r="N33" s="760"/>
      <c r="O33" s="760"/>
      <c r="P33" s="760"/>
      <c r="Q33" s="760"/>
      <c r="R33" s="31"/>
      <c r="S33" s="34"/>
      <c r="T33" s="24"/>
      <c r="U33" s="24">
        <v>0</v>
      </c>
    </row>
    <row r="34" spans="1:21" ht="15" customHeight="1" x14ac:dyDescent="0.25">
      <c r="A34" s="22"/>
      <c r="B34" s="760"/>
      <c r="C34" s="760"/>
      <c r="D34" s="760"/>
      <c r="E34" s="760"/>
      <c r="F34" s="760"/>
      <c r="G34" s="31"/>
      <c r="H34" s="31"/>
      <c r="I34" s="24"/>
      <c r="J34" s="24">
        <v>0</v>
      </c>
      <c r="L34" s="22"/>
      <c r="M34" s="760"/>
      <c r="N34" s="760"/>
      <c r="O34" s="760"/>
      <c r="P34" s="760"/>
      <c r="Q34" s="760"/>
      <c r="R34" s="31"/>
      <c r="S34" s="31"/>
      <c r="T34" s="24"/>
      <c r="U34" s="24">
        <v>0</v>
      </c>
    </row>
    <row r="35" spans="1:21" ht="15" customHeight="1" x14ac:dyDescent="0.25">
      <c r="A35" s="22"/>
      <c r="B35" s="761" t="s">
        <v>40</v>
      </c>
      <c r="C35" s="761"/>
      <c r="D35" s="761"/>
      <c r="E35" s="761"/>
      <c r="F35" s="761"/>
      <c r="G35" s="761"/>
      <c r="H35" s="761"/>
      <c r="I35" s="761"/>
      <c r="J35" s="24">
        <f>SUM(J31:J34)</f>
        <v>0</v>
      </c>
      <c r="L35" s="22"/>
      <c r="M35" s="761" t="s">
        <v>40</v>
      </c>
      <c r="N35" s="761"/>
      <c r="O35" s="761"/>
      <c r="P35" s="761"/>
      <c r="Q35" s="761"/>
      <c r="R35" s="761"/>
      <c r="S35" s="761"/>
      <c r="T35" s="761"/>
      <c r="U35" s="24">
        <f>SUM(U31:U34)</f>
        <v>0</v>
      </c>
    </row>
    <row r="36" spans="1:21" ht="7.5" customHeight="1" x14ac:dyDescent="0.25">
      <c r="A36" s="22"/>
      <c r="B36" s="25"/>
      <c r="C36" s="25"/>
      <c r="D36" s="25"/>
      <c r="E36" s="25"/>
      <c r="F36" s="25"/>
      <c r="G36" s="25"/>
      <c r="H36" s="25"/>
      <c r="I36" s="25"/>
      <c r="J36" s="26"/>
      <c r="L36" s="22"/>
      <c r="M36" s="25"/>
      <c r="N36" s="25"/>
      <c r="O36" s="25"/>
      <c r="P36" s="25"/>
      <c r="Q36" s="25"/>
      <c r="R36" s="25"/>
      <c r="S36" s="25"/>
      <c r="T36" s="25"/>
      <c r="U36" s="26"/>
    </row>
    <row r="37" spans="1:21" ht="15" customHeight="1" x14ac:dyDescent="0.25">
      <c r="A37" s="22"/>
      <c r="B37" s="761" t="s">
        <v>41</v>
      </c>
      <c r="C37" s="761"/>
      <c r="D37" s="761"/>
      <c r="E37" s="761"/>
      <c r="F37" s="761"/>
      <c r="G37" s="761"/>
      <c r="H37" s="761"/>
      <c r="I37" s="761"/>
      <c r="J37" s="761"/>
      <c r="L37" s="22"/>
      <c r="M37" s="761" t="s">
        <v>41</v>
      </c>
      <c r="N37" s="761"/>
      <c r="O37" s="761"/>
      <c r="P37" s="761"/>
      <c r="Q37" s="761"/>
      <c r="R37" s="761"/>
      <c r="S37" s="761"/>
      <c r="T37" s="761"/>
      <c r="U37" s="761"/>
    </row>
    <row r="38" spans="1:21" ht="39.6" x14ac:dyDescent="0.25">
      <c r="A38" s="22"/>
      <c r="B38" s="763" t="s">
        <v>4</v>
      </c>
      <c r="C38" s="763"/>
      <c r="D38" s="763"/>
      <c r="E38" s="763"/>
      <c r="F38" s="763"/>
      <c r="G38" s="32" t="s">
        <v>51</v>
      </c>
      <c r="H38" s="32" t="s">
        <v>19</v>
      </c>
      <c r="I38" s="32" t="s">
        <v>28</v>
      </c>
      <c r="J38" s="32" t="s">
        <v>29</v>
      </c>
      <c r="L38" s="22"/>
      <c r="M38" s="763" t="s">
        <v>4</v>
      </c>
      <c r="N38" s="763"/>
      <c r="O38" s="763"/>
      <c r="P38" s="763"/>
      <c r="Q38" s="763"/>
      <c r="R38" s="32" t="s">
        <v>51</v>
      </c>
      <c r="S38" s="32" t="s">
        <v>19</v>
      </c>
      <c r="T38" s="32" t="s">
        <v>28</v>
      </c>
      <c r="U38" s="32" t="s">
        <v>29</v>
      </c>
    </row>
    <row r="39" spans="1:21" ht="15" customHeight="1" x14ac:dyDescent="0.25">
      <c r="A39" s="22"/>
      <c r="B39" s="760" t="s">
        <v>68</v>
      </c>
      <c r="C39" s="760"/>
      <c r="D39" s="760"/>
      <c r="E39" s="760"/>
      <c r="F39" s="760"/>
      <c r="G39" s="24">
        <f>IF(B39="","",VLOOKUP(B39,CUADRILLAS!$B$87:$C$101,2,FALSE))</f>
        <v>235820.59999999998</v>
      </c>
      <c r="H39" s="31">
        <v>1</v>
      </c>
      <c r="I39" s="34">
        <v>310</v>
      </c>
      <c r="J39" s="24">
        <f>ROUND(+IF(I39=0,0,G39*H39/I39),0)</f>
        <v>761</v>
      </c>
      <c r="L39" s="22"/>
      <c r="M39" s="789" t="s">
        <v>120</v>
      </c>
      <c r="N39" s="789"/>
      <c r="O39" s="789"/>
      <c r="P39" s="789"/>
      <c r="Q39" s="789"/>
      <c r="R39" s="212">
        <v>157213.73333333334</v>
      </c>
      <c r="S39" s="214">
        <v>1</v>
      </c>
      <c r="T39" s="211">
        <v>160</v>
      </c>
      <c r="U39" s="212">
        <f>ROUND(+IF(T39=0,0,R39*S39/T39),0)</f>
        <v>983</v>
      </c>
    </row>
    <row r="40" spans="1:21" ht="15" customHeight="1" x14ac:dyDescent="0.25">
      <c r="A40" s="22"/>
      <c r="B40" s="760" t="s">
        <v>120</v>
      </c>
      <c r="C40" s="760"/>
      <c r="D40" s="760"/>
      <c r="E40" s="760"/>
      <c r="F40" s="760"/>
      <c r="G40" s="24">
        <f>IF(B40="","",VLOOKUP(B40,CUADRILLAS!$B$87:$C$101,2,FALSE))</f>
        <v>157213.73333333334</v>
      </c>
      <c r="H40" s="31">
        <v>1</v>
      </c>
      <c r="I40" s="34">
        <f>+I39</f>
        <v>310</v>
      </c>
      <c r="J40" s="24">
        <f>ROUND(+IF(I40=0,0,G40*H40/I40),0)</f>
        <v>507</v>
      </c>
      <c r="L40" s="22"/>
      <c r="M40" s="789" t="s">
        <v>121</v>
      </c>
      <c r="N40" s="789"/>
      <c r="O40" s="789"/>
      <c r="P40" s="789"/>
      <c r="Q40" s="789"/>
      <c r="R40" s="212">
        <v>78606.866666666669</v>
      </c>
      <c r="S40" s="214">
        <v>1</v>
      </c>
      <c r="T40" s="211">
        <f>+T39</f>
        <v>160</v>
      </c>
      <c r="U40" s="212">
        <f>ROUND(+IF(T40=0,0,R40*S40/T40),0)</f>
        <v>491</v>
      </c>
    </row>
    <row r="41" spans="1:21" ht="15" customHeight="1" x14ac:dyDescent="0.25">
      <c r="A41" s="22"/>
      <c r="B41" s="760" t="s">
        <v>121</v>
      </c>
      <c r="C41" s="760"/>
      <c r="D41" s="760"/>
      <c r="E41" s="760"/>
      <c r="F41" s="760"/>
      <c r="G41" s="24">
        <f>IF(B41="","",VLOOKUP(B41,CUADRILLAS!$B$87:$C$101,2,FALSE))</f>
        <v>78606.866666666669</v>
      </c>
      <c r="H41" s="31">
        <v>1</v>
      </c>
      <c r="I41" s="34">
        <f>+I40</f>
        <v>310</v>
      </c>
      <c r="J41" s="24">
        <f>ROUND(+IF(I41=0,0,G41*H41/I41),0)</f>
        <v>254</v>
      </c>
      <c r="L41" s="22"/>
      <c r="M41" s="760"/>
      <c r="N41" s="760"/>
      <c r="O41" s="760"/>
      <c r="P41" s="760"/>
      <c r="Q41" s="760"/>
      <c r="R41" s="24"/>
      <c r="S41" s="31"/>
      <c r="T41" s="34"/>
      <c r="U41" s="24"/>
    </row>
    <row r="42" spans="1:21" ht="15" customHeight="1" x14ac:dyDescent="0.25">
      <c r="A42" s="22"/>
      <c r="B42" s="760"/>
      <c r="C42" s="760"/>
      <c r="D42" s="760"/>
      <c r="E42" s="760"/>
      <c r="F42" s="760"/>
      <c r="G42" s="24" t="str">
        <f>IF(B42="","",VLOOKUP(B42,CUADRILLAS!$B$87:$C$101,2,FALSE))</f>
        <v/>
      </c>
      <c r="H42" s="31"/>
      <c r="I42" s="34"/>
      <c r="J42" s="24">
        <f t="shared" ref="J42" si="4">+IF(I42=0,0,G42*H42/I42)</f>
        <v>0</v>
      </c>
      <c r="L42" s="22"/>
      <c r="M42" s="760"/>
      <c r="N42" s="760"/>
      <c r="O42" s="760"/>
      <c r="P42" s="760"/>
      <c r="Q42" s="760"/>
      <c r="R42" s="24" t="str">
        <f>IF(M42="","",VLOOKUP(M42,CUADRILLAS!$B$87:$C$101,2,FALSE))</f>
        <v/>
      </c>
      <c r="S42" s="31"/>
      <c r="T42" s="34"/>
      <c r="U42" s="24">
        <f t="shared" ref="U42" si="5">+IF(T42=0,0,R42*S42/T42)</f>
        <v>0</v>
      </c>
    </row>
    <row r="43" spans="1:21" ht="15" customHeight="1" x14ac:dyDescent="0.25">
      <c r="A43" s="22"/>
      <c r="B43" s="761" t="s">
        <v>42</v>
      </c>
      <c r="C43" s="761"/>
      <c r="D43" s="761"/>
      <c r="E43" s="761"/>
      <c r="F43" s="761"/>
      <c r="G43" s="761"/>
      <c r="H43" s="761"/>
      <c r="I43" s="761"/>
      <c r="J43" s="24">
        <f>SUM(J39:J42)</f>
        <v>1522</v>
      </c>
      <c r="L43" s="22"/>
      <c r="M43" s="761" t="s">
        <v>42</v>
      </c>
      <c r="N43" s="761"/>
      <c r="O43" s="761"/>
      <c r="P43" s="761"/>
      <c r="Q43" s="761"/>
      <c r="R43" s="761"/>
      <c r="S43" s="761"/>
      <c r="T43" s="761"/>
      <c r="U43" s="24">
        <f>SUM(U39:U42)</f>
        <v>1474</v>
      </c>
    </row>
    <row r="44" spans="1:21" ht="7.5" customHeight="1" x14ac:dyDescent="0.25">
      <c r="A44" s="22"/>
      <c r="B44" s="25"/>
      <c r="C44" s="25"/>
      <c r="D44" s="25"/>
      <c r="E44" s="25"/>
      <c r="F44" s="25"/>
      <c r="G44" s="25"/>
      <c r="H44" s="25"/>
      <c r="I44" s="25"/>
      <c r="J44" s="26"/>
      <c r="L44" s="22"/>
      <c r="M44" s="25"/>
      <c r="N44" s="25"/>
      <c r="O44" s="25"/>
      <c r="P44" s="25"/>
      <c r="Q44" s="25"/>
      <c r="R44" s="25"/>
      <c r="S44" s="25"/>
      <c r="T44" s="25"/>
      <c r="U44" s="26"/>
    </row>
    <row r="45" spans="1:21" ht="15.75" customHeight="1" x14ac:dyDescent="0.25">
      <c r="A45" s="27"/>
      <c r="B45" s="762" t="s">
        <v>43</v>
      </c>
      <c r="C45" s="762"/>
      <c r="D45" s="762"/>
      <c r="E45" s="762"/>
      <c r="F45" s="762"/>
      <c r="G45" s="762"/>
      <c r="H45" s="762"/>
      <c r="I45" s="762"/>
      <c r="J45" s="106">
        <f>+J43+J35+J17+J27</f>
        <v>8819</v>
      </c>
      <c r="L45" s="27"/>
      <c r="M45" s="762" t="s">
        <v>43</v>
      </c>
      <c r="N45" s="762"/>
      <c r="O45" s="762"/>
      <c r="P45" s="762"/>
      <c r="Q45" s="762"/>
      <c r="R45" s="762"/>
      <c r="S45" s="762"/>
      <c r="T45" s="762"/>
      <c r="U45" s="106">
        <f>+U43+U35+U17+U27</f>
        <v>8582</v>
      </c>
    </row>
    <row r="46" spans="1:21" x14ac:dyDescent="0.25">
      <c r="B46" s="21"/>
      <c r="C46" s="21"/>
      <c r="D46" s="21"/>
      <c r="E46" s="21"/>
      <c r="F46" s="21"/>
      <c r="G46" s="21"/>
      <c r="H46" s="21"/>
      <c r="I46" s="21"/>
      <c r="J46" s="21"/>
    </row>
  </sheetData>
  <mergeCells count="82">
    <mergeCell ref="M41:Q41"/>
    <mergeCell ref="M42:Q42"/>
    <mergeCell ref="M45:T45"/>
    <mergeCell ref="M39:Q39"/>
    <mergeCell ref="M40:Q40"/>
    <mergeCell ref="M43:T43"/>
    <mergeCell ref="M15:Q15"/>
    <mergeCell ref="M16:Q16"/>
    <mergeCell ref="M17:T17"/>
    <mergeCell ref="M19:U19"/>
    <mergeCell ref="M25:P25"/>
    <mergeCell ref="M22:P22"/>
    <mergeCell ref="M23:P23"/>
    <mergeCell ref="M24:P24"/>
    <mergeCell ref="M20:P20"/>
    <mergeCell ref="M21:P21"/>
    <mergeCell ref="M26:P26"/>
    <mergeCell ref="M27:T27"/>
    <mergeCell ref="M29:U29"/>
    <mergeCell ref="M33:Q33"/>
    <mergeCell ref="M34:Q34"/>
    <mergeCell ref="M35:T35"/>
    <mergeCell ref="M37:U37"/>
    <mergeCell ref="M38:Q38"/>
    <mergeCell ref="M30:Q30"/>
    <mergeCell ref="M31:Q31"/>
    <mergeCell ref="M32:Q32"/>
    <mergeCell ref="M11:Q11"/>
    <mergeCell ref="M12:Q12"/>
    <mergeCell ref="M13:Q13"/>
    <mergeCell ref="M14:Q14"/>
    <mergeCell ref="P6:S6"/>
    <mergeCell ref="M7:U7"/>
    <mergeCell ref="M8:Q8"/>
    <mergeCell ref="M9:Q9"/>
    <mergeCell ref="M10:Q10"/>
    <mergeCell ref="L1:N4"/>
    <mergeCell ref="O1:U1"/>
    <mergeCell ref="O2:U2"/>
    <mergeCell ref="O3:U3"/>
    <mergeCell ref="O4:U4"/>
    <mergeCell ref="B40:F40"/>
    <mergeCell ref="B41:F41"/>
    <mergeCell ref="B42:F42"/>
    <mergeCell ref="B43:I43"/>
    <mergeCell ref="B45:I45"/>
    <mergeCell ref="B39:F39"/>
    <mergeCell ref="B26:E26"/>
    <mergeCell ref="B27:I27"/>
    <mergeCell ref="B29:J29"/>
    <mergeCell ref="B30:F30"/>
    <mergeCell ref="B31:F31"/>
    <mergeCell ref="B32:F32"/>
    <mergeCell ref="B33:F33"/>
    <mergeCell ref="B34:F34"/>
    <mergeCell ref="B35:I35"/>
    <mergeCell ref="B37:J37"/>
    <mergeCell ref="B38:F38"/>
    <mergeCell ref="B25:E25"/>
    <mergeCell ref="B13:F13"/>
    <mergeCell ref="B14:F14"/>
    <mergeCell ref="B15:F15"/>
    <mergeCell ref="B16:F16"/>
    <mergeCell ref="B17:I17"/>
    <mergeCell ref="B19:J19"/>
    <mergeCell ref="B20:E20"/>
    <mergeCell ref="B21:E21"/>
    <mergeCell ref="B22:E22"/>
    <mergeCell ref="B23:E23"/>
    <mergeCell ref="B24:E24"/>
    <mergeCell ref="B12:F12"/>
    <mergeCell ref="A1:C4"/>
    <mergeCell ref="D1:J1"/>
    <mergeCell ref="D2:J2"/>
    <mergeCell ref="D3:J3"/>
    <mergeCell ref="D4:J4"/>
    <mergeCell ref="E6:H6"/>
    <mergeCell ref="B7:J7"/>
    <mergeCell ref="B8:F8"/>
    <mergeCell ref="B9:F9"/>
    <mergeCell ref="B10:F10"/>
    <mergeCell ref="B11:F11"/>
  </mergeCells>
  <hyperlinks>
    <hyperlink ref="C6" location="'PPTO HOJA'!A124" display="'PPTO HOJA'!A124" xr:uid="{00000000-0004-0000-3400-000000000000}"/>
    <hyperlink ref="N6" location="'PPTO HOJA'!A15" display="'PPTO HOJA'!A15" xr:uid="{00000000-0004-0000-3400-000001000000}"/>
  </hyperlinks>
  <pageMargins left="0.7" right="0.7" top="0.75" bottom="0.75" header="0.3" footer="0.3"/>
  <pageSetup paperSize="9" scale="37"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3400-000000000000}">
          <x14:formula1>
            <xm:f>CUADRILLAS!$B$86:$B$101</xm:f>
          </x14:formula1>
          <xm:sqref>B39:F42 M41:Q42</xm:sqref>
        </x14:dataValidation>
      </x14:dataValidations>
    </ext>
  </extLst>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theme="5" tint="0.59999389629810485"/>
  </sheetPr>
  <dimension ref="A1:V54"/>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4.88671875" style="20" bestFit="1" customWidth="1"/>
    <col min="11" max="11" width="5.44140625" style="20" customWidth="1"/>
    <col min="12" max="17" width="11.44140625" style="20"/>
    <col min="18" max="18" width="12.33203125" style="20" bestFit="1" customWidth="1"/>
    <col min="19" max="19" width="15.109375" style="20" customWidth="1"/>
    <col min="20" max="20" width="14.44140625" style="20" bestFit="1" customWidth="1"/>
    <col min="21" max="21" width="14.5546875" style="20" bestFit="1" customWidth="1"/>
    <col min="22" max="22" width="12.109375" style="242" customWidth="1"/>
    <col min="23" max="16384" width="11.44140625" style="20"/>
  </cols>
  <sheetData>
    <row r="1" spans="1:22" x14ac:dyDescent="0.25">
      <c r="A1" s="768"/>
      <c r="B1" s="768"/>
      <c r="C1" s="768"/>
      <c r="D1" s="769" t="s">
        <v>1</v>
      </c>
      <c r="E1" s="769"/>
      <c r="F1" s="769"/>
      <c r="G1" s="769"/>
      <c r="H1" s="769"/>
      <c r="I1" s="769"/>
      <c r="J1" s="769"/>
      <c r="L1" s="821" t="s">
        <v>458</v>
      </c>
      <c r="M1" s="821"/>
      <c r="N1" s="821"/>
      <c r="O1" s="769" t="str">
        <f>D1</f>
        <v>DEPARTAMENTO DE ANTIOQUIA</v>
      </c>
      <c r="P1" s="769"/>
      <c r="Q1" s="769"/>
      <c r="R1" s="769"/>
      <c r="S1" s="769"/>
      <c r="T1" s="769"/>
      <c r="U1" s="769"/>
      <c r="V1" s="242" t="s">
        <v>459</v>
      </c>
    </row>
    <row r="2" spans="1:22" ht="13.2" customHeight="1" x14ac:dyDescent="0.25">
      <c r="A2" s="768"/>
      <c r="B2" s="768"/>
      <c r="C2" s="768"/>
      <c r="D2" s="769" t="s">
        <v>2</v>
      </c>
      <c r="E2" s="769"/>
      <c r="F2" s="769"/>
      <c r="G2" s="769"/>
      <c r="H2" s="769"/>
      <c r="I2" s="769"/>
      <c r="J2" s="769"/>
      <c r="L2" s="821"/>
      <c r="M2" s="821"/>
      <c r="N2" s="821"/>
      <c r="O2" s="769" t="str">
        <f>D2</f>
        <v>MUNICIPIO DE ARBOLETES</v>
      </c>
      <c r="P2" s="769"/>
      <c r="Q2" s="769"/>
      <c r="R2" s="769"/>
      <c r="S2" s="769"/>
      <c r="T2" s="769"/>
      <c r="U2" s="769"/>
    </row>
    <row r="3" spans="1:22" ht="46.5" customHeight="1" x14ac:dyDescent="0.25">
      <c r="A3" s="768"/>
      <c r="B3" s="768"/>
      <c r="C3" s="768"/>
      <c r="D3" s="770" t="s">
        <v>328</v>
      </c>
      <c r="E3" s="770"/>
      <c r="F3" s="770"/>
      <c r="G3" s="770"/>
      <c r="H3" s="770"/>
      <c r="I3" s="770"/>
      <c r="J3" s="770"/>
      <c r="L3" s="821"/>
      <c r="M3" s="821"/>
      <c r="N3" s="821"/>
      <c r="O3" s="770" t="str">
        <f>D3</f>
        <v>CONSTRUCCION DE OBRAS CIVILES COMPLEMENTARIAS PARA EL CORRECTO FUNCIONAMIENTO DEL PROYECTO DENOMINADO “PARQUE GEOLÓGICO, NATURAL, AMBIENTAL, CULTURAL Y TURÍSTICO, VOLCÁN DE LODO DE ARBOLETES”, QUE SE LLEVARÁ A CABO EN EL MUNICIPIO DE ARBOLETES-ANTIOQUIA</v>
      </c>
      <c r="P3" s="770"/>
      <c r="Q3" s="770"/>
      <c r="R3" s="770"/>
      <c r="S3" s="770"/>
      <c r="T3" s="770"/>
      <c r="U3" s="770"/>
    </row>
    <row r="4" spans="1:22" x14ac:dyDescent="0.25">
      <c r="A4" s="768"/>
      <c r="B4" s="768"/>
      <c r="C4" s="768"/>
      <c r="D4" s="769" t="s">
        <v>20</v>
      </c>
      <c r="E4" s="769"/>
      <c r="F4" s="769"/>
      <c r="G4" s="769"/>
      <c r="H4" s="769"/>
      <c r="I4" s="769"/>
      <c r="J4" s="769"/>
      <c r="L4" s="821"/>
      <c r="M4" s="821"/>
      <c r="N4" s="821"/>
      <c r="O4" s="769" t="s">
        <v>20</v>
      </c>
      <c r="P4" s="769"/>
      <c r="Q4" s="769"/>
      <c r="R4" s="769"/>
      <c r="S4" s="769"/>
      <c r="T4" s="769"/>
      <c r="U4" s="769"/>
    </row>
    <row r="5" spans="1:22" ht="9.75" customHeight="1" x14ac:dyDescent="0.25">
      <c r="A5" s="22"/>
      <c r="J5" s="23"/>
      <c r="L5" s="22"/>
      <c r="U5" s="23"/>
    </row>
    <row r="6" spans="1:22" s="21" customFormat="1" ht="36.6" customHeight="1" x14ac:dyDescent="0.3">
      <c r="A6" s="202" t="s">
        <v>460</v>
      </c>
      <c r="B6" s="203" t="s">
        <v>22</v>
      </c>
      <c r="C6" s="204">
        <v>7.01</v>
      </c>
      <c r="D6" s="205"/>
      <c r="E6" s="777" t="s">
        <v>367</v>
      </c>
      <c r="F6" s="777"/>
      <c r="G6" s="777"/>
      <c r="H6" s="777"/>
      <c r="I6" s="202" t="s">
        <v>23</v>
      </c>
      <c r="J6" s="206" t="s">
        <v>9</v>
      </c>
      <c r="L6" s="202" t="s">
        <v>460</v>
      </c>
      <c r="M6" s="203" t="s">
        <v>22</v>
      </c>
      <c r="N6" s="204">
        <f>C6</f>
        <v>7.01</v>
      </c>
      <c r="O6" s="205"/>
      <c r="P6" s="791" t="str">
        <f>E6</f>
        <v xml:space="preserve">Suministro e Instalación de equipo de medida en poste contador electronico 3x220/127 v, 5a homologado por la empresa de energía </v>
      </c>
      <c r="Q6" s="792"/>
      <c r="R6" s="792"/>
      <c r="S6" s="793"/>
      <c r="T6" s="202" t="s">
        <v>23</v>
      </c>
      <c r="U6" s="206" t="str">
        <f>J6</f>
        <v>und</v>
      </c>
      <c r="V6" s="243"/>
    </row>
    <row r="7" spans="1:22" ht="15" customHeight="1" x14ac:dyDescent="0.25">
      <c r="A7" s="22"/>
      <c r="B7" s="772" t="s">
        <v>24</v>
      </c>
      <c r="C7" s="772"/>
      <c r="D7" s="772"/>
      <c r="E7" s="772"/>
      <c r="F7" s="772"/>
      <c r="G7" s="772"/>
      <c r="H7" s="772"/>
      <c r="I7" s="772"/>
      <c r="J7" s="772"/>
      <c r="L7" s="22"/>
      <c r="M7" s="818" t="s">
        <v>24</v>
      </c>
      <c r="N7" s="819"/>
      <c r="O7" s="819"/>
      <c r="P7" s="819"/>
      <c r="Q7" s="819"/>
      <c r="R7" s="819"/>
      <c r="S7" s="819"/>
      <c r="T7" s="819"/>
      <c r="U7" s="820"/>
    </row>
    <row r="8" spans="1:22" ht="26.4"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2" ht="15" customHeight="1" x14ac:dyDescent="0.25">
      <c r="A9" s="22"/>
      <c r="B9" s="771" t="s">
        <v>30</v>
      </c>
      <c r="C9" s="771"/>
      <c r="D9" s="771"/>
      <c r="E9" s="771"/>
      <c r="F9" s="771"/>
      <c r="G9" s="206"/>
      <c r="H9" s="181"/>
      <c r="I9" s="208">
        <v>0.05</v>
      </c>
      <c r="J9" s="181">
        <f>ROUND(I9*J46,0)</f>
        <v>16507</v>
      </c>
      <c r="L9" s="22"/>
      <c r="M9" s="771" t="s">
        <v>30</v>
      </c>
      <c r="N9" s="771"/>
      <c r="O9" s="771"/>
      <c r="P9" s="771"/>
      <c r="Q9" s="771"/>
      <c r="R9" s="206"/>
      <c r="S9" s="181"/>
      <c r="T9" s="208">
        <v>0.05</v>
      </c>
      <c r="U9" s="181">
        <f>ROUND(T9*U46,0)</f>
        <v>16507</v>
      </c>
      <c r="V9" s="244" t="s">
        <v>461</v>
      </c>
    </row>
    <row r="10" spans="1:22" ht="15" customHeight="1" x14ac:dyDescent="0.25">
      <c r="A10" s="22"/>
      <c r="B10" s="777" t="s">
        <v>392</v>
      </c>
      <c r="C10" s="777"/>
      <c r="D10" s="777"/>
      <c r="E10" s="777"/>
      <c r="F10" s="777"/>
      <c r="G10" s="206"/>
      <c r="H10" s="181">
        <v>896000</v>
      </c>
      <c r="I10" s="180">
        <f>+I43*3</f>
        <v>3</v>
      </c>
      <c r="J10" s="181">
        <f>IF(B10="",0,ROUND(H10/I10,0))</f>
        <v>298667</v>
      </c>
      <c r="L10" s="22"/>
      <c r="M10" s="777" t="s">
        <v>392</v>
      </c>
      <c r="N10" s="777"/>
      <c r="O10" s="777"/>
      <c r="P10" s="777"/>
      <c r="Q10" s="777"/>
      <c r="R10" s="206"/>
      <c r="S10" s="181">
        <v>896000</v>
      </c>
      <c r="T10" s="180">
        <f>+T43*3</f>
        <v>3</v>
      </c>
      <c r="U10" s="181">
        <f>IF(M10="",0,ROUND(S10/T10,0))</f>
        <v>298667</v>
      </c>
      <c r="V10" s="244" t="s">
        <v>461</v>
      </c>
    </row>
    <row r="11" spans="1:22" ht="15" customHeight="1" x14ac:dyDescent="0.25">
      <c r="A11" s="22"/>
      <c r="B11" s="771"/>
      <c r="C11" s="771"/>
      <c r="D11" s="771"/>
      <c r="E11" s="771"/>
      <c r="F11" s="771"/>
      <c r="G11" s="206"/>
      <c r="H11" s="181"/>
      <c r="I11" s="180"/>
      <c r="J11" s="181">
        <f t="shared" ref="J11:J15" si="0">IF(B11="",0,ROUND(H11/I11,0))</f>
        <v>0</v>
      </c>
      <c r="L11" s="22"/>
      <c r="M11" s="771"/>
      <c r="N11" s="771"/>
      <c r="O11" s="771"/>
      <c r="P11" s="771"/>
      <c r="Q11" s="771"/>
      <c r="R11" s="206"/>
      <c r="S11" s="181"/>
      <c r="T11" s="180"/>
      <c r="U11" s="181">
        <f t="shared" ref="U11:U15" si="1">IF(M11="",0,ROUND(S11/T11,0))</f>
        <v>0</v>
      </c>
    </row>
    <row r="12" spans="1:22" ht="15" customHeight="1" x14ac:dyDescent="0.25">
      <c r="A12" s="22"/>
      <c r="B12" s="771"/>
      <c r="C12" s="771"/>
      <c r="D12" s="771"/>
      <c r="E12" s="771"/>
      <c r="F12" s="771"/>
      <c r="G12" s="206" t="s">
        <v>501</v>
      </c>
      <c r="H12" s="181" t="s">
        <v>501</v>
      </c>
      <c r="I12" s="180"/>
      <c r="J12" s="181">
        <f t="shared" si="0"/>
        <v>0</v>
      </c>
      <c r="L12" s="22"/>
      <c r="M12" s="771"/>
      <c r="N12" s="771"/>
      <c r="O12" s="771"/>
      <c r="P12" s="771"/>
      <c r="Q12" s="771"/>
      <c r="R12" s="206" t="s">
        <v>501</v>
      </c>
      <c r="S12" s="181" t="s">
        <v>501</v>
      </c>
      <c r="T12" s="180"/>
      <c r="U12" s="181">
        <f t="shared" si="1"/>
        <v>0</v>
      </c>
    </row>
    <row r="13" spans="1:22" ht="15" customHeight="1" x14ac:dyDescent="0.25">
      <c r="A13" s="22"/>
      <c r="B13" s="771"/>
      <c r="C13" s="771"/>
      <c r="D13" s="771"/>
      <c r="E13" s="771"/>
      <c r="F13" s="771"/>
      <c r="G13" s="206" t="s">
        <v>501</v>
      </c>
      <c r="H13" s="181" t="s">
        <v>501</v>
      </c>
      <c r="I13" s="180"/>
      <c r="J13" s="181">
        <f t="shared" si="0"/>
        <v>0</v>
      </c>
      <c r="L13" s="22"/>
      <c r="M13" s="771"/>
      <c r="N13" s="771"/>
      <c r="O13" s="771"/>
      <c r="P13" s="771"/>
      <c r="Q13" s="771"/>
      <c r="R13" s="206" t="s">
        <v>501</v>
      </c>
      <c r="S13" s="181" t="s">
        <v>501</v>
      </c>
      <c r="T13" s="180"/>
      <c r="U13" s="181">
        <f t="shared" si="1"/>
        <v>0</v>
      </c>
    </row>
    <row r="14" spans="1:22" ht="15" customHeight="1" x14ac:dyDescent="0.25">
      <c r="A14" s="22"/>
      <c r="B14" s="771"/>
      <c r="C14" s="771"/>
      <c r="D14" s="771"/>
      <c r="E14" s="771"/>
      <c r="F14" s="771"/>
      <c r="G14" s="206" t="s">
        <v>501</v>
      </c>
      <c r="H14" s="181" t="s">
        <v>501</v>
      </c>
      <c r="I14" s="180"/>
      <c r="J14" s="181">
        <f t="shared" si="0"/>
        <v>0</v>
      </c>
      <c r="L14" s="22"/>
      <c r="M14" s="771"/>
      <c r="N14" s="771"/>
      <c r="O14" s="771"/>
      <c r="P14" s="771"/>
      <c r="Q14" s="771"/>
      <c r="R14" s="206" t="s">
        <v>501</v>
      </c>
      <c r="S14" s="181" t="s">
        <v>501</v>
      </c>
      <c r="T14" s="180"/>
      <c r="U14" s="181">
        <f t="shared" si="1"/>
        <v>0</v>
      </c>
    </row>
    <row r="15" spans="1:22" ht="15" customHeight="1" x14ac:dyDescent="0.25">
      <c r="A15" s="22"/>
      <c r="B15" s="771"/>
      <c r="C15" s="771"/>
      <c r="D15" s="771"/>
      <c r="E15" s="771"/>
      <c r="F15" s="771"/>
      <c r="G15" s="206" t="s">
        <v>501</v>
      </c>
      <c r="H15" s="181" t="s">
        <v>501</v>
      </c>
      <c r="I15" s="180"/>
      <c r="J15" s="181">
        <f t="shared" si="0"/>
        <v>0</v>
      </c>
      <c r="L15" s="22"/>
      <c r="M15" s="771"/>
      <c r="N15" s="771"/>
      <c r="O15" s="771"/>
      <c r="P15" s="771"/>
      <c r="Q15" s="771"/>
      <c r="R15" s="206" t="s">
        <v>501</v>
      </c>
      <c r="S15" s="181" t="s">
        <v>501</v>
      </c>
      <c r="T15" s="180"/>
      <c r="U15" s="181">
        <f t="shared" si="1"/>
        <v>0</v>
      </c>
    </row>
    <row r="16" spans="1:22" ht="15" customHeight="1" x14ac:dyDescent="0.25">
      <c r="A16" s="22"/>
      <c r="B16" s="771"/>
      <c r="C16" s="771"/>
      <c r="D16" s="771"/>
      <c r="E16" s="771"/>
      <c r="F16" s="771"/>
      <c r="G16" s="206" t="s">
        <v>501</v>
      </c>
      <c r="H16" s="181" t="s">
        <v>501</v>
      </c>
      <c r="I16" s="180"/>
      <c r="J16" s="181"/>
      <c r="L16" s="22"/>
      <c r="M16" s="771"/>
      <c r="N16" s="771"/>
      <c r="O16" s="771"/>
      <c r="P16" s="771"/>
      <c r="Q16" s="771"/>
      <c r="R16" s="206" t="s">
        <v>501</v>
      </c>
      <c r="S16" s="181" t="s">
        <v>501</v>
      </c>
      <c r="T16" s="180"/>
      <c r="U16" s="181"/>
    </row>
    <row r="17" spans="1:22" ht="15" customHeight="1" x14ac:dyDescent="0.25">
      <c r="A17" s="22"/>
      <c r="B17" s="772" t="s">
        <v>31</v>
      </c>
      <c r="C17" s="772"/>
      <c r="D17" s="772"/>
      <c r="E17" s="772"/>
      <c r="F17" s="772"/>
      <c r="G17" s="772"/>
      <c r="H17" s="772"/>
      <c r="I17" s="772"/>
      <c r="J17" s="181">
        <f>SUM(J9:J16)</f>
        <v>315174</v>
      </c>
      <c r="L17" s="22"/>
      <c r="M17" s="772" t="s">
        <v>31</v>
      </c>
      <c r="N17" s="772"/>
      <c r="O17" s="772"/>
      <c r="P17" s="772"/>
      <c r="Q17" s="772"/>
      <c r="R17" s="772"/>
      <c r="S17" s="772"/>
      <c r="T17" s="772"/>
      <c r="U17" s="181">
        <f>SUM(U9:U16)</f>
        <v>315174</v>
      </c>
    </row>
    <row r="18" spans="1:22" ht="7.5" customHeight="1" x14ac:dyDescent="0.25">
      <c r="A18" s="22"/>
      <c r="B18" s="25"/>
      <c r="C18" s="25"/>
      <c r="D18" s="25"/>
      <c r="E18" s="25"/>
      <c r="F18" s="25"/>
      <c r="G18" s="25"/>
      <c r="H18" s="25"/>
      <c r="I18" s="25"/>
      <c r="J18" s="26"/>
      <c r="L18" s="22"/>
      <c r="M18" s="25"/>
      <c r="N18" s="25"/>
      <c r="O18" s="25"/>
      <c r="P18" s="25"/>
      <c r="Q18" s="25"/>
      <c r="R18" s="25"/>
      <c r="S18" s="25"/>
      <c r="T18" s="25"/>
      <c r="U18" s="26"/>
    </row>
    <row r="19" spans="1:22" ht="15" customHeight="1" x14ac:dyDescent="0.25">
      <c r="A19" s="22"/>
      <c r="B19" s="772" t="s">
        <v>32</v>
      </c>
      <c r="C19" s="772"/>
      <c r="D19" s="772"/>
      <c r="E19" s="772"/>
      <c r="F19" s="772"/>
      <c r="G19" s="772"/>
      <c r="H19" s="772"/>
      <c r="I19" s="772"/>
      <c r="J19" s="772"/>
      <c r="L19" s="22"/>
      <c r="M19" s="772" t="s">
        <v>32</v>
      </c>
      <c r="N19" s="772"/>
      <c r="O19" s="772"/>
      <c r="P19" s="772"/>
      <c r="Q19" s="772"/>
      <c r="R19" s="772"/>
      <c r="S19" s="772"/>
      <c r="T19" s="772"/>
      <c r="U19" s="772"/>
    </row>
    <row r="20" spans="1:22" ht="26.4" customHeight="1" x14ac:dyDescent="0.25">
      <c r="A20" s="22"/>
      <c r="B20" s="774" t="s">
        <v>33</v>
      </c>
      <c r="C20" s="774"/>
      <c r="D20" s="774"/>
      <c r="E20" s="774"/>
      <c r="F20" s="205" t="s">
        <v>19</v>
      </c>
      <c r="G20" s="206" t="s">
        <v>34</v>
      </c>
      <c r="H20" s="207" t="s">
        <v>35</v>
      </c>
      <c r="I20" s="207" t="s">
        <v>36</v>
      </c>
      <c r="J20" s="207" t="s">
        <v>29</v>
      </c>
      <c r="L20" s="22"/>
      <c r="M20" s="774" t="s">
        <v>33</v>
      </c>
      <c r="N20" s="774"/>
      <c r="O20" s="774"/>
      <c r="P20" s="774"/>
      <c r="Q20" s="205" t="s">
        <v>19</v>
      </c>
      <c r="R20" s="206" t="s">
        <v>34</v>
      </c>
      <c r="S20" s="207" t="s">
        <v>35</v>
      </c>
      <c r="T20" s="207" t="s">
        <v>36</v>
      </c>
      <c r="U20" s="207" t="s">
        <v>29</v>
      </c>
    </row>
    <row r="21" spans="1:22" ht="45" customHeight="1" x14ac:dyDescent="0.25">
      <c r="A21" s="22"/>
      <c r="B21" s="815" t="s">
        <v>404</v>
      </c>
      <c r="C21" s="816"/>
      <c r="D21" s="816"/>
      <c r="E21" s="817"/>
      <c r="F21" s="245">
        <v>1</v>
      </c>
      <c r="G21" s="246" t="s">
        <v>9</v>
      </c>
      <c r="H21" s="247"/>
      <c r="I21" s="248">
        <v>2400000</v>
      </c>
      <c r="J21" s="248">
        <f>IF(I21="",0,ROUND((+F21*I21*(1+H21)),0))</f>
        <v>2400000</v>
      </c>
      <c r="K21" s="163"/>
      <c r="L21" s="22"/>
      <c r="M21" s="815" t="s">
        <v>404</v>
      </c>
      <c r="N21" s="816"/>
      <c r="O21" s="816"/>
      <c r="P21" s="817"/>
      <c r="Q21" s="245">
        <v>1</v>
      </c>
      <c r="R21" s="246" t="s">
        <v>9</v>
      </c>
      <c r="S21" s="247"/>
      <c r="T21" s="248">
        <v>2400000</v>
      </c>
      <c r="U21" s="248">
        <f>IF(T21="",0,ROUND((+Q21*T21*(1+S21)),0))</f>
        <v>2400000</v>
      </c>
      <c r="V21" s="249" t="s">
        <v>448</v>
      </c>
    </row>
    <row r="22" spans="1:22" ht="15" customHeight="1" x14ac:dyDescent="0.25">
      <c r="A22" s="22"/>
      <c r="B22" s="791" t="s">
        <v>401</v>
      </c>
      <c r="C22" s="792"/>
      <c r="D22" s="792"/>
      <c r="E22" s="793"/>
      <c r="F22" s="180">
        <v>1</v>
      </c>
      <c r="G22" s="206" t="s">
        <v>9</v>
      </c>
      <c r="H22" s="209"/>
      <c r="I22" s="181">
        <v>307234</v>
      </c>
      <c r="J22" s="181">
        <f t="shared" ref="J22:J29" si="2">IF(I22="",0,ROUND((+F22*I22*(1+H22)),0))</f>
        <v>307234</v>
      </c>
      <c r="K22" s="117"/>
      <c r="L22" s="22"/>
      <c r="M22" s="791" t="s">
        <v>401</v>
      </c>
      <c r="N22" s="792"/>
      <c r="O22" s="792"/>
      <c r="P22" s="793"/>
      <c r="Q22" s="180">
        <v>1</v>
      </c>
      <c r="R22" s="206" t="s">
        <v>9</v>
      </c>
      <c r="S22" s="209"/>
      <c r="T22" s="181">
        <v>307234</v>
      </c>
      <c r="U22" s="181">
        <f t="shared" ref="U22:U29" si="3">IF(T22="",0,ROUND((+Q22*T22*(1+S22)),0))</f>
        <v>307234</v>
      </c>
      <c r="V22" s="244" t="s">
        <v>448</v>
      </c>
    </row>
    <row r="23" spans="1:22" ht="26.25" customHeight="1" x14ac:dyDescent="0.25">
      <c r="A23" s="22"/>
      <c r="B23" s="791" t="s">
        <v>402</v>
      </c>
      <c r="C23" s="792"/>
      <c r="D23" s="792"/>
      <c r="E23" s="793"/>
      <c r="F23" s="180">
        <v>1</v>
      </c>
      <c r="G23" s="206" t="s">
        <v>9</v>
      </c>
      <c r="H23" s="209"/>
      <c r="I23" s="181">
        <v>436800</v>
      </c>
      <c r="J23" s="181">
        <f t="shared" si="2"/>
        <v>436800</v>
      </c>
      <c r="K23" s="117"/>
      <c r="L23" s="22"/>
      <c r="M23" s="791" t="s">
        <v>402</v>
      </c>
      <c r="N23" s="792"/>
      <c r="O23" s="792"/>
      <c r="P23" s="793"/>
      <c r="Q23" s="180">
        <v>1</v>
      </c>
      <c r="R23" s="206" t="s">
        <v>9</v>
      </c>
      <c r="S23" s="209"/>
      <c r="T23" s="181">
        <v>436800</v>
      </c>
      <c r="U23" s="181">
        <f t="shared" si="3"/>
        <v>436800</v>
      </c>
      <c r="V23" s="244" t="s">
        <v>448</v>
      </c>
    </row>
    <row r="24" spans="1:22" ht="15" customHeight="1" x14ac:dyDescent="0.25">
      <c r="A24" s="22"/>
      <c r="B24" s="791" t="s">
        <v>462</v>
      </c>
      <c r="C24" s="792"/>
      <c r="D24" s="792"/>
      <c r="E24" s="793"/>
      <c r="F24" s="180">
        <v>10</v>
      </c>
      <c r="G24" s="206" t="s">
        <v>190</v>
      </c>
      <c r="H24" s="209">
        <v>0.05</v>
      </c>
      <c r="I24" s="181">
        <v>25000</v>
      </c>
      <c r="J24" s="181">
        <f t="shared" si="2"/>
        <v>262500</v>
      </c>
      <c r="K24" s="117"/>
      <c r="L24" s="22"/>
      <c r="M24" s="791" t="s">
        <v>462</v>
      </c>
      <c r="N24" s="792"/>
      <c r="O24" s="792"/>
      <c r="P24" s="793"/>
      <c r="Q24" s="180">
        <v>10</v>
      </c>
      <c r="R24" s="206" t="s">
        <v>190</v>
      </c>
      <c r="S24" s="209">
        <v>0.05</v>
      </c>
      <c r="T24" s="181">
        <v>25000</v>
      </c>
      <c r="U24" s="181">
        <f t="shared" si="3"/>
        <v>262500</v>
      </c>
      <c r="V24" s="244" t="s">
        <v>448</v>
      </c>
    </row>
    <row r="25" spans="1:22" ht="15" customHeight="1" x14ac:dyDescent="0.25">
      <c r="A25" s="22"/>
      <c r="B25" s="791" t="s">
        <v>463</v>
      </c>
      <c r="C25" s="792"/>
      <c r="D25" s="792"/>
      <c r="E25" s="793"/>
      <c r="F25" s="180">
        <v>10</v>
      </c>
      <c r="G25" s="206" t="s">
        <v>190</v>
      </c>
      <c r="H25" s="209">
        <v>0.05</v>
      </c>
      <c r="I25" s="181">
        <v>18000</v>
      </c>
      <c r="J25" s="181">
        <f t="shared" si="2"/>
        <v>189000</v>
      </c>
      <c r="K25" s="117"/>
      <c r="L25" s="22"/>
      <c r="M25" s="791" t="s">
        <v>463</v>
      </c>
      <c r="N25" s="792"/>
      <c r="O25" s="792"/>
      <c r="P25" s="793"/>
      <c r="Q25" s="180">
        <v>10</v>
      </c>
      <c r="R25" s="206" t="s">
        <v>190</v>
      </c>
      <c r="S25" s="209">
        <v>0.05</v>
      </c>
      <c r="T25" s="181">
        <v>18000</v>
      </c>
      <c r="U25" s="181">
        <f t="shared" si="3"/>
        <v>189000</v>
      </c>
      <c r="V25" s="244" t="s">
        <v>448</v>
      </c>
    </row>
    <row r="26" spans="1:22" ht="15" customHeight="1" x14ac:dyDescent="0.25">
      <c r="A26" s="22"/>
      <c r="B26" s="791" t="s">
        <v>464</v>
      </c>
      <c r="C26" s="792"/>
      <c r="D26" s="792"/>
      <c r="E26" s="793"/>
      <c r="F26" s="180">
        <v>20</v>
      </c>
      <c r="G26" s="206" t="s">
        <v>190</v>
      </c>
      <c r="H26" s="209">
        <v>0.05</v>
      </c>
      <c r="I26" s="181">
        <v>28543</v>
      </c>
      <c r="J26" s="181">
        <f t="shared" si="2"/>
        <v>599403</v>
      </c>
      <c r="L26" s="22"/>
      <c r="M26" s="791" t="s">
        <v>464</v>
      </c>
      <c r="N26" s="792"/>
      <c r="O26" s="792"/>
      <c r="P26" s="793"/>
      <c r="Q26" s="180">
        <v>20</v>
      </c>
      <c r="R26" s="206" t="s">
        <v>190</v>
      </c>
      <c r="S26" s="209">
        <v>0.05</v>
      </c>
      <c r="T26" s="181">
        <v>28543</v>
      </c>
      <c r="U26" s="181">
        <f t="shared" si="3"/>
        <v>599403</v>
      </c>
      <c r="V26" s="244" t="s">
        <v>448</v>
      </c>
    </row>
    <row r="27" spans="1:22" ht="15" customHeight="1" x14ac:dyDescent="0.25">
      <c r="A27" s="22"/>
      <c r="B27" s="791" t="s">
        <v>465</v>
      </c>
      <c r="C27" s="792"/>
      <c r="D27" s="792"/>
      <c r="E27" s="793"/>
      <c r="F27" s="180">
        <v>4</v>
      </c>
      <c r="G27" s="206" t="s">
        <v>9</v>
      </c>
      <c r="H27" s="209"/>
      <c r="I27" s="181">
        <v>12308</v>
      </c>
      <c r="J27" s="181">
        <f t="shared" si="2"/>
        <v>49232</v>
      </c>
      <c r="L27" s="22"/>
      <c r="M27" s="791" t="s">
        <v>465</v>
      </c>
      <c r="N27" s="792"/>
      <c r="O27" s="792"/>
      <c r="P27" s="793"/>
      <c r="Q27" s="180">
        <v>4</v>
      </c>
      <c r="R27" s="206" t="s">
        <v>9</v>
      </c>
      <c r="S27" s="209"/>
      <c r="T27" s="181">
        <v>12308</v>
      </c>
      <c r="U27" s="181">
        <f t="shared" si="3"/>
        <v>49232</v>
      </c>
      <c r="V27" s="244" t="s">
        <v>448</v>
      </c>
    </row>
    <row r="28" spans="1:22" ht="46.5" customHeight="1" x14ac:dyDescent="0.25">
      <c r="A28" s="22"/>
      <c r="B28" s="815" t="s">
        <v>402</v>
      </c>
      <c r="C28" s="816"/>
      <c r="D28" s="816"/>
      <c r="E28" s="817"/>
      <c r="F28" s="245">
        <v>1</v>
      </c>
      <c r="G28" s="246" t="s">
        <v>9</v>
      </c>
      <c r="H28" s="247"/>
      <c r="I28" s="248">
        <v>436800</v>
      </c>
      <c r="J28" s="248">
        <f t="shared" si="2"/>
        <v>436800</v>
      </c>
      <c r="L28" s="22"/>
      <c r="M28" s="815" t="s">
        <v>402</v>
      </c>
      <c r="N28" s="816"/>
      <c r="O28" s="816"/>
      <c r="P28" s="817"/>
      <c r="Q28" s="245">
        <v>1</v>
      </c>
      <c r="R28" s="246" t="s">
        <v>9</v>
      </c>
      <c r="S28" s="247"/>
      <c r="T28" s="248">
        <v>436800</v>
      </c>
      <c r="U28" s="248">
        <f t="shared" si="3"/>
        <v>436800</v>
      </c>
      <c r="V28" s="250" t="s">
        <v>448</v>
      </c>
    </row>
    <row r="29" spans="1:22" ht="15" customHeight="1" x14ac:dyDescent="0.25">
      <c r="A29" s="22"/>
      <c r="B29" s="791" t="s">
        <v>382</v>
      </c>
      <c r="C29" s="792"/>
      <c r="D29" s="792"/>
      <c r="E29" s="793"/>
      <c r="F29" s="180">
        <v>1</v>
      </c>
      <c r="G29" s="206" t="s">
        <v>9</v>
      </c>
      <c r="H29" s="209"/>
      <c r="I29" s="181">
        <v>360000</v>
      </c>
      <c r="J29" s="181">
        <f t="shared" si="2"/>
        <v>360000</v>
      </c>
      <c r="L29" s="22"/>
      <c r="M29" s="791" t="s">
        <v>382</v>
      </c>
      <c r="N29" s="792"/>
      <c r="O29" s="792"/>
      <c r="P29" s="793"/>
      <c r="Q29" s="180">
        <v>1</v>
      </c>
      <c r="R29" s="206" t="s">
        <v>9</v>
      </c>
      <c r="S29" s="209"/>
      <c r="T29" s="181">
        <v>360000</v>
      </c>
      <c r="U29" s="181">
        <f t="shared" si="3"/>
        <v>360000</v>
      </c>
      <c r="V29" s="244" t="s">
        <v>448</v>
      </c>
    </row>
    <row r="30" spans="1:22" ht="15" customHeight="1" x14ac:dyDescent="0.25">
      <c r="A30" s="22"/>
      <c r="B30" s="785"/>
      <c r="C30" s="786"/>
      <c r="D30" s="786"/>
      <c r="E30" s="787"/>
      <c r="F30" s="180"/>
      <c r="G30" s="206" t="s">
        <v>501</v>
      </c>
      <c r="H30" s="209"/>
      <c r="I30" s="181" t="s">
        <v>501</v>
      </c>
      <c r="J30" s="181"/>
      <c r="L30" s="22"/>
      <c r="M30" s="785"/>
      <c r="N30" s="786"/>
      <c r="O30" s="786"/>
      <c r="P30" s="787"/>
      <c r="Q30" s="180"/>
      <c r="R30" s="206" t="s">
        <v>501</v>
      </c>
      <c r="S30" s="209"/>
      <c r="T30" s="181" t="s">
        <v>501</v>
      </c>
      <c r="U30" s="181"/>
    </row>
    <row r="31" spans="1:22" ht="15" customHeight="1" x14ac:dyDescent="0.25">
      <c r="A31" s="22"/>
      <c r="B31" s="772" t="s">
        <v>37</v>
      </c>
      <c r="C31" s="772"/>
      <c r="D31" s="772"/>
      <c r="E31" s="772"/>
      <c r="F31" s="772"/>
      <c r="G31" s="772"/>
      <c r="H31" s="772"/>
      <c r="I31" s="772"/>
      <c r="J31" s="181">
        <f>SUM(J21:J30)</f>
        <v>5040969</v>
      </c>
      <c r="L31" s="22"/>
      <c r="M31" s="772" t="s">
        <v>37</v>
      </c>
      <c r="N31" s="772"/>
      <c r="O31" s="772"/>
      <c r="P31" s="772"/>
      <c r="Q31" s="772"/>
      <c r="R31" s="772"/>
      <c r="S31" s="772"/>
      <c r="T31" s="772"/>
      <c r="U31" s="181">
        <f>SUM(U21:U30)</f>
        <v>5040969</v>
      </c>
    </row>
    <row r="32" spans="1:22" ht="7.5" customHeight="1" x14ac:dyDescent="0.25">
      <c r="A32" s="22"/>
      <c r="B32" s="25"/>
      <c r="C32" s="25"/>
      <c r="D32" s="25"/>
      <c r="E32" s="25"/>
      <c r="F32" s="25"/>
      <c r="G32" s="25"/>
      <c r="H32" s="25"/>
      <c r="I32" s="25"/>
      <c r="J32" s="26"/>
      <c r="L32" s="22"/>
      <c r="M32" s="25"/>
      <c r="N32" s="25"/>
      <c r="O32" s="25"/>
      <c r="P32" s="25"/>
      <c r="Q32" s="25"/>
      <c r="R32" s="25"/>
      <c r="S32" s="25"/>
      <c r="T32" s="25"/>
      <c r="U32" s="26"/>
    </row>
    <row r="33" spans="1:22" ht="15" customHeight="1" x14ac:dyDescent="0.25">
      <c r="A33" s="22"/>
      <c r="B33" s="772" t="s">
        <v>38</v>
      </c>
      <c r="C33" s="772"/>
      <c r="D33" s="772"/>
      <c r="E33" s="772"/>
      <c r="F33" s="772"/>
      <c r="G33" s="772"/>
      <c r="H33" s="772"/>
      <c r="I33" s="772"/>
      <c r="J33" s="772"/>
      <c r="L33" s="22"/>
      <c r="M33" s="772" t="s">
        <v>38</v>
      </c>
      <c r="N33" s="772"/>
      <c r="O33" s="772"/>
      <c r="P33" s="772"/>
      <c r="Q33" s="772"/>
      <c r="R33" s="772"/>
      <c r="S33" s="772"/>
      <c r="T33" s="772"/>
      <c r="U33" s="772"/>
    </row>
    <row r="34" spans="1:22" ht="26.4" x14ac:dyDescent="0.25">
      <c r="A34" s="22"/>
      <c r="B34" s="774" t="s">
        <v>33</v>
      </c>
      <c r="C34" s="774"/>
      <c r="D34" s="774"/>
      <c r="E34" s="774"/>
      <c r="F34" s="774"/>
      <c r="G34" s="206" t="s">
        <v>133</v>
      </c>
      <c r="H34" s="206" t="s">
        <v>132</v>
      </c>
      <c r="I34" s="206" t="s">
        <v>39</v>
      </c>
      <c r="J34" s="207" t="s">
        <v>29</v>
      </c>
      <c r="L34" s="22"/>
      <c r="M34" s="774" t="s">
        <v>33</v>
      </c>
      <c r="N34" s="774"/>
      <c r="O34" s="774"/>
      <c r="P34" s="774"/>
      <c r="Q34" s="774"/>
      <c r="R34" s="206" t="s">
        <v>133</v>
      </c>
      <c r="S34" s="206" t="s">
        <v>132</v>
      </c>
      <c r="T34" s="206" t="s">
        <v>39</v>
      </c>
      <c r="U34" s="207" t="s">
        <v>29</v>
      </c>
    </row>
    <row r="35" spans="1:22" ht="15" customHeight="1" x14ac:dyDescent="0.25">
      <c r="A35" s="22"/>
      <c r="B35" s="814" t="s">
        <v>466</v>
      </c>
      <c r="C35" s="814"/>
      <c r="D35" s="814"/>
      <c r="E35" s="814"/>
      <c r="F35" s="814"/>
      <c r="G35" s="246"/>
      <c r="H35" s="245"/>
      <c r="I35" s="248">
        <v>700000</v>
      </c>
      <c r="J35" s="248">
        <f>I35</f>
        <v>700000</v>
      </c>
      <c r="L35" s="22"/>
      <c r="M35" s="814" t="s">
        <v>466</v>
      </c>
      <c r="N35" s="814"/>
      <c r="O35" s="814"/>
      <c r="P35" s="814"/>
      <c r="Q35" s="814"/>
      <c r="R35" s="246"/>
      <c r="S35" s="245"/>
      <c r="T35" s="248">
        <v>700000</v>
      </c>
      <c r="U35" s="248">
        <f>T35</f>
        <v>700000</v>
      </c>
    </row>
    <row r="36" spans="1:22" ht="15" customHeight="1" x14ac:dyDescent="0.25">
      <c r="A36" s="22"/>
      <c r="B36" s="771"/>
      <c r="C36" s="771"/>
      <c r="D36" s="771"/>
      <c r="E36" s="771"/>
      <c r="F36" s="771"/>
      <c r="G36" s="206"/>
      <c r="H36" s="180"/>
      <c r="I36" s="181"/>
      <c r="J36" s="181">
        <v>0</v>
      </c>
      <c r="L36" s="22"/>
      <c r="M36" s="771"/>
      <c r="N36" s="771"/>
      <c r="O36" s="771"/>
      <c r="P36" s="771"/>
      <c r="Q36" s="771"/>
      <c r="R36" s="206"/>
      <c r="S36" s="180"/>
      <c r="T36" s="181"/>
      <c r="U36" s="181">
        <v>0</v>
      </c>
    </row>
    <row r="37" spans="1:22" ht="15" customHeight="1" x14ac:dyDescent="0.25">
      <c r="A37" s="22"/>
      <c r="B37" s="771"/>
      <c r="C37" s="771"/>
      <c r="D37" s="771"/>
      <c r="E37" s="771"/>
      <c r="F37" s="771"/>
      <c r="G37" s="206"/>
      <c r="H37" s="180"/>
      <c r="I37" s="181"/>
      <c r="J37" s="181">
        <v>0</v>
      </c>
      <c r="L37" s="22"/>
      <c r="M37" s="771"/>
      <c r="N37" s="771"/>
      <c r="O37" s="771"/>
      <c r="P37" s="771"/>
      <c r="Q37" s="771"/>
      <c r="R37" s="206"/>
      <c r="S37" s="180"/>
      <c r="T37" s="181"/>
      <c r="U37" s="181">
        <v>0</v>
      </c>
    </row>
    <row r="38" spans="1:22" ht="15" customHeight="1" x14ac:dyDescent="0.25">
      <c r="A38" s="22"/>
      <c r="B38" s="771"/>
      <c r="C38" s="771"/>
      <c r="D38" s="771"/>
      <c r="E38" s="771"/>
      <c r="F38" s="771"/>
      <c r="G38" s="206"/>
      <c r="H38" s="206"/>
      <c r="I38" s="181"/>
      <c r="J38" s="181">
        <v>0</v>
      </c>
      <c r="L38" s="22"/>
      <c r="M38" s="771"/>
      <c r="N38" s="771"/>
      <c r="O38" s="771"/>
      <c r="P38" s="771"/>
      <c r="Q38" s="771"/>
      <c r="R38" s="206"/>
      <c r="S38" s="206"/>
      <c r="T38" s="181"/>
      <c r="U38" s="181">
        <v>0</v>
      </c>
    </row>
    <row r="39" spans="1:22" ht="15" customHeight="1" x14ac:dyDescent="0.25">
      <c r="A39" s="22"/>
      <c r="B39" s="772" t="s">
        <v>40</v>
      </c>
      <c r="C39" s="772"/>
      <c r="D39" s="772"/>
      <c r="E39" s="772"/>
      <c r="F39" s="772"/>
      <c r="G39" s="772"/>
      <c r="H39" s="772"/>
      <c r="I39" s="772"/>
      <c r="J39" s="181">
        <f>SUM(J35:J38)</f>
        <v>700000</v>
      </c>
      <c r="L39" s="22"/>
      <c r="M39" s="772" t="s">
        <v>40</v>
      </c>
      <c r="N39" s="772"/>
      <c r="O39" s="772"/>
      <c r="P39" s="772"/>
      <c r="Q39" s="772"/>
      <c r="R39" s="772"/>
      <c r="S39" s="772"/>
      <c r="T39" s="772"/>
      <c r="U39" s="181">
        <f>SUM(U35:U38)</f>
        <v>700000</v>
      </c>
    </row>
    <row r="40" spans="1:22" ht="7.5" customHeight="1" x14ac:dyDescent="0.25">
      <c r="A40" s="22"/>
      <c r="B40" s="25"/>
      <c r="C40" s="25"/>
      <c r="D40" s="25"/>
      <c r="E40" s="25"/>
      <c r="F40" s="25"/>
      <c r="G40" s="25"/>
      <c r="H40" s="25"/>
      <c r="I40" s="25"/>
      <c r="J40" s="26"/>
      <c r="L40" s="22"/>
      <c r="M40" s="25"/>
      <c r="N40" s="25"/>
      <c r="O40" s="25"/>
      <c r="P40" s="25"/>
      <c r="Q40" s="25"/>
      <c r="R40" s="25"/>
      <c r="S40" s="25"/>
      <c r="T40" s="25"/>
      <c r="U40" s="26"/>
    </row>
    <row r="41" spans="1:22" ht="15" customHeight="1" x14ac:dyDescent="0.25">
      <c r="A41" s="22"/>
      <c r="B41" s="772" t="s">
        <v>41</v>
      </c>
      <c r="C41" s="772"/>
      <c r="D41" s="772"/>
      <c r="E41" s="772"/>
      <c r="F41" s="772"/>
      <c r="G41" s="772"/>
      <c r="H41" s="772"/>
      <c r="I41" s="772"/>
      <c r="J41" s="772"/>
      <c r="L41" s="22"/>
      <c r="M41" s="772" t="s">
        <v>41</v>
      </c>
      <c r="N41" s="772"/>
      <c r="O41" s="772"/>
      <c r="P41" s="772"/>
      <c r="Q41" s="772"/>
      <c r="R41" s="772"/>
      <c r="S41" s="772"/>
      <c r="T41" s="772"/>
      <c r="U41" s="772"/>
    </row>
    <row r="42" spans="1:22" ht="39.6" x14ac:dyDescent="0.25">
      <c r="A42" s="22"/>
      <c r="B42" s="774" t="s">
        <v>4</v>
      </c>
      <c r="C42" s="774"/>
      <c r="D42" s="774"/>
      <c r="E42" s="774"/>
      <c r="F42" s="774"/>
      <c r="G42" s="207" t="s">
        <v>51</v>
      </c>
      <c r="H42" s="207" t="s">
        <v>19</v>
      </c>
      <c r="I42" s="207" t="s">
        <v>28</v>
      </c>
      <c r="J42" s="207" t="s">
        <v>29</v>
      </c>
      <c r="L42" s="22"/>
      <c r="M42" s="774" t="s">
        <v>4</v>
      </c>
      <c r="N42" s="774"/>
      <c r="O42" s="774"/>
      <c r="P42" s="774"/>
      <c r="Q42" s="774"/>
      <c r="R42" s="207" t="s">
        <v>51</v>
      </c>
      <c r="S42" s="207" t="s">
        <v>19</v>
      </c>
      <c r="T42" s="207" t="s">
        <v>28</v>
      </c>
      <c r="U42" s="207" t="s">
        <v>29</v>
      </c>
    </row>
    <row r="43" spans="1:22" ht="25.5" customHeight="1" x14ac:dyDescent="0.25">
      <c r="A43" s="22"/>
      <c r="B43" s="814" t="s">
        <v>467</v>
      </c>
      <c r="C43" s="814"/>
      <c r="D43" s="814"/>
      <c r="E43" s="814"/>
      <c r="F43" s="814"/>
      <c r="G43" s="248">
        <v>172935.10666666669</v>
      </c>
      <c r="H43" s="246">
        <v>1</v>
      </c>
      <c r="I43" s="245">
        <v>1</v>
      </c>
      <c r="J43" s="248">
        <f>ROUND(+IF(I43=0,0,G43*H43/I43),0)</f>
        <v>172935</v>
      </c>
      <c r="L43" s="22"/>
      <c r="M43" s="814" t="s">
        <v>467</v>
      </c>
      <c r="N43" s="814"/>
      <c r="O43" s="814"/>
      <c r="P43" s="814"/>
      <c r="Q43" s="814"/>
      <c r="R43" s="248">
        <v>172935.10666666669</v>
      </c>
      <c r="S43" s="246">
        <v>1</v>
      </c>
      <c r="T43" s="245">
        <v>1</v>
      </c>
      <c r="U43" s="248">
        <f>ROUND(+IF(T43=0,0,R43*S43/T43),0)</f>
        <v>172935</v>
      </c>
      <c r="V43" s="244" t="s">
        <v>448</v>
      </c>
    </row>
    <row r="44" spans="1:22" ht="21.75" customHeight="1" x14ac:dyDescent="0.25">
      <c r="A44" s="22"/>
      <c r="B44" s="814" t="s">
        <v>386</v>
      </c>
      <c r="C44" s="814"/>
      <c r="D44" s="814"/>
      <c r="E44" s="814"/>
      <c r="F44" s="814"/>
      <c r="G44" s="248">
        <v>78606.866666666669</v>
      </c>
      <c r="H44" s="246">
        <v>2</v>
      </c>
      <c r="I44" s="245">
        <f>I43</f>
        <v>1</v>
      </c>
      <c r="J44" s="248">
        <f>ROUND(+IF(I44=0,0,G44*H44/I44),0)</f>
        <v>157214</v>
      </c>
      <c r="L44" s="22"/>
      <c r="M44" s="814" t="s">
        <v>386</v>
      </c>
      <c r="N44" s="814"/>
      <c r="O44" s="814"/>
      <c r="P44" s="814"/>
      <c r="Q44" s="814"/>
      <c r="R44" s="248">
        <v>78606.866666666669</v>
      </c>
      <c r="S44" s="246">
        <v>2</v>
      </c>
      <c r="T44" s="245">
        <f>T43</f>
        <v>1</v>
      </c>
      <c r="U44" s="248">
        <f>ROUND(+IF(T44=0,0,R44*S44/T44),0)</f>
        <v>157214</v>
      </c>
      <c r="V44" s="244" t="s">
        <v>448</v>
      </c>
    </row>
    <row r="45" spans="1:22" ht="15" customHeight="1" x14ac:dyDescent="0.25">
      <c r="A45" s="22"/>
      <c r="B45" s="771"/>
      <c r="C45" s="771"/>
      <c r="D45" s="771"/>
      <c r="E45" s="771"/>
      <c r="F45" s="771"/>
      <c r="G45" s="181" t="s">
        <v>501</v>
      </c>
      <c r="H45" s="206"/>
      <c r="I45" s="180"/>
      <c r="J45" s="181">
        <f t="shared" ref="J45" si="4">+IF(I45=0,0,G45*H45/I45)</f>
        <v>0</v>
      </c>
      <c r="L45" s="22"/>
      <c r="M45" s="771"/>
      <c r="N45" s="771"/>
      <c r="O45" s="771"/>
      <c r="P45" s="771"/>
      <c r="Q45" s="771"/>
      <c r="R45" s="181" t="s">
        <v>501</v>
      </c>
      <c r="S45" s="206"/>
      <c r="T45" s="180"/>
      <c r="U45" s="181">
        <f t="shared" ref="U45" si="5">+IF(T45=0,0,R45*S45/T45)</f>
        <v>0</v>
      </c>
    </row>
    <row r="46" spans="1:22" ht="15" customHeight="1" x14ac:dyDescent="0.25">
      <c r="A46" s="22"/>
      <c r="B46" s="772" t="s">
        <v>42</v>
      </c>
      <c r="C46" s="772"/>
      <c r="D46" s="772"/>
      <c r="E46" s="772"/>
      <c r="F46" s="772"/>
      <c r="G46" s="772"/>
      <c r="H46" s="772"/>
      <c r="I46" s="772"/>
      <c r="J46" s="181">
        <f>SUM(J43:J45)</f>
        <v>330149</v>
      </c>
      <c r="L46" s="22"/>
      <c r="M46" s="772" t="s">
        <v>42</v>
      </c>
      <c r="N46" s="772"/>
      <c r="O46" s="772"/>
      <c r="P46" s="772"/>
      <c r="Q46" s="772"/>
      <c r="R46" s="772"/>
      <c r="S46" s="772"/>
      <c r="T46" s="772"/>
      <c r="U46" s="181">
        <f>SUM(U43:U45)</f>
        <v>330149</v>
      </c>
    </row>
    <row r="47" spans="1:22" ht="7.5" customHeight="1" x14ac:dyDescent="0.25">
      <c r="A47" s="22"/>
      <c r="B47" s="25"/>
      <c r="C47" s="25"/>
      <c r="D47" s="25"/>
      <c r="E47" s="25"/>
      <c r="F47" s="25"/>
      <c r="G47" s="25"/>
      <c r="H47" s="25"/>
      <c r="I47" s="25"/>
      <c r="J47" s="26"/>
      <c r="L47" s="22"/>
      <c r="M47" s="25"/>
      <c r="N47" s="25"/>
      <c r="O47" s="25"/>
      <c r="P47" s="25"/>
      <c r="Q47" s="25"/>
      <c r="R47" s="25"/>
      <c r="S47" s="25"/>
      <c r="T47" s="25"/>
      <c r="U47" s="26"/>
    </row>
    <row r="48" spans="1:22" ht="15.75" customHeight="1" x14ac:dyDescent="0.25">
      <c r="A48" s="27"/>
      <c r="B48" s="773" t="s">
        <v>43</v>
      </c>
      <c r="C48" s="773"/>
      <c r="D48" s="773"/>
      <c r="E48" s="773"/>
      <c r="F48" s="773"/>
      <c r="G48" s="773"/>
      <c r="H48" s="773"/>
      <c r="I48" s="773"/>
      <c r="J48" s="210">
        <f>+J46+J39+J17+J31</f>
        <v>6386292</v>
      </c>
      <c r="L48" s="27"/>
      <c r="M48" s="773" t="s">
        <v>43</v>
      </c>
      <c r="N48" s="773"/>
      <c r="O48" s="773"/>
      <c r="P48" s="773"/>
      <c r="Q48" s="773"/>
      <c r="R48" s="773"/>
      <c r="S48" s="773"/>
      <c r="T48" s="773"/>
      <c r="U48" s="210">
        <f>+U46+U39+U17+U31</f>
        <v>6386292</v>
      </c>
    </row>
    <row r="49" spans="2:10" x14ac:dyDescent="0.25">
      <c r="B49" s="21"/>
      <c r="C49" s="21"/>
      <c r="D49" s="21"/>
      <c r="E49" s="21"/>
      <c r="F49" s="21"/>
      <c r="G49" s="21"/>
      <c r="H49" s="21"/>
      <c r="I49" s="21"/>
      <c r="J49" s="21"/>
    </row>
    <row r="51" spans="2:10" ht="13.8" thickBot="1" x14ac:dyDescent="0.3"/>
    <row r="52" spans="2:10" x14ac:dyDescent="0.25">
      <c r="H52" s="251" t="s">
        <v>468</v>
      </c>
      <c r="I52" s="252"/>
      <c r="J52" s="253">
        <v>9048336</v>
      </c>
    </row>
    <row r="53" spans="2:10" x14ac:dyDescent="0.25">
      <c r="H53" s="254" t="s">
        <v>469</v>
      </c>
      <c r="I53" s="239"/>
      <c r="J53" s="255">
        <v>5469080</v>
      </c>
    </row>
    <row r="54" spans="2:10" ht="13.8" thickBot="1" x14ac:dyDescent="0.3">
      <c r="H54" s="256" t="s">
        <v>470</v>
      </c>
      <c r="I54" s="257"/>
      <c r="J54" s="258">
        <f>J48</f>
        <v>6386292</v>
      </c>
    </row>
  </sheetData>
  <mergeCells count="88">
    <mergeCell ref="A1:C4"/>
    <mergeCell ref="D1:J1"/>
    <mergeCell ref="L1:N4"/>
    <mergeCell ref="O1:U1"/>
    <mergeCell ref="D2:J2"/>
    <mergeCell ref="O2:U2"/>
    <mergeCell ref="D3:J3"/>
    <mergeCell ref="O3:U3"/>
    <mergeCell ref="D4:J4"/>
    <mergeCell ref="O4:U4"/>
    <mergeCell ref="E6:H6"/>
    <mergeCell ref="P6:S6"/>
    <mergeCell ref="B7:J7"/>
    <mergeCell ref="M7:U7"/>
    <mergeCell ref="B8:F8"/>
    <mergeCell ref="M8:Q8"/>
    <mergeCell ref="B9:F9"/>
    <mergeCell ref="M9:Q9"/>
    <mergeCell ref="B10:F10"/>
    <mergeCell ref="M10:Q10"/>
    <mergeCell ref="B11:F11"/>
    <mergeCell ref="M11:Q11"/>
    <mergeCell ref="B12:F12"/>
    <mergeCell ref="M12:Q12"/>
    <mergeCell ref="B13:F13"/>
    <mergeCell ref="M13:Q13"/>
    <mergeCell ref="B14:F14"/>
    <mergeCell ref="M14:Q14"/>
    <mergeCell ref="B15:F15"/>
    <mergeCell ref="M15:Q15"/>
    <mergeCell ref="B16:F16"/>
    <mergeCell ref="M16:Q16"/>
    <mergeCell ref="B17:I17"/>
    <mergeCell ref="M17:T17"/>
    <mergeCell ref="B19:J19"/>
    <mergeCell ref="M19:U19"/>
    <mergeCell ref="B20:E20"/>
    <mergeCell ref="M20:P20"/>
    <mergeCell ref="B21:E21"/>
    <mergeCell ref="M21:P21"/>
    <mergeCell ref="B22:E22"/>
    <mergeCell ref="M22:P22"/>
    <mergeCell ref="B23:E23"/>
    <mergeCell ref="M23:P23"/>
    <mergeCell ref="B24:E24"/>
    <mergeCell ref="M24:P24"/>
    <mergeCell ref="B25:E25"/>
    <mergeCell ref="M25:P25"/>
    <mergeCell ref="B26:E26"/>
    <mergeCell ref="M26:P26"/>
    <mergeCell ref="B27:E27"/>
    <mergeCell ref="M27:P27"/>
    <mergeCell ref="B28:E28"/>
    <mergeCell ref="M28:P28"/>
    <mergeCell ref="B29:E29"/>
    <mergeCell ref="M29:P29"/>
    <mergeCell ref="B30:E30"/>
    <mergeCell ref="M30:P30"/>
    <mergeCell ref="B31:I31"/>
    <mergeCell ref="M31:T31"/>
    <mergeCell ref="B33:J33"/>
    <mergeCell ref="M33:U33"/>
    <mergeCell ref="B34:F34"/>
    <mergeCell ref="M34:Q34"/>
    <mergeCell ref="B35:F35"/>
    <mergeCell ref="M35:Q35"/>
    <mergeCell ref="B36:F36"/>
    <mergeCell ref="M36:Q36"/>
    <mergeCell ref="B37:F37"/>
    <mergeCell ref="M37:Q37"/>
    <mergeCell ref="B38:F38"/>
    <mergeCell ref="M38:Q38"/>
    <mergeCell ref="B39:I39"/>
    <mergeCell ref="M39:T39"/>
    <mergeCell ref="B41:J41"/>
    <mergeCell ref="M41:U41"/>
    <mergeCell ref="B42:F42"/>
    <mergeCell ref="M42:Q42"/>
    <mergeCell ref="B43:F43"/>
    <mergeCell ref="M43:Q43"/>
    <mergeCell ref="B44:F44"/>
    <mergeCell ref="M44:Q44"/>
    <mergeCell ref="B45:F45"/>
    <mergeCell ref="M45:Q45"/>
    <mergeCell ref="B46:I46"/>
    <mergeCell ref="M46:T46"/>
    <mergeCell ref="B48:I48"/>
    <mergeCell ref="M48:T48"/>
  </mergeCells>
  <hyperlinks>
    <hyperlink ref="C6" location="'PPTO HOJA'!A124" display="'PPTO HOJA'!A124" xr:uid="{00000000-0004-0000-3500-000000000000}"/>
  </hyperlinks>
  <pageMargins left="0.7" right="0.7" top="0.75" bottom="0.75" header="0.3" footer="0.3"/>
  <pageSetup paperSize="9" scale="33"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tabColor theme="5" tint="0.59999389629810485"/>
  </sheetPr>
  <dimension ref="A1:V52"/>
  <sheetViews>
    <sheetView zoomScale="85" zoomScaleNormal="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7.88671875" style="20" customWidth="1"/>
    <col min="11" max="11" width="7.88671875" style="20" customWidth="1"/>
    <col min="12" max="17" width="11.44140625" style="20"/>
    <col min="18" max="18" width="12.33203125" style="20" bestFit="1" customWidth="1"/>
    <col min="19" max="20" width="13.109375" style="20" customWidth="1"/>
    <col min="21" max="21" width="16.6640625" style="20" customWidth="1"/>
    <col min="22" max="22" width="20" style="20" customWidth="1"/>
    <col min="23" max="16384" width="11.44140625" style="20"/>
  </cols>
  <sheetData>
    <row r="1" spans="1:22" x14ac:dyDescent="0.25">
      <c r="A1" s="768"/>
      <c r="B1" s="768"/>
      <c r="C1" s="768"/>
      <c r="D1" s="769" t="s">
        <v>1</v>
      </c>
      <c r="E1" s="769"/>
      <c r="F1" s="769"/>
      <c r="G1" s="769"/>
      <c r="H1" s="769"/>
      <c r="I1" s="769"/>
      <c r="J1" s="769"/>
      <c r="L1" s="821" t="s">
        <v>469</v>
      </c>
      <c r="M1" s="821"/>
      <c r="N1" s="821"/>
      <c r="O1" s="769" t="str">
        <f>D1</f>
        <v>DEPARTAMENTO DE ANTIOQUIA</v>
      </c>
      <c r="P1" s="769"/>
      <c r="Q1" s="769"/>
      <c r="R1" s="769"/>
      <c r="S1" s="769"/>
      <c r="T1" s="769"/>
      <c r="U1" s="769"/>
    </row>
    <row r="2" spans="1:22" x14ac:dyDescent="0.25">
      <c r="A2" s="768"/>
      <c r="B2" s="768"/>
      <c r="C2" s="768"/>
      <c r="D2" s="769" t="s">
        <v>2</v>
      </c>
      <c r="E2" s="769"/>
      <c r="F2" s="769"/>
      <c r="G2" s="769"/>
      <c r="H2" s="769"/>
      <c r="I2" s="769"/>
      <c r="J2" s="769"/>
      <c r="L2" s="821"/>
      <c r="M2" s="821"/>
      <c r="N2" s="821"/>
      <c r="O2" s="769" t="str">
        <f>D2</f>
        <v>MUNICIPIO DE ARBOLETES</v>
      </c>
      <c r="P2" s="769"/>
      <c r="Q2" s="769"/>
      <c r="R2" s="769"/>
      <c r="S2" s="769"/>
      <c r="T2" s="769"/>
      <c r="U2" s="769"/>
    </row>
    <row r="3" spans="1:22" ht="46.5" customHeight="1" x14ac:dyDescent="0.25">
      <c r="A3" s="768"/>
      <c r="B3" s="768"/>
      <c r="C3" s="768"/>
      <c r="D3" s="770" t="s">
        <v>328</v>
      </c>
      <c r="E3" s="770"/>
      <c r="F3" s="770"/>
      <c r="G3" s="770"/>
      <c r="H3" s="770"/>
      <c r="I3" s="770"/>
      <c r="J3" s="770"/>
      <c r="L3" s="821"/>
      <c r="M3" s="821"/>
      <c r="N3" s="821"/>
      <c r="O3" s="822" t="str">
        <f>D3</f>
        <v>CONSTRUCCION DE OBRAS CIVILES COMPLEMENTARIAS PARA EL CORRECTO FUNCIONAMIENTO DEL PROYECTO DENOMINADO “PARQUE GEOLÓGICO, NATURAL, AMBIENTAL, CULTURAL Y TURÍSTICO, VOLCÁN DE LODO DE ARBOLETES”, QUE SE LLEVARÁ A CABO EN EL MUNICIPIO DE ARBOLETES-ANTIOQUIA</v>
      </c>
      <c r="P3" s="822"/>
      <c r="Q3" s="822"/>
      <c r="R3" s="822"/>
      <c r="S3" s="822"/>
      <c r="T3" s="822"/>
      <c r="U3" s="822"/>
    </row>
    <row r="4" spans="1:22" x14ac:dyDescent="0.25">
      <c r="A4" s="768"/>
      <c r="B4" s="768"/>
      <c r="C4" s="768"/>
      <c r="D4" s="769" t="s">
        <v>20</v>
      </c>
      <c r="E4" s="769"/>
      <c r="F4" s="769"/>
      <c r="G4" s="769"/>
      <c r="H4" s="769"/>
      <c r="I4" s="769"/>
      <c r="J4" s="769"/>
      <c r="L4" s="821"/>
      <c r="M4" s="821"/>
      <c r="N4" s="821"/>
      <c r="O4" s="769" t="s">
        <v>20</v>
      </c>
      <c r="P4" s="769"/>
      <c r="Q4" s="769"/>
      <c r="R4" s="769"/>
      <c r="S4" s="769"/>
      <c r="T4" s="769"/>
      <c r="U4" s="769"/>
    </row>
    <row r="5" spans="1:22" ht="9.75" customHeight="1" x14ac:dyDescent="0.25">
      <c r="A5" s="22"/>
      <c r="J5" s="23"/>
      <c r="L5" s="22"/>
      <c r="U5" s="23"/>
    </row>
    <row r="6" spans="1:22" s="21" customFormat="1" ht="33" customHeight="1" x14ac:dyDescent="0.3">
      <c r="A6" s="202" t="s">
        <v>460</v>
      </c>
      <c r="B6" s="203" t="s">
        <v>22</v>
      </c>
      <c r="C6" s="204">
        <v>7.02</v>
      </c>
      <c r="D6" s="205"/>
      <c r="E6" s="777" t="s">
        <v>412</v>
      </c>
      <c r="F6" s="777"/>
      <c r="G6" s="777"/>
      <c r="H6" s="777"/>
      <c r="I6" s="202" t="s">
        <v>23</v>
      </c>
      <c r="J6" s="206" t="s">
        <v>9</v>
      </c>
      <c r="L6" s="202" t="s">
        <v>460</v>
      </c>
      <c r="M6" s="203" t="s">
        <v>22</v>
      </c>
      <c r="N6" s="204">
        <f>C6</f>
        <v>7.02</v>
      </c>
      <c r="O6" s="205"/>
      <c r="P6" s="777" t="str">
        <f>E6</f>
        <v>suministro e instalacion de cajas de paso de 10cm x 10cm  para distribución y empalmes de conductores</v>
      </c>
      <c r="Q6" s="777"/>
      <c r="R6" s="777"/>
      <c r="S6" s="777"/>
      <c r="T6" s="202" t="s">
        <v>23</v>
      </c>
      <c r="U6" s="206" t="str">
        <f>J6</f>
        <v>und</v>
      </c>
    </row>
    <row r="7" spans="1:22" ht="15" customHeight="1" x14ac:dyDescent="0.25">
      <c r="A7" s="22"/>
      <c r="B7" s="772" t="s">
        <v>24</v>
      </c>
      <c r="C7" s="772"/>
      <c r="D7" s="772"/>
      <c r="E7" s="772"/>
      <c r="F7" s="772"/>
      <c r="G7" s="772"/>
      <c r="H7" s="772"/>
      <c r="I7" s="772"/>
      <c r="J7" s="772"/>
      <c r="L7" s="22"/>
      <c r="M7" s="772" t="s">
        <v>24</v>
      </c>
      <c r="N7" s="772"/>
      <c r="O7" s="772"/>
      <c r="P7" s="772"/>
      <c r="Q7" s="772"/>
      <c r="R7" s="772"/>
      <c r="S7" s="772"/>
      <c r="T7" s="772"/>
      <c r="U7" s="772"/>
    </row>
    <row r="8" spans="1:22" ht="26.4" customHeight="1"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2" ht="15" customHeight="1" x14ac:dyDescent="0.25">
      <c r="A9" s="22"/>
      <c r="B9" s="771" t="s">
        <v>30</v>
      </c>
      <c r="C9" s="771"/>
      <c r="D9" s="771"/>
      <c r="E9" s="771"/>
      <c r="F9" s="771"/>
      <c r="G9" s="206"/>
      <c r="H9" s="181"/>
      <c r="I9" s="208">
        <v>0.05</v>
      </c>
      <c r="J9" s="181">
        <f>ROUND(I9*J44,0)</f>
        <v>805</v>
      </c>
      <c r="L9" s="22"/>
      <c r="M9" s="771" t="s">
        <v>30</v>
      </c>
      <c r="N9" s="771"/>
      <c r="O9" s="771"/>
      <c r="P9" s="771"/>
      <c r="Q9" s="771"/>
      <c r="R9" s="206"/>
      <c r="S9" s="181"/>
      <c r="T9" s="208">
        <v>0.05</v>
      </c>
      <c r="U9" s="181">
        <f>ROUND(T9*U44,0)</f>
        <v>805</v>
      </c>
      <c r="V9" s="239" t="s">
        <v>461</v>
      </c>
    </row>
    <row r="10" spans="1:22" ht="15" customHeight="1" x14ac:dyDescent="0.25">
      <c r="A10" s="22"/>
      <c r="B10" s="777" t="s">
        <v>392</v>
      </c>
      <c r="C10" s="777"/>
      <c r="D10" s="777"/>
      <c r="E10" s="777"/>
      <c r="F10" s="777"/>
      <c r="G10" s="206"/>
      <c r="H10" s="181">
        <v>896000</v>
      </c>
      <c r="I10" s="180">
        <f>+I41*3</f>
        <v>61.5</v>
      </c>
      <c r="J10" s="181">
        <f>IF(B10="",0,ROUND(H10/I10,0))</f>
        <v>14569</v>
      </c>
      <c r="L10" s="22"/>
      <c r="M10" s="777" t="s">
        <v>392</v>
      </c>
      <c r="N10" s="777"/>
      <c r="O10" s="777"/>
      <c r="P10" s="777"/>
      <c r="Q10" s="777"/>
      <c r="R10" s="206"/>
      <c r="S10" s="181">
        <v>896000</v>
      </c>
      <c r="T10" s="180">
        <f>+T41*3</f>
        <v>61.5</v>
      </c>
      <c r="U10" s="181">
        <f>IF(M10="",0,ROUND(S10/T10,0))</f>
        <v>14569</v>
      </c>
      <c r="V10" s="239" t="s">
        <v>461</v>
      </c>
    </row>
    <row r="11" spans="1:22" ht="15" customHeight="1" x14ac:dyDescent="0.25">
      <c r="A11" s="22"/>
      <c r="B11" s="771"/>
      <c r="C11" s="771"/>
      <c r="D11" s="771"/>
      <c r="E11" s="771"/>
      <c r="F11" s="771"/>
      <c r="G11" s="206"/>
      <c r="H11" s="181"/>
      <c r="I11" s="180"/>
      <c r="J11" s="181">
        <f t="shared" ref="J11:J15" si="0">IF(B11="",0,ROUND(H11/I11,0))</f>
        <v>0</v>
      </c>
      <c r="L11" s="22"/>
      <c r="M11" s="771"/>
      <c r="N11" s="771"/>
      <c r="O11" s="771"/>
      <c r="P11" s="771"/>
      <c r="Q11" s="771"/>
      <c r="R11" s="206"/>
      <c r="S11" s="181"/>
      <c r="T11" s="180"/>
      <c r="U11" s="181">
        <f t="shared" ref="U11:U15" si="1">IF(M11="",0,ROUND(S11/T11,0))</f>
        <v>0</v>
      </c>
    </row>
    <row r="12" spans="1:22" ht="15" customHeight="1" x14ac:dyDescent="0.25">
      <c r="A12" s="22"/>
      <c r="B12" s="771"/>
      <c r="C12" s="771"/>
      <c r="D12" s="771"/>
      <c r="E12" s="771"/>
      <c r="F12" s="771"/>
      <c r="G12" s="206" t="s">
        <v>501</v>
      </c>
      <c r="H12" s="181" t="s">
        <v>501</v>
      </c>
      <c r="I12" s="180"/>
      <c r="J12" s="181">
        <f t="shared" si="0"/>
        <v>0</v>
      </c>
      <c r="L12" s="22"/>
      <c r="M12" s="771"/>
      <c r="N12" s="771"/>
      <c r="O12" s="771"/>
      <c r="P12" s="771"/>
      <c r="Q12" s="771"/>
      <c r="R12" s="206" t="s">
        <v>501</v>
      </c>
      <c r="S12" s="181" t="s">
        <v>501</v>
      </c>
      <c r="T12" s="180"/>
      <c r="U12" s="181">
        <f t="shared" si="1"/>
        <v>0</v>
      </c>
    </row>
    <row r="13" spans="1:22" ht="15" customHeight="1" x14ac:dyDescent="0.25">
      <c r="A13" s="22"/>
      <c r="B13" s="771"/>
      <c r="C13" s="771"/>
      <c r="D13" s="771"/>
      <c r="E13" s="771"/>
      <c r="F13" s="771"/>
      <c r="G13" s="206" t="s">
        <v>501</v>
      </c>
      <c r="H13" s="181" t="s">
        <v>501</v>
      </c>
      <c r="I13" s="180"/>
      <c r="J13" s="181">
        <f t="shared" si="0"/>
        <v>0</v>
      </c>
      <c r="L13" s="22"/>
      <c r="M13" s="771"/>
      <c r="N13" s="771"/>
      <c r="O13" s="771"/>
      <c r="P13" s="771"/>
      <c r="Q13" s="771"/>
      <c r="R13" s="206" t="s">
        <v>501</v>
      </c>
      <c r="S13" s="181" t="s">
        <v>501</v>
      </c>
      <c r="T13" s="180"/>
      <c r="U13" s="181">
        <f t="shared" si="1"/>
        <v>0</v>
      </c>
    </row>
    <row r="14" spans="1:22" ht="15" customHeight="1" x14ac:dyDescent="0.25">
      <c r="A14" s="22"/>
      <c r="B14" s="771"/>
      <c r="C14" s="771"/>
      <c r="D14" s="771"/>
      <c r="E14" s="771"/>
      <c r="F14" s="771"/>
      <c r="G14" s="206" t="s">
        <v>501</v>
      </c>
      <c r="H14" s="181" t="s">
        <v>501</v>
      </c>
      <c r="I14" s="180"/>
      <c r="J14" s="181">
        <f t="shared" si="0"/>
        <v>0</v>
      </c>
      <c r="L14" s="22"/>
      <c r="M14" s="771"/>
      <c r="N14" s="771"/>
      <c r="O14" s="771"/>
      <c r="P14" s="771"/>
      <c r="Q14" s="771"/>
      <c r="R14" s="206" t="s">
        <v>501</v>
      </c>
      <c r="S14" s="181" t="s">
        <v>501</v>
      </c>
      <c r="T14" s="180"/>
      <c r="U14" s="181">
        <f t="shared" si="1"/>
        <v>0</v>
      </c>
    </row>
    <row r="15" spans="1:22" ht="15" customHeight="1" x14ac:dyDescent="0.25">
      <c r="A15" s="22"/>
      <c r="B15" s="771"/>
      <c r="C15" s="771"/>
      <c r="D15" s="771"/>
      <c r="E15" s="771"/>
      <c r="F15" s="771"/>
      <c r="G15" s="206" t="s">
        <v>501</v>
      </c>
      <c r="H15" s="181" t="s">
        <v>501</v>
      </c>
      <c r="I15" s="180"/>
      <c r="J15" s="181">
        <f t="shared" si="0"/>
        <v>0</v>
      </c>
      <c r="L15" s="22"/>
      <c r="M15" s="771"/>
      <c r="N15" s="771"/>
      <c r="O15" s="771"/>
      <c r="P15" s="771"/>
      <c r="Q15" s="771"/>
      <c r="R15" s="206" t="s">
        <v>501</v>
      </c>
      <c r="S15" s="181" t="s">
        <v>501</v>
      </c>
      <c r="T15" s="180"/>
      <c r="U15" s="181">
        <f t="shared" si="1"/>
        <v>0</v>
      </c>
    </row>
    <row r="16" spans="1:22" ht="15" customHeight="1" x14ac:dyDescent="0.25">
      <c r="A16" s="22"/>
      <c r="B16" s="771"/>
      <c r="C16" s="771"/>
      <c r="D16" s="771"/>
      <c r="E16" s="771"/>
      <c r="F16" s="771"/>
      <c r="G16" s="206" t="s">
        <v>501</v>
      </c>
      <c r="H16" s="181" t="s">
        <v>501</v>
      </c>
      <c r="I16" s="180"/>
      <c r="J16" s="181"/>
      <c r="L16" s="22"/>
      <c r="M16" s="771"/>
      <c r="N16" s="771"/>
      <c r="O16" s="771"/>
      <c r="P16" s="771"/>
      <c r="Q16" s="771"/>
      <c r="R16" s="206" t="s">
        <v>501</v>
      </c>
      <c r="S16" s="181" t="s">
        <v>501</v>
      </c>
      <c r="T16" s="180"/>
      <c r="U16" s="181"/>
    </row>
    <row r="17" spans="1:22" ht="15" customHeight="1" x14ac:dyDescent="0.25">
      <c r="A17" s="22"/>
      <c r="B17" s="772" t="s">
        <v>31</v>
      </c>
      <c r="C17" s="772"/>
      <c r="D17" s="772"/>
      <c r="E17" s="772"/>
      <c r="F17" s="772"/>
      <c r="G17" s="772"/>
      <c r="H17" s="772"/>
      <c r="I17" s="772"/>
      <c r="J17" s="181">
        <f>SUM(J9:J16)</f>
        <v>15374</v>
      </c>
      <c r="L17" s="22"/>
      <c r="M17" s="772" t="s">
        <v>31</v>
      </c>
      <c r="N17" s="772"/>
      <c r="O17" s="772"/>
      <c r="P17" s="772"/>
      <c r="Q17" s="772"/>
      <c r="R17" s="772"/>
      <c r="S17" s="772"/>
      <c r="T17" s="772"/>
      <c r="U17" s="181">
        <f>SUM(U9:U16)</f>
        <v>15374</v>
      </c>
    </row>
    <row r="18" spans="1:22" ht="7.5" customHeight="1" x14ac:dyDescent="0.25">
      <c r="A18" s="22"/>
      <c r="B18" s="25"/>
      <c r="C18" s="25"/>
      <c r="D18" s="25"/>
      <c r="E18" s="25"/>
      <c r="F18" s="25"/>
      <c r="G18" s="25"/>
      <c r="H18" s="25"/>
      <c r="I18" s="25"/>
      <c r="J18" s="26"/>
      <c r="L18" s="22"/>
      <c r="M18" s="25"/>
      <c r="N18" s="25"/>
      <c r="O18" s="25"/>
      <c r="P18" s="25"/>
      <c r="Q18" s="25"/>
      <c r="R18" s="25"/>
      <c r="S18" s="25"/>
      <c r="T18" s="25"/>
      <c r="U18" s="26"/>
    </row>
    <row r="19" spans="1:22" ht="15" customHeight="1" x14ac:dyDescent="0.25">
      <c r="A19" s="22"/>
      <c r="B19" s="772" t="s">
        <v>32</v>
      </c>
      <c r="C19" s="772"/>
      <c r="D19" s="772"/>
      <c r="E19" s="772"/>
      <c r="F19" s="772"/>
      <c r="G19" s="772"/>
      <c r="H19" s="772"/>
      <c r="I19" s="772"/>
      <c r="J19" s="772"/>
      <c r="L19" s="22"/>
      <c r="M19" s="772" t="s">
        <v>32</v>
      </c>
      <c r="N19" s="772"/>
      <c r="O19" s="772"/>
      <c r="P19" s="772"/>
      <c r="Q19" s="772"/>
      <c r="R19" s="772"/>
      <c r="S19" s="772"/>
      <c r="T19" s="772"/>
      <c r="U19" s="772"/>
    </row>
    <row r="20" spans="1:22" ht="26.4" x14ac:dyDescent="0.25">
      <c r="A20" s="22"/>
      <c r="B20" s="774" t="s">
        <v>33</v>
      </c>
      <c r="C20" s="774"/>
      <c r="D20" s="774"/>
      <c r="E20" s="774"/>
      <c r="F20" s="205" t="s">
        <v>19</v>
      </c>
      <c r="G20" s="206" t="s">
        <v>34</v>
      </c>
      <c r="H20" s="207" t="s">
        <v>35</v>
      </c>
      <c r="I20" s="207" t="s">
        <v>36</v>
      </c>
      <c r="J20" s="207" t="s">
        <v>29</v>
      </c>
      <c r="L20" s="22"/>
      <c r="M20" s="774" t="s">
        <v>33</v>
      </c>
      <c r="N20" s="774"/>
      <c r="O20" s="774"/>
      <c r="P20" s="774"/>
      <c r="Q20" s="205" t="s">
        <v>19</v>
      </c>
      <c r="R20" s="206" t="s">
        <v>34</v>
      </c>
      <c r="S20" s="207" t="s">
        <v>35</v>
      </c>
      <c r="T20" s="207" t="s">
        <v>36</v>
      </c>
      <c r="U20" s="207" t="s">
        <v>29</v>
      </c>
    </row>
    <row r="21" spans="1:22" ht="45" customHeight="1" x14ac:dyDescent="0.25">
      <c r="A21" s="22"/>
      <c r="B21" s="791" t="s">
        <v>418</v>
      </c>
      <c r="C21" s="792"/>
      <c r="D21" s="792"/>
      <c r="E21" s="793"/>
      <c r="F21" s="180">
        <v>1</v>
      </c>
      <c r="G21" s="206" t="s">
        <v>9</v>
      </c>
      <c r="H21" s="209"/>
      <c r="I21" s="181">
        <v>25600</v>
      </c>
      <c r="J21" s="181">
        <f>IF(I21="",0,ROUND((+F21*I21*(1+H21)),0))</f>
        <v>25600</v>
      </c>
      <c r="L21" s="22"/>
      <c r="M21" s="791" t="s">
        <v>418</v>
      </c>
      <c r="N21" s="792"/>
      <c r="O21" s="792"/>
      <c r="P21" s="793"/>
      <c r="Q21" s="180">
        <v>1</v>
      </c>
      <c r="R21" s="206" t="s">
        <v>9</v>
      </c>
      <c r="S21" s="209"/>
      <c r="T21" s="181">
        <v>25600</v>
      </c>
      <c r="U21" s="181">
        <f>IF(T21="",0,ROUND((+Q21*T21*(1+S21)),0))</f>
        <v>25600</v>
      </c>
      <c r="V21" s="239" t="s">
        <v>461</v>
      </c>
    </row>
    <row r="22" spans="1:22" ht="15" customHeight="1" x14ac:dyDescent="0.25">
      <c r="A22" s="22"/>
      <c r="B22" s="791"/>
      <c r="C22" s="792"/>
      <c r="D22" s="792"/>
      <c r="E22" s="793"/>
      <c r="F22" s="180"/>
      <c r="G22" s="206" t="s">
        <v>501</v>
      </c>
      <c r="H22" s="209"/>
      <c r="I22" s="181" t="s">
        <v>501</v>
      </c>
      <c r="J22" s="181">
        <f t="shared" ref="J22:J27" si="2">IF(I22="",0,ROUND((+F22*I22*(1+H22)),0))</f>
        <v>0</v>
      </c>
      <c r="K22" s="117"/>
      <c r="L22" s="22"/>
      <c r="M22" s="791"/>
      <c r="N22" s="792"/>
      <c r="O22" s="792"/>
      <c r="P22" s="793"/>
      <c r="Q22" s="180"/>
      <c r="R22" s="206" t="s">
        <v>501</v>
      </c>
      <c r="S22" s="209"/>
      <c r="T22" s="181" t="s">
        <v>501</v>
      </c>
      <c r="U22" s="181">
        <f t="shared" ref="U22:U27" si="3">IF(T22="",0,ROUND((+Q22*T22*(1+S22)),0))</f>
        <v>0</v>
      </c>
    </row>
    <row r="23" spans="1:22" ht="15" customHeight="1" x14ac:dyDescent="0.25">
      <c r="A23" s="22"/>
      <c r="B23" s="791"/>
      <c r="C23" s="792"/>
      <c r="D23" s="792"/>
      <c r="E23" s="793"/>
      <c r="F23" s="180"/>
      <c r="G23" s="206" t="s">
        <v>501</v>
      </c>
      <c r="H23" s="209"/>
      <c r="I23" s="181" t="s">
        <v>501</v>
      </c>
      <c r="J23" s="181">
        <f t="shared" si="2"/>
        <v>0</v>
      </c>
      <c r="K23" s="117"/>
      <c r="L23" s="22"/>
      <c r="M23" s="791"/>
      <c r="N23" s="792"/>
      <c r="O23" s="792"/>
      <c r="P23" s="793"/>
      <c r="Q23" s="180"/>
      <c r="R23" s="206" t="s">
        <v>501</v>
      </c>
      <c r="S23" s="209"/>
      <c r="T23" s="181" t="s">
        <v>501</v>
      </c>
      <c r="U23" s="181">
        <f t="shared" si="3"/>
        <v>0</v>
      </c>
    </row>
    <row r="24" spans="1:22" ht="15" customHeight="1" x14ac:dyDescent="0.25">
      <c r="A24" s="22"/>
      <c r="B24" s="791"/>
      <c r="C24" s="792"/>
      <c r="D24" s="792"/>
      <c r="E24" s="793"/>
      <c r="F24" s="180"/>
      <c r="G24" s="206" t="s">
        <v>501</v>
      </c>
      <c r="H24" s="209"/>
      <c r="I24" s="181" t="s">
        <v>501</v>
      </c>
      <c r="J24" s="181">
        <f t="shared" si="2"/>
        <v>0</v>
      </c>
      <c r="L24" s="22"/>
      <c r="M24" s="791"/>
      <c r="N24" s="792"/>
      <c r="O24" s="792"/>
      <c r="P24" s="793"/>
      <c r="Q24" s="180"/>
      <c r="R24" s="206" t="s">
        <v>501</v>
      </c>
      <c r="S24" s="209"/>
      <c r="T24" s="181" t="s">
        <v>501</v>
      </c>
      <c r="U24" s="181">
        <f t="shared" si="3"/>
        <v>0</v>
      </c>
    </row>
    <row r="25" spans="1:22" ht="15" customHeight="1" x14ac:dyDescent="0.25">
      <c r="A25" s="22"/>
      <c r="B25" s="791"/>
      <c r="C25" s="792"/>
      <c r="D25" s="792"/>
      <c r="E25" s="793"/>
      <c r="F25" s="180"/>
      <c r="G25" s="206" t="s">
        <v>501</v>
      </c>
      <c r="H25" s="209"/>
      <c r="I25" s="181" t="s">
        <v>501</v>
      </c>
      <c r="J25" s="181">
        <f t="shared" si="2"/>
        <v>0</v>
      </c>
      <c r="L25" s="22"/>
      <c r="M25" s="791"/>
      <c r="N25" s="792"/>
      <c r="O25" s="792"/>
      <c r="P25" s="793"/>
      <c r="Q25" s="180"/>
      <c r="R25" s="206" t="s">
        <v>501</v>
      </c>
      <c r="S25" s="209"/>
      <c r="T25" s="181" t="s">
        <v>501</v>
      </c>
      <c r="U25" s="181">
        <f t="shared" si="3"/>
        <v>0</v>
      </c>
    </row>
    <row r="26" spans="1:22" ht="15" customHeight="1" x14ac:dyDescent="0.25">
      <c r="A26" s="22"/>
      <c r="B26" s="791"/>
      <c r="C26" s="792"/>
      <c r="D26" s="792"/>
      <c r="E26" s="793"/>
      <c r="F26" s="180"/>
      <c r="G26" s="206" t="s">
        <v>501</v>
      </c>
      <c r="H26" s="209"/>
      <c r="I26" s="181" t="s">
        <v>501</v>
      </c>
      <c r="J26" s="181">
        <f t="shared" si="2"/>
        <v>0</v>
      </c>
      <c r="L26" s="22"/>
      <c r="M26" s="791"/>
      <c r="N26" s="792"/>
      <c r="O26" s="792"/>
      <c r="P26" s="793"/>
      <c r="Q26" s="180"/>
      <c r="R26" s="206" t="s">
        <v>501</v>
      </c>
      <c r="S26" s="209"/>
      <c r="T26" s="181" t="s">
        <v>501</v>
      </c>
      <c r="U26" s="181">
        <f t="shared" si="3"/>
        <v>0</v>
      </c>
    </row>
    <row r="27" spans="1:22" ht="15" customHeight="1" x14ac:dyDescent="0.25">
      <c r="A27" s="22"/>
      <c r="B27" s="791"/>
      <c r="C27" s="792"/>
      <c r="D27" s="792"/>
      <c r="E27" s="793"/>
      <c r="F27" s="180"/>
      <c r="G27" s="206" t="s">
        <v>501</v>
      </c>
      <c r="H27" s="209"/>
      <c r="I27" s="181" t="s">
        <v>501</v>
      </c>
      <c r="J27" s="181">
        <f t="shared" si="2"/>
        <v>0</v>
      </c>
      <c r="L27" s="22"/>
      <c r="M27" s="791"/>
      <c r="N27" s="792"/>
      <c r="O27" s="792"/>
      <c r="P27" s="793"/>
      <c r="Q27" s="180"/>
      <c r="R27" s="206" t="s">
        <v>501</v>
      </c>
      <c r="S27" s="209"/>
      <c r="T27" s="181" t="s">
        <v>501</v>
      </c>
      <c r="U27" s="181">
        <f t="shared" si="3"/>
        <v>0</v>
      </c>
    </row>
    <row r="28" spans="1:22" ht="15" customHeight="1" x14ac:dyDescent="0.25">
      <c r="A28" s="22"/>
      <c r="B28" s="785"/>
      <c r="C28" s="786"/>
      <c r="D28" s="786"/>
      <c r="E28" s="787"/>
      <c r="F28" s="180"/>
      <c r="G28" s="206" t="s">
        <v>501</v>
      </c>
      <c r="H28" s="209"/>
      <c r="I28" s="181" t="s">
        <v>501</v>
      </c>
      <c r="J28" s="181"/>
      <c r="L28" s="22"/>
      <c r="M28" s="785"/>
      <c r="N28" s="786"/>
      <c r="O28" s="786"/>
      <c r="P28" s="787"/>
      <c r="Q28" s="180"/>
      <c r="R28" s="206" t="s">
        <v>501</v>
      </c>
      <c r="S28" s="209"/>
      <c r="T28" s="181" t="s">
        <v>501</v>
      </c>
      <c r="U28" s="181"/>
    </row>
    <row r="29" spans="1:22" ht="15" customHeight="1" x14ac:dyDescent="0.25">
      <c r="A29" s="22"/>
      <c r="B29" s="772" t="s">
        <v>37</v>
      </c>
      <c r="C29" s="772"/>
      <c r="D29" s="772"/>
      <c r="E29" s="772"/>
      <c r="F29" s="772"/>
      <c r="G29" s="772"/>
      <c r="H29" s="772"/>
      <c r="I29" s="772"/>
      <c r="J29" s="181">
        <f>SUM(J21:J28)</f>
        <v>25600</v>
      </c>
      <c r="L29" s="22"/>
      <c r="M29" s="772" t="s">
        <v>37</v>
      </c>
      <c r="N29" s="772"/>
      <c r="O29" s="772"/>
      <c r="P29" s="772"/>
      <c r="Q29" s="772"/>
      <c r="R29" s="772"/>
      <c r="S29" s="772"/>
      <c r="T29" s="772"/>
      <c r="U29" s="181">
        <f>SUM(U21:U28)</f>
        <v>25600</v>
      </c>
    </row>
    <row r="30" spans="1:22" ht="7.5" customHeight="1" x14ac:dyDescent="0.25">
      <c r="A30" s="22"/>
      <c r="B30" s="25"/>
      <c r="C30" s="25"/>
      <c r="D30" s="25"/>
      <c r="E30" s="25"/>
      <c r="F30" s="25"/>
      <c r="G30" s="25"/>
      <c r="H30" s="25"/>
      <c r="I30" s="25"/>
      <c r="J30" s="26"/>
      <c r="L30" s="22"/>
      <c r="M30" s="25"/>
      <c r="N30" s="25"/>
      <c r="O30" s="25"/>
      <c r="P30" s="25"/>
      <c r="Q30" s="25"/>
      <c r="R30" s="25"/>
      <c r="S30" s="25"/>
      <c r="T30" s="25"/>
      <c r="U30" s="26"/>
    </row>
    <row r="31" spans="1:22" ht="15" customHeight="1" x14ac:dyDescent="0.25">
      <c r="A31" s="22"/>
      <c r="B31" s="772" t="s">
        <v>38</v>
      </c>
      <c r="C31" s="772"/>
      <c r="D31" s="772"/>
      <c r="E31" s="772"/>
      <c r="F31" s="772"/>
      <c r="G31" s="772"/>
      <c r="H31" s="772"/>
      <c r="I31" s="772"/>
      <c r="J31" s="772"/>
      <c r="L31" s="22"/>
      <c r="M31" s="772" t="s">
        <v>38</v>
      </c>
      <c r="N31" s="772"/>
      <c r="O31" s="772"/>
      <c r="P31" s="772"/>
      <c r="Q31" s="772"/>
      <c r="R31" s="772"/>
      <c r="S31" s="772"/>
      <c r="T31" s="772"/>
      <c r="U31" s="772"/>
    </row>
    <row r="32" spans="1:22" ht="26.4" customHeight="1" x14ac:dyDescent="0.25">
      <c r="A32" s="22"/>
      <c r="B32" s="774" t="s">
        <v>33</v>
      </c>
      <c r="C32" s="774"/>
      <c r="D32" s="774"/>
      <c r="E32" s="774"/>
      <c r="F32" s="774"/>
      <c r="G32" s="206" t="s">
        <v>133</v>
      </c>
      <c r="H32" s="206" t="s">
        <v>132</v>
      </c>
      <c r="I32" s="206" t="s">
        <v>39</v>
      </c>
      <c r="J32" s="207" t="s">
        <v>29</v>
      </c>
      <c r="L32" s="22"/>
      <c r="M32" s="774" t="s">
        <v>33</v>
      </c>
      <c r="N32" s="774"/>
      <c r="O32" s="774"/>
      <c r="P32" s="774"/>
      <c r="Q32" s="774"/>
      <c r="R32" s="206" t="s">
        <v>133</v>
      </c>
      <c r="S32" s="206" t="s">
        <v>132</v>
      </c>
      <c r="T32" s="206" t="s">
        <v>39</v>
      </c>
      <c r="U32" s="207" t="s">
        <v>29</v>
      </c>
    </row>
    <row r="33" spans="1:22" ht="15" customHeight="1" x14ac:dyDescent="0.25">
      <c r="A33" s="22"/>
      <c r="B33" s="771"/>
      <c r="C33" s="771"/>
      <c r="D33" s="771"/>
      <c r="E33" s="771"/>
      <c r="F33" s="771"/>
      <c r="G33" s="206"/>
      <c r="H33" s="180"/>
      <c r="I33" s="181"/>
      <c r="J33" s="181">
        <f>ROUND(I33*H33,0)</f>
        <v>0</v>
      </c>
      <c r="L33" s="22"/>
      <c r="M33" s="771"/>
      <c r="N33" s="771"/>
      <c r="O33" s="771"/>
      <c r="P33" s="771"/>
      <c r="Q33" s="771"/>
      <c r="R33" s="206"/>
      <c r="S33" s="180"/>
      <c r="T33" s="181"/>
      <c r="U33" s="181">
        <f>ROUND(T33*S33,0)</f>
        <v>0</v>
      </c>
    </row>
    <row r="34" spans="1:22" ht="15" customHeight="1" x14ac:dyDescent="0.25">
      <c r="A34" s="22"/>
      <c r="B34" s="771"/>
      <c r="C34" s="771"/>
      <c r="D34" s="771"/>
      <c r="E34" s="771"/>
      <c r="F34" s="771"/>
      <c r="G34" s="206"/>
      <c r="H34" s="180"/>
      <c r="I34" s="181"/>
      <c r="J34" s="181">
        <v>0</v>
      </c>
      <c r="L34" s="22"/>
      <c r="M34" s="771"/>
      <c r="N34" s="771"/>
      <c r="O34" s="771"/>
      <c r="P34" s="771"/>
      <c r="Q34" s="771"/>
      <c r="R34" s="206"/>
      <c r="S34" s="180"/>
      <c r="T34" s="181"/>
      <c r="U34" s="181">
        <v>0</v>
      </c>
    </row>
    <row r="35" spans="1:22" ht="15" customHeight="1" x14ac:dyDescent="0.25">
      <c r="A35" s="22"/>
      <c r="B35" s="771"/>
      <c r="C35" s="771"/>
      <c r="D35" s="771"/>
      <c r="E35" s="771"/>
      <c r="F35" s="771"/>
      <c r="G35" s="206"/>
      <c r="H35" s="180"/>
      <c r="I35" s="181"/>
      <c r="J35" s="181">
        <v>0</v>
      </c>
      <c r="L35" s="22"/>
      <c r="M35" s="771"/>
      <c r="N35" s="771"/>
      <c r="O35" s="771"/>
      <c r="P35" s="771"/>
      <c r="Q35" s="771"/>
      <c r="R35" s="206"/>
      <c r="S35" s="180"/>
      <c r="T35" s="181"/>
      <c r="U35" s="181">
        <v>0</v>
      </c>
    </row>
    <row r="36" spans="1:22" ht="15" customHeight="1" x14ac:dyDescent="0.25">
      <c r="A36" s="22"/>
      <c r="B36" s="771"/>
      <c r="C36" s="771"/>
      <c r="D36" s="771"/>
      <c r="E36" s="771"/>
      <c r="F36" s="771"/>
      <c r="G36" s="206"/>
      <c r="H36" s="206"/>
      <c r="I36" s="181"/>
      <c r="J36" s="181">
        <v>0</v>
      </c>
      <c r="L36" s="22"/>
      <c r="M36" s="771"/>
      <c r="N36" s="771"/>
      <c r="O36" s="771"/>
      <c r="P36" s="771"/>
      <c r="Q36" s="771"/>
      <c r="R36" s="206"/>
      <c r="S36" s="206"/>
      <c r="T36" s="181"/>
      <c r="U36" s="181">
        <v>0</v>
      </c>
    </row>
    <row r="37" spans="1:22" ht="15" customHeight="1" x14ac:dyDescent="0.25">
      <c r="A37" s="22"/>
      <c r="B37" s="772" t="s">
        <v>40</v>
      </c>
      <c r="C37" s="772"/>
      <c r="D37" s="772"/>
      <c r="E37" s="772"/>
      <c r="F37" s="772"/>
      <c r="G37" s="772"/>
      <c r="H37" s="772"/>
      <c r="I37" s="772"/>
      <c r="J37" s="181">
        <f>SUM(J33:J36)</f>
        <v>0</v>
      </c>
      <c r="L37" s="22"/>
      <c r="M37" s="772" t="s">
        <v>40</v>
      </c>
      <c r="N37" s="772"/>
      <c r="O37" s="772"/>
      <c r="P37" s="772"/>
      <c r="Q37" s="772"/>
      <c r="R37" s="772"/>
      <c r="S37" s="772"/>
      <c r="T37" s="772"/>
      <c r="U37" s="181">
        <f>SUM(U33:U36)</f>
        <v>0</v>
      </c>
    </row>
    <row r="38" spans="1:22" ht="7.5" customHeight="1" x14ac:dyDescent="0.25">
      <c r="A38" s="22"/>
      <c r="B38" s="25"/>
      <c r="C38" s="25"/>
      <c r="D38" s="25"/>
      <c r="E38" s="25"/>
      <c r="F38" s="25"/>
      <c r="G38" s="25"/>
      <c r="H38" s="25"/>
      <c r="I38" s="25"/>
      <c r="J38" s="26"/>
      <c r="L38" s="22"/>
      <c r="M38" s="25"/>
      <c r="N38" s="25"/>
      <c r="O38" s="25"/>
      <c r="P38" s="25"/>
      <c r="Q38" s="25"/>
      <c r="R38" s="25"/>
      <c r="S38" s="25"/>
      <c r="T38" s="25"/>
      <c r="U38" s="26"/>
    </row>
    <row r="39" spans="1:22" ht="15" customHeight="1" x14ac:dyDescent="0.25">
      <c r="A39" s="22"/>
      <c r="B39" s="772" t="s">
        <v>41</v>
      </c>
      <c r="C39" s="772"/>
      <c r="D39" s="772"/>
      <c r="E39" s="772"/>
      <c r="F39" s="772"/>
      <c r="G39" s="772"/>
      <c r="H39" s="772"/>
      <c r="I39" s="772"/>
      <c r="J39" s="772"/>
      <c r="L39" s="22"/>
      <c r="M39" s="772" t="s">
        <v>41</v>
      </c>
      <c r="N39" s="772"/>
      <c r="O39" s="772"/>
      <c r="P39" s="772"/>
      <c r="Q39" s="772"/>
      <c r="R39" s="772"/>
      <c r="S39" s="772"/>
      <c r="T39" s="772"/>
      <c r="U39" s="772"/>
    </row>
    <row r="40" spans="1:22" ht="39.6" x14ac:dyDescent="0.25">
      <c r="A40" s="22"/>
      <c r="B40" s="774" t="s">
        <v>4</v>
      </c>
      <c r="C40" s="774"/>
      <c r="D40" s="774"/>
      <c r="E40" s="774"/>
      <c r="F40" s="774"/>
      <c r="G40" s="207" t="s">
        <v>51</v>
      </c>
      <c r="H40" s="207" t="s">
        <v>19</v>
      </c>
      <c r="I40" s="207" t="s">
        <v>28</v>
      </c>
      <c r="J40" s="207" t="s">
        <v>29</v>
      </c>
      <c r="L40" s="22"/>
      <c r="M40" s="774" t="s">
        <v>4</v>
      </c>
      <c r="N40" s="774"/>
      <c r="O40" s="774"/>
      <c r="P40" s="774"/>
      <c r="Q40" s="774"/>
      <c r="R40" s="207" t="s">
        <v>51</v>
      </c>
      <c r="S40" s="207" t="s">
        <v>19</v>
      </c>
      <c r="T40" s="207" t="s">
        <v>28</v>
      </c>
      <c r="U40" s="207" t="s">
        <v>29</v>
      </c>
    </row>
    <row r="41" spans="1:22" ht="15" customHeight="1" x14ac:dyDescent="0.25">
      <c r="A41" s="22"/>
      <c r="B41" s="814" t="s">
        <v>467</v>
      </c>
      <c r="C41" s="814"/>
      <c r="D41" s="814"/>
      <c r="E41" s="814"/>
      <c r="F41" s="814"/>
      <c r="G41" s="248">
        <v>172935.10666666669</v>
      </c>
      <c r="H41" s="246">
        <v>1</v>
      </c>
      <c r="I41" s="245">
        <v>20.5</v>
      </c>
      <c r="J41" s="248">
        <f>ROUND(+IF(I41=0,0,G41*H41/I41),0)</f>
        <v>8436</v>
      </c>
      <c r="L41" s="22"/>
      <c r="M41" s="814" t="s">
        <v>467</v>
      </c>
      <c r="N41" s="814"/>
      <c r="O41" s="814"/>
      <c r="P41" s="814"/>
      <c r="Q41" s="814"/>
      <c r="R41" s="248">
        <v>172935.10666666669</v>
      </c>
      <c r="S41" s="246">
        <v>1</v>
      </c>
      <c r="T41" s="245">
        <v>20.5</v>
      </c>
      <c r="U41" s="248">
        <f>ROUND(+IF(T41=0,0,R41*S41/T41),0)</f>
        <v>8436</v>
      </c>
      <c r="V41" s="239" t="s">
        <v>461</v>
      </c>
    </row>
    <row r="42" spans="1:22" ht="15" customHeight="1" x14ac:dyDescent="0.25">
      <c r="A42" s="22"/>
      <c r="B42" s="814" t="s">
        <v>386</v>
      </c>
      <c r="C42" s="814"/>
      <c r="D42" s="814"/>
      <c r="E42" s="814"/>
      <c r="F42" s="814"/>
      <c r="G42" s="248">
        <v>78606.866666666669</v>
      </c>
      <c r="H42" s="246">
        <v>2</v>
      </c>
      <c r="I42" s="245">
        <f>I41</f>
        <v>20.5</v>
      </c>
      <c r="J42" s="248">
        <f>ROUND(+IF(I42=0,0,G42*H42/I42),0)</f>
        <v>7669</v>
      </c>
      <c r="L42" s="22"/>
      <c r="M42" s="814" t="s">
        <v>386</v>
      </c>
      <c r="N42" s="814"/>
      <c r="O42" s="814"/>
      <c r="P42" s="814"/>
      <c r="Q42" s="814"/>
      <c r="R42" s="248">
        <v>78606.866666666669</v>
      </c>
      <c r="S42" s="246">
        <v>2</v>
      </c>
      <c r="T42" s="245">
        <f>T41</f>
        <v>20.5</v>
      </c>
      <c r="U42" s="248">
        <f>ROUND(+IF(T42=0,0,R42*S42/T42),0)</f>
        <v>7669</v>
      </c>
      <c r="V42" s="239" t="s">
        <v>461</v>
      </c>
    </row>
    <row r="43" spans="1:22" ht="15" customHeight="1" x14ac:dyDescent="0.25">
      <c r="A43" s="22"/>
      <c r="B43" s="771"/>
      <c r="C43" s="771"/>
      <c r="D43" s="771"/>
      <c r="E43" s="771"/>
      <c r="F43" s="771"/>
      <c r="G43" s="181" t="s">
        <v>501</v>
      </c>
      <c r="H43" s="206"/>
      <c r="I43" s="180"/>
      <c r="J43" s="181">
        <f t="shared" ref="J43" si="4">+IF(I43=0,0,G43*H43/I43)</f>
        <v>0</v>
      </c>
      <c r="L43" s="22"/>
      <c r="M43" s="771"/>
      <c r="N43" s="771"/>
      <c r="O43" s="771"/>
      <c r="P43" s="771"/>
      <c r="Q43" s="771"/>
      <c r="R43" s="181" t="s">
        <v>501</v>
      </c>
      <c r="S43" s="206"/>
      <c r="T43" s="180"/>
      <c r="U43" s="181">
        <f t="shared" ref="U43" si="5">+IF(T43=0,0,R43*S43/T43)</f>
        <v>0</v>
      </c>
    </row>
    <row r="44" spans="1:22" ht="15" customHeight="1" x14ac:dyDescent="0.25">
      <c r="A44" s="22"/>
      <c r="B44" s="772" t="s">
        <v>42</v>
      </c>
      <c r="C44" s="772"/>
      <c r="D44" s="772"/>
      <c r="E44" s="772"/>
      <c r="F44" s="772"/>
      <c r="G44" s="772"/>
      <c r="H44" s="772"/>
      <c r="I44" s="772"/>
      <c r="J44" s="181">
        <f>SUM(J41:J43)</f>
        <v>16105</v>
      </c>
      <c r="L44" s="22"/>
      <c r="M44" s="772" t="s">
        <v>42</v>
      </c>
      <c r="N44" s="772"/>
      <c r="O44" s="772"/>
      <c r="P44" s="772"/>
      <c r="Q44" s="772"/>
      <c r="R44" s="772"/>
      <c r="S44" s="772"/>
      <c r="T44" s="772"/>
      <c r="U44" s="181">
        <f>SUM(U41:U43)</f>
        <v>16105</v>
      </c>
    </row>
    <row r="45" spans="1:22" ht="7.5" customHeight="1" x14ac:dyDescent="0.25">
      <c r="A45" s="22"/>
      <c r="B45" s="25"/>
      <c r="C45" s="25"/>
      <c r="D45" s="25"/>
      <c r="E45" s="25"/>
      <c r="F45" s="25"/>
      <c r="G45" s="25"/>
      <c r="H45" s="25"/>
      <c r="I45" s="25"/>
      <c r="J45" s="26"/>
      <c r="L45" s="22"/>
      <c r="M45" s="25"/>
      <c r="N45" s="25"/>
      <c r="O45" s="25"/>
      <c r="P45" s="25"/>
      <c r="Q45" s="25"/>
      <c r="R45" s="25"/>
      <c r="S45" s="25"/>
      <c r="T45" s="25"/>
      <c r="U45" s="26"/>
    </row>
    <row r="46" spans="1:22" ht="15.75" customHeight="1" x14ac:dyDescent="0.25">
      <c r="A46" s="27"/>
      <c r="B46" s="773" t="s">
        <v>43</v>
      </c>
      <c r="C46" s="773"/>
      <c r="D46" s="773"/>
      <c r="E46" s="773"/>
      <c r="F46" s="773"/>
      <c r="G46" s="773"/>
      <c r="H46" s="773"/>
      <c r="I46" s="773"/>
      <c r="J46" s="210">
        <f>+J44+J37+J17+J29</f>
        <v>57079</v>
      </c>
      <c r="L46" s="27"/>
      <c r="M46" s="773" t="s">
        <v>43</v>
      </c>
      <c r="N46" s="773"/>
      <c r="O46" s="773"/>
      <c r="P46" s="773"/>
      <c r="Q46" s="773"/>
      <c r="R46" s="773"/>
      <c r="S46" s="773"/>
      <c r="T46" s="773"/>
      <c r="U46" s="210">
        <f>+U44+U37+U17+U29</f>
        <v>57079</v>
      </c>
    </row>
    <row r="47" spans="1:22" x14ac:dyDescent="0.25">
      <c r="B47" s="21"/>
      <c r="C47" s="21"/>
      <c r="D47" s="21"/>
      <c r="E47" s="21"/>
      <c r="F47" s="21"/>
      <c r="G47" s="21"/>
      <c r="H47" s="21"/>
      <c r="I47" s="21"/>
      <c r="J47" s="21"/>
    </row>
    <row r="49" spans="8:10" ht="13.8" thickBot="1" x14ac:dyDescent="0.3"/>
    <row r="50" spans="8:10" x14ac:dyDescent="0.25">
      <c r="H50" s="251" t="s">
        <v>468</v>
      </c>
      <c r="I50" s="252"/>
      <c r="J50" s="253">
        <v>57480</v>
      </c>
    </row>
    <row r="51" spans="8:10" x14ac:dyDescent="0.25">
      <c r="H51" s="254" t="s">
        <v>469</v>
      </c>
      <c r="I51" s="239"/>
      <c r="J51" s="255">
        <v>57480</v>
      </c>
    </row>
    <row r="52" spans="8:10" ht="13.8" thickBot="1" x14ac:dyDescent="0.3">
      <c r="H52" s="256" t="s">
        <v>470</v>
      </c>
      <c r="I52" s="257"/>
      <c r="J52" s="258">
        <f>J46</f>
        <v>57079</v>
      </c>
    </row>
  </sheetData>
  <mergeCells count="84">
    <mergeCell ref="A1:C4"/>
    <mergeCell ref="D1:J1"/>
    <mergeCell ref="L1:N4"/>
    <mergeCell ref="O1:U1"/>
    <mergeCell ref="D2:J2"/>
    <mergeCell ref="O2:U2"/>
    <mergeCell ref="D3:J3"/>
    <mergeCell ref="O3:U3"/>
    <mergeCell ref="D4:J4"/>
    <mergeCell ref="O4:U4"/>
    <mergeCell ref="E6:H6"/>
    <mergeCell ref="P6:S6"/>
    <mergeCell ref="B7:J7"/>
    <mergeCell ref="M7:U7"/>
    <mergeCell ref="B8:F8"/>
    <mergeCell ref="M8:Q8"/>
    <mergeCell ref="B9:F9"/>
    <mergeCell ref="M9:Q9"/>
    <mergeCell ref="B10:F10"/>
    <mergeCell ref="M10:Q10"/>
    <mergeCell ref="B11:F11"/>
    <mergeCell ref="M11:Q11"/>
    <mergeCell ref="B12:F12"/>
    <mergeCell ref="M12:Q12"/>
    <mergeCell ref="B13:F13"/>
    <mergeCell ref="M13:Q13"/>
    <mergeCell ref="B14:F14"/>
    <mergeCell ref="M14:Q14"/>
    <mergeCell ref="B15:F15"/>
    <mergeCell ref="M15:Q15"/>
    <mergeCell ref="B16:F16"/>
    <mergeCell ref="M16:Q16"/>
    <mergeCell ref="B17:I17"/>
    <mergeCell ref="M17:T17"/>
    <mergeCell ref="B19:J19"/>
    <mergeCell ref="M19:U19"/>
    <mergeCell ref="B20:E20"/>
    <mergeCell ref="M20:P20"/>
    <mergeCell ref="B21:E21"/>
    <mergeCell ref="M21:P21"/>
    <mergeCell ref="B22:E22"/>
    <mergeCell ref="M22:P22"/>
    <mergeCell ref="B23:E23"/>
    <mergeCell ref="M23:P23"/>
    <mergeCell ref="B24:E24"/>
    <mergeCell ref="M24:P24"/>
    <mergeCell ref="B25:E25"/>
    <mergeCell ref="M25:P25"/>
    <mergeCell ref="B26:E26"/>
    <mergeCell ref="M26:P26"/>
    <mergeCell ref="B27:E27"/>
    <mergeCell ref="M27:P27"/>
    <mergeCell ref="B28:E28"/>
    <mergeCell ref="M28:P28"/>
    <mergeCell ref="B29:I29"/>
    <mergeCell ref="M29:T29"/>
    <mergeCell ref="B31:J31"/>
    <mergeCell ref="M31:U31"/>
    <mergeCell ref="B32:F32"/>
    <mergeCell ref="M32:Q32"/>
    <mergeCell ref="B33:F33"/>
    <mergeCell ref="M33:Q33"/>
    <mergeCell ref="B34:F34"/>
    <mergeCell ref="M34:Q34"/>
    <mergeCell ref="B35:F35"/>
    <mergeCell ref="M35:Q35"/>
    <mergeCell ref="B36:F36"/>
    <mergeCell ref="M36:Q36"/>
    <mergeCell ref="B37:I37"/>
    <mergeCell ref="M37:T37"/>
    <mergeCell ref="B39:J39"/>
    <mergeCell ref="M39:U39"/>
    <mergeCell ref="B40:F40"/>
    <mergeCell ref="M40:Q40"/>
    <mergeCell ref="B41:F41"/>
    <mergeCell ref="M41:Q41"/>
    <mergeCell ref="B46:I46"/>
    <mergeCell ref="M46:T46"/>
    <mergeCell ref="B42:F42"/>
    <mergeCell ref="M42:Q42"/>
    <mergeCell ref="B43:F43"/>
    <mergeCell ref="M43:Q43"/>
    <mergeCell ref="B44:I44"/>
    <mergeCell ref="M44:T44"/>
  </mergeCells>
  <hyperlinks>
    <hyperlink ref="C6" location="'PPTO HOJA'!A124" display="'PPTO HOJA'!A124" xr:uid="{00000000-0004-0000-3600-000000000000}"/>
    <hyperlink ref="N6" location="'PPTO HOJA'!A124" display="'PPTO HOJA'!A124" xr:uid="{00000000-0004-0000-3600-000001000000}"/>
  </hyperlinks>
  <pageMargins left="0.7" right="0.7" top="0.75" bottom="0.75" header="0.3" footer="0.3"/>
  <pageSetup paperSize="9" scale="33"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tabColor theme="5" tint="0.59999389629810485"/>
  </sheetPr>
  <dimension ref="A1:W52"/>
  <sheetViews>
    <sheetView zoomScale="80" zoomScaleNormal="80" zoomScaleSheetLayoutView="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8" width="14.33203125" style="20" customWidth="1"/>
    <col min="9" max="9" width="15.88671875" style="20" customWidth="1"/>
    <col min="10" max="10" width="21.33203125" style="20" customWidth="1"/>
    <col min="11" max="17" width="11.44140625" style="20"/>
    <col min="18" max="18" width="12.33203125" style="20" bestFit="1" customWidth="1"/>
    <col min="19" max="19" width="11.44140625" style="20"/>
    <col min="20" max="20" width="19.109375" style="20" customWidth="1"/>
    <col min="21" max="21" width="20" style="20" customWidth="1"/>
    <col min="22" max="22" width="8.33203125" style="20" customWidth="1"/>
    <col min="23" max="23" width="44.44140625" style="20" customWidth="1"/>
    <col min="24" max="16384" width="11.44140625" style="20"/>
  </cols>
  <sheetData>
    <row r="1" spans="1:23" x14ac:dyDescent="0.25">
      <c r="A1" s="768"/>
      <c r="B1" s="768"/>
      <c r="C1" s="768"/>
      <c r="D1" s="769" t="s">
        <v>1</v>
      </c>
      <c r="E1" s="769"/>
      <c r="F1" s="769"/>
      <c r="G1" s="769"/>
      <c r="H1" s="769"/>
      <c r="I1" s="769"/>
      <c r="J1" s="769"/>
      <c r="L1" s="821" t="s">
        <v>469</v>
      </c>
      <c r="M1" s="821"/>
      <c r="N1" s="821"/>
      <c r="O1" s="769" t="str">
        <f>D1</f>
        <v>DEPARTAMENTO DE ANTIOQUIA</v>
      </c>
      <c r="P1" s="769"/>
      <c r="Q1" s="769"/>
      <c r="R1" s="769"/>
      <c r="S1" s="769"/>
      <c r="T1" s="769"/>
      <c r="U1" s="769"/>
    </row>
    <row r="2" spans="1:23" x14ac:dyDescent="0.25">
      <c r="A2" s="768"/>
      <c r="B2" s="768"/>
      <c r="C2" s="768"/>
      <c r="D2" s="769" t="s">
        <v>2</v>
      </c>
      <c r="E2" s="769"/>
      <c r="F2" s="769"/>
      <c r="G2" s="769"/>
      <c r="H2" s="769"/>
      <c r="I2" s="769"/>
      <c r="J2" s="769"/>
      <c r="L2" s="821"/>
      <c r="M2" s="821"/>
      <c r="N2" s="821"/>
      <c r="O2" s="769" t="str">
        <f t="shared" ref="O2:O3" si="0">D2</f>
        <v>MUNICIPIO DE ARBOLETES</v>
      </c>
      <c r="P2" s="769"/>
      <c r="Q2" s="769"/>
      <c r="R2" s="769"/>
      <c r="S2" s="769"/>
      <c r="T2" s="769"/>
      <c r="U2" s="769"/>
    </row>
    <row r="3" spans="1:23" ht="46.5" customHeight="1" x14ac:dyDescent="0.25">
      <c r="A3" s="768"/>
      <c r="B3" s="768"/>
      <c r="C3" s="768"/>
      <c r="D3" s="770" t="s">
        <v>328</v>
      </c>
      <c r="E3" s="770"/>
      <c r="F3" s="770"/>
      <c r="G3" s="770"/>
      <c r="H3" s="770"/>
      <c r="I3" s="770"/>
      <c r="J3" s="770"/>
      <c r="L3" s="821"/>
      <c r="M3" s="821"/>
      <c r="N3" s="821"/>
      <c r="O3" s="770" t="str">
        <f t="shared" si="0"/>
        <v>CONSTRUCCION DE OBRAS CIVILES COMPLEMENTARIAS PARA EL CORRECTO FUNCIONAMIENTO DEL PROYECTO DENOMINADO “PARQUE GEOLÓGICO, NATURAL, AMBIENTAL, CULTURAL Y TURÍSTICO, VOLCÁN DE LODO DE ARBOLETES”, QUE SE LLEVARÁ A CABO EN EL MUNICIPIO DE ARBOLETES-ANTIOQUIA</v>
      </c>
      <c r="P3" s="770"/>
      <c r="Q3" s="770"/>
      <c r="R3" s="770"/>
      <c r="S3" s="770"/>
      <c r="T3" s="770"/>
      <c r="U3" s="770"/>
    </row>
    <row r="4" spans="1:23" x14ac:dyDescent="0.25">
      <c r="A4" s="768"/>
      <c r="B4" s="768"/>
      <c r="C4" s="768"/>
      <c r="D4" s="769" t="s">
        <v>20</v>
      </c>
      <c r="E4" s="769"/>
      <c r="F4" s="769"/>
      <c r="G4" s="769"/>
      <c r="H4" s="769"/>
      <c r="I4" s="769"/>
      <c r="J4" s="769"/>
      <c r="L4" s="821"/>
      <c r="M4" s="821"/>
      <c r="N4" s="821"/>
      <c r="O4" s="769" t="s">
        <v>20</v>
      </c>
      <c r="P4" s="769"/>
      <c r="Q4" s="769"/>
      <c r="R4" s="769"/>
      <c r="S4" s="769"/>
      <c r="T4" s="769"/>
      <c r="U4" s="769"/>
    </row>
    <row r="5" spans="1:23" ht="9.75" customHeight="1" x14ac:dyDescent="0.25">
      <c r="A5" s="22"/>
      <c r="J5" s="23"/>
      <c r="L5" s="22"/>
      <c r="U5" s="23"/>
    </row>
    <row r="6" spans="1:23" s="21" customFormat="1" ht="75" customHeight="1" x14ac:dyDescent="0.3">
      <c r="A6" s="202" t="s">
        <v>460</v>
      </c>
      <c r="B6" s="203" t="s">
        <v>22</v>
      </c>
      <c r="C6" s="204">
        <v>7.0299999999999994</v>
      </c>
      <c r="D6" s="205"/>
      <c r="E6" s="777" t="s">
        <v>413</v>
      </c>
      <c r="F6" s="777"/>
      <c r="G6" s="777"/>
      <c r="H6" s="777"/>
      <c r="I6" s="202" t="s">
        <v>23</v>
      </c>
      <c r="J6" s="206" t="s">
        <v>9</v>
      </c>
      <c r="L6" s="202" t="s">
        <v>460</v>
      </c>
      <c r="M6" s="203" t="s">
        <v>22</v>
      </c>
      <c r="N6" s="204">
        <f>C6</f>
        <v>7.0299999999999994</v>
      </c>
      <c r="O6" s="205"/>
      <c r="P6" s="777" t="s">
        <v>413</v>
      </c>
      <c r="Q6" s="777"/>
      <c r="R6" s="777"/>
      <c r="S6" s="777"/>
      <c r="T6" s="202" t="s">
        <v>23</v>
      </c>
      <c r="U6" s="206" t="str">
        <f>J6</f>
        <v>und</v>
      </c>
    </row>
    <row r="7" spans="1:23" ht="15" customHeight="1" x14ac:dyDescent="0.25">
      <c r="A7" s="22"/>
      <c r="B7" s="772" t="s">
        <v>24</v>
      </c>
      <c r="C7" s="772"/>
      <c r="D7" s="772"/>
      <c r="E7" s="772"/>
      <c r="F7" s="772"/>
      <c r="G7" s="772"/>
      <c r="H7" s="772"/>
      <c r="I7" s="772"/>
      <c r="J7" s="772"/>
      <c r="L7" s="22"/>
      <c r="M7" s="772" t="s">
        <v>24</v>
      </c>
      <c r="N7" s="772"/>
      <c r="O7" s="772"/>
      <c r="P7" s="772"/>
      <c r="Q7" s="772"/>
      <c r="R7" s="772"/>
      <c r="S7" s="772"/>
      <c r="T7" s="772"/>
      <c r="U7" s="772"/>
      <c r="W7" s="259" t="s">
        <v>471</v>
      </c>
    </row>
    <row r="8" spans="1:23"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3" ht="15" customHeight="1" x14ac:dyDescent="0.25">
      <c r="A9" s="22"/>
      <c r="B9" s="771" t="s">
        <v>30</v>
      </c>
      <c r="C9" s="771"/>
      <c r="D9" s="771"/>
      <c r="E9" s="771"/>
      <c r="F9" s="771"/>
      <c r="G9" s="206"/>
      <c r="H9" s="181"/>
      <c r="I9" s="208">
        <v>0.05</v>
      </c>
      <c r="J9" s="181">
        <f>ROUND(I9*J44,0)</f>
        <v>49522</v>
      </c>
      <c r="L9" s="22"/>
      <c r="M9" s="771" t="s">
        <v>30</v>
      </c>
      <c r="N9" s="771"/>
      <c r="O9" s="771"/>
      <c r="P9" s="771"/>
      <c r="Q9" s="771"/>
      <c r="R9" s="206"/>
      <c r="S9" s="181"/>
      <c r="T9" s="208">
        <v>0.05</v>
      </c>
      <c r="U9" s="181">
        <f>ROUND(T9*U44,0)</f>
        <v>49522</v>
      </c>
      <c r="V9" s="239" t="s">
        <v>461</v>
      </c>
    </row>
    <row r="10" spans="1:23" ht="15" customHeight="1" x14ac:dyDescent="0.25">
      <c r="A10" s="22"/>
      <c r="B10" s="777"/>
      <c r="C10" s="777"/>
      <c r="D10" s="777"/>
      <c r="E10" s="777"/>
      <c r="F10" s="777"/>
      <c r="G10" s="206"/>
      <c r="H10" s="181" t="s">
        <v>501</v>
      </c>
      <c r="I10" s="180"/>
      <c r="J10" s="181">
        <f>IF(B10="",0,ROUND(H10/I10,0))</f>
        <v>0</v>
      </c>
      <c r="L10" s="22"/>
      <c r="M10" s="777"/>
      <c r="N10" s="777"/>
      <c r="O10" s="777"/>
      <c r="P10" s="777"/>
      <c r="Q10" s="777"/>
      <c r="R10" s="206"/>
      <c r="S10" s="181" t="s">
        <v>501</v>
      </c>
      <c r="T10" s="180"/>
      <c r="U10" s="181">
        <f>IF(M10="",0,ROUND(S10/T10,0))</f>
        <v>0</v>
      </c>
    </row>
    <row r="11" spans="1:23" ht="15" customHeight="1" x14ac:dyDescent="0.25">
      <c r="A11" s="22"/>
      <c r="B11" s="771"/>
      <c r="C11" s="771"/>
      <c r="D11" s="771"/>
      <c r="E11" s="771"/>
      <c r="F11" s="771"/>
      <c r="G11" s="206"/>
      <c r="H11" s="181"/>
      <c r="I11" s="180"/>
      <c r="J11" s="181">
        <f t="shared" ref="J11:J15" si="1">IF(B11="",0,ROUND(H11/I11,0))</f>
        <v>0</v>
      </c>
      <c r="L11" s="22"/>
      <c r="M11" s="771"/>
      <c r="N11" s="771"/>
      <c r="O11" s="771"/>
      <c r="P11" s="771"/>
      <c r="Q11" s="771"/>
      <c r="R11" s="206"/>
      <c r="S11" s="181"/>
      <c r="T11" s="180"/>
      <c r="U11" s="181">
        <f t="shared" ref="U11:U15" si="2">IF(M11="",0,ROUND(S11/T11,0))</f>
        <v>0</v>
      </c>
    </row>
    <row r="12" spans="1:23" ht="15" customHeight="1" x14ac:dyDescent="0.25">
      <c r="A12" s="22"/>
      <c r="B12" s="771"/>
      <c r="C12" s="771"/>
      <c r="D12" s="771"/>
      <c r="E12" s="771"/>
      <c r="F12" s="771"/>
      <c r="G12" s="206" t="s">
        <v>501</v>
      </c>
      <c r="H12" s="181" t="s">
        <v>501</v>
      </c>
      <c r="I12" s="180"/>
      <c r="J12" s="181">
        <f t="shared" si="1"/>
        <v>0</v>
      </c>
      <c r="L12" s="22"/>
      <c r="M12" s="771"/>
      <c r="N12" s="771"/>
      <c r="O12" s="771"/>
      <c r="P12" s="771"/>
      <c r="Q12" s="771"/>
      <c r="R12" s="206" t="s">
        <v>501</v>
      </c>
      <c r="S12" s="181" t="s">
        <v>501</v>
      </c>
      <c r="T12" s="180"/>
      <c r="U12" s="181">
        <f t="shared" si="2"/>
        <v>0</v>
      </c>
    </row>
    <row r="13" spans="1:23" ht="15" customHeight="1" x14ac:dyDescent="0.25">
      <c r="A13" s="22"/>
      <c r="B13" s="771"/>
      <c r="C13" s="771"/>
      <c r="D13" s="771"/>
      <c r="E13" s="771"/>
      <c r="F13" s="771"/>
      <c r="G13" s="206" t="s">
        <v>501</v>
      </c>
      <c r="H13" s="181" t="s">
        <v>501</v>
      </c>
      <c r="I13" s="180"/>
      <c r="J13" s="181">
        <f t="shared" si="1"/>
        <v>0</v>
      </c>
      <c r="L13" s="22"/>
      <c r="M13" s="771"/>
      <c r="N13" s="771"/>
      <c r="O13" s="771"/>
      <c r="P13" s="771"/>
      <c r="Q13" s="771"/>
      <c r="R13" s="206" t="s">
        <v>501</v>
      </c>
      <c r="S13" s="181" t="s">
        <v>501</v>
      </c>
      <c r="T13" s="180"/>
      <c r="U13" s="181">
        <f t="shared" si="2"/>
        <v>0</v>
      </c>
    </row>
    <row r="14" spans="1:23" ht="15" customHeight="1" x14ac:dyDescent="0.25">
      <c r="A14" s="22"/>
      <c r="B14" s="771"/>
      <c r="C14" s="771"/>
      <c r="D14" s="771"/>
      <c r="E14" s="771"/>
      <c r="F14" s="771"/>
      <c r="G14" s="206" t="s">
        <v>501</v>
      </c>
      <c r="H14" s="181" t="s">
        <v>501</v>
      </c>
      <c r="I14" s="180"/>
      <c r="J14" s="181">
        <f t="shared" si="1"/>
        <v>0</v>
      </c>
      <c r="L14" s="22"/>
      <c r="M14" s="771"/>
      <c r="N14" s="771"/>
      <c r="O14" s="771"/>
      <c r="P14" s="771"/>
      <c r="Q14" s="771"/>
      <c r="R14" s="206" t="s">
        <v>501</v>
      </c>
      <c r="S14" s="181" t="s">
        <v>501</v>
      </c>
      <c r="T14" s="180"/>
      <c r="U14" s="181">
        <f t="shared" si="2"/>
        <v>0</v>
      </c>
    </row>
    <row r="15" spans="1:23" ht="15" customHeight="1" x14ac:dyDescent="0.25">
      <c r="A15" s="22"/>
      <c r="B15" s="771"/>
      <c r="C15" s="771"/>
      <c r="D15" s="771"/>
      <c r="E15" s="771"/>
      <c r="F15" s="771"/>
      <c r="G15" s="206" t="s">
        <v>501</v>
      </c>
      <c r="H15" s="181" t="s">
        <v>501</v>
      </c>
      <c r="I15" s="180"/>
      <c r="J15" s="181">
        <f t="shared" si="1"/>
        <v>0</v>
      </c>
      <c r="L15" s="22"/>
      <c r="M15" s="771"/>
      <c r="N15" s="771"/>
      <c r="O15" s="771"/>
      <c r="P15" s="771"/>
      <c r="Q15" s="771"/>
      <c r="R15" s="206" t="s">
        <v>501</v>
      </c>
      <c r="S15" s="181" t="s">
        <v>501</v>
      </c>
      <c r="T15" s="180"/>
      <c r="U15" s="181">
        <f t="shared" si="2"/>
        <v>0</v>
      </c>
    </row>
    <row r="16" spans="1:23" ht="15" customHeight="1" x14ac:dyDescent="0.25">
      <c r="A16" s="22"/>
      <c r="B16" s="771"/>
      <c r="C16" s="771"/>
      <c r="D16" s="771"/>
      <c r="E16" s="771"/>
      <c r="F16" s="771"/>
      <c r="G16" s="206" t="s">
        <v>501</v>
      </c>
      <c r="H16" s="181" t="s">
        <v>501</v>
      </c>
      <c r="I16" s="180"/>
      <c r="J16" s="181"/>
      <c r="L16" s="22"/>
      <c r="M16" s="771"/>
      <c r="N16" s="771"/>
      <c r="O16" s="771"/>
      <c r="P16" s="771"/>
      <c r="Q16" s="771"/>
      <c r="R16" s="206" t="s">
        <v>501</v>
      </c>
      <c r="S16" s="181" t="s">
        <v>501</v>
      </c>
      <c r="T16" s="180"/>
      <c r="U16" s="181"/>
    </row>
    <row r="17" spans="1:23" ht="15" customHeight="1" x14ac:dyDescent="0.25">
      <c r="A17" s="22"/>
      <c r="B17" s="772" t="s">
        <v>31</v>
      </c>
      <c r="C17" s="772"/>
      <c r="D17" s="772"/>
      <c r="E17" s="772"/>
      <c r="F17" s="772"/>
      <c r="G17" s="772"/>
      <c r="H17" s="772"/>
      <c r="I17" s="772"/>
      <c r="J17" s="181">
        <f>SUM(J9:J16)</f>
        <v>49522</v>
      </c>
      <c r="L17" s="22"/>
      <c r="M17" s="772" t="s">
        <v>31</v>
      </c>
      <c r="N17" s="772"/>
      <c r="O17" s="772"/>
      <c r="P17" s="772"/>
      <c r="Q17" s="772"/>
      <c r="R17" s="772"/>
      <c r="S17" s="772"/>
      <c r="T17" s="772"/>
      <c r="U17" s="181">
        <f>SUM(U9:U16)</f>
        <v>49522</v>
      </c>
    </row>
    <row r="18" spans="1:23" ht="7.5" customHeight="1" x14ac:dyDescent="0.25">
      <c r="A18" s="22"/>
      <c r="B18" s="25"/>
      <c r="C18" s="25"/>
      <c r="D18" s="25"/>
      <c r="E18" s="25"/>
      <c r="F18" s="25"/>
      <c r="G18" s="25"/>
      <c r="H18" s="25"/>
      <c r="I18" s="25"/>
      <c r="J18" s="26"/>
      <c r="L18" s="22"/>
      <c r="M18" s="25"/>
      <c r="N18" s="25"/>
      <c r="O18" s="25"/>
      <c r="P18" s="25"/>
      <c r="Q18" s="25"/>
      <c r="R18" s="25"/>
      <c r="S18" s="25"/>
      <c r="T18" s="25"/>
      <c r="U18" s="26"/>
    </row>
    <row r="19" spans="1:23" ht="15" customHeight="1" x14ac:dyDescent="0.25">
      <c r="A19" s="22"/>
      <c r="B19" s="772" t="s">
        <v>32</v>
      </c>
      <c r="C19" s="772"/>
      <c r="D19" s="772"/>
      <c r="E19" s="772"/>
      <c r="F19" s="772"/>
      <c r="G19" s="772"/>
      <c r="H19" s="772"/>
      <c r="I19" s="772"/>
      <c r="J19" s="772"/>
      <c r="L19" s="22"/>
      <c r="M19" s="772" t="s">
        <v>32</v>
      </c>
      <c r="N19" s="772"/>
      <c r="O19" s="772"/>
      <c r="P19" s="772"/>
      <c r="Q19" s="772"/>
      <c r="R19" s="772"/>
      <c r="S19" s="772"/>
      <c r="T19" s="772"/>
      <c r="U19" s="772"/>
    </row>
    <row r="20" spans="1:23" ht="26.4" x14ac:dyDescent="0.25">
      <c r="A20" s="22"/>
      <c r="B20" s="774" t="s">
        <v>33</v>
      </c>
      <c r="C20" s="774"/>
      <c r="D20" s="774"/>
      <c r="E20" s="774"/>
      <c r="F20" s="205" t="s">
        <v>19</v>
      </c>
      <c r="G20" s="206" t="s">
        <v>34</v>
      </c>
      <c r="H20" s="207" t="s">
        <v>35</v>
      </c>
      <c r="I20" s="207" t="s">
        <v>36</v>
      </c>
      <c r="J20" s="207" t="s">
        <v>29</v>
      </c>
      <c r="L20" s="22"/>
      <c r="M20" s="774" t="s">
        <v>33</v>
      </c>
      <c r="N20" s="774"/>
      <c r="O20" s="774"/>
      <c r="P20" s="774"/>
      <c r="Q20" s="205" t="s">
        <v>19</v>
      </c>
      <c r="R20" s="206" t="s">
        <v>34</v>
      </c>
      <c r="S20" s="207" t="s">
        <v>35</v>
      </c>
      <c r="T20" s="207" t="s">
        <v>36</v>
      </c>
      <c r="U20" s="207" t="s">
        <v>29</v>
      </c>
    </row>
    <row r="21" spans="1:23" ht="36" customHeight="1" x14ac:dyDescent="0.25">
      <c r="A21" s="22"/>
      <c r="B21" s="815" t="s">
        <v>419</v>
      </c>
      <c r="C21" s="816"/>
      <c r="D21" s="816"/>
      <c r="E21" s="817"/>
      <c r="F21" s="245">
        <v>1</v>
      </c>
      <c r="G21" s="246" t="s">
        <v>9</v>
      </c>
      <c r="H21" s="247"/>
      <c r="I21" s="248">
        <v>21680700</v>
      </c>
      <c r="J21" s="248">
        <f>IF(I21="",0,ROUND((+F21*I21*(1+H21)),0))</f>
        <v>21680700</v>
      </c>
      <c r="L21" s="22"/>
      <c r="M21" s="815" t="s">
        <v>419</v>
      </c>
      <c r="N21" s="816"/>
      <c r="O21" s="816"/>
      <c r="P21" s="817"/>
      <c r="Q21" s="245">
        <v>1</v>
      </c>
      <c r="R21" s="246" t="s">
        <v>9</v>
      </c>
      <c r="S21" s="247"/>
      <c r="T21" s="248">
        <v>21680700</v>
      </c>
      <c r="U21" s="248">
        <f>IF(T21="",0,ROUND((+Q21*T21*(1+S21)),0))</f>
        <v>21680700</v>
      </c>
      <c r="V21" s="260"/>
      <c r="W21" s="261" t="s">
        <v>472</v>
      </c>
    </row>
    <row r="22" spans="1:23" ht="15" customHeight="1" x14ac:dyDescent="0.25">
      <c r="A22" s="22"/>
      <c r="B22" s="791" t="s">
        <v>420</v>
      </c>
      <c r="C22" s="792"/>
      <c r="D22" s="792"/>
      <c r="E22" s="793"/>
      <c r="F22" s="180">
        <v>0.5</v>
      </c>
      <c r="G22" s="206" t="s">
        <v>9</v>
      </c>
      <c r="H22" s="209"/>
      <c r="I22" s="181">
        <v>12500</v>
      </c>
      <c r="J22" s="181">
        <f t="shared" ref="J22:J27" si="3">IF(I22="",0,ROUND((+F22*I22*(1+H22)),0))</f>
        <v>6250</v>
      </c>
      <c r="K22" s="117"/>
      <c r="L22" s="22"/>
      <c r="M22" s="791" t="s">
        <v>420</v>
      </c>
      <c r="N22" s="792"/>
      <c r="O22" s="792"/>
      <c r="P22" s="793"/>
      <c r="Q22" s="180">
        <v>0.5</v>
      </c>
      <c r="R22" s="206" t="s">
        <v>9</v>
      </c>
      <c r="S22" s="209"/>
      <c r="T22" s="181">
        <v>12500</v>
      </c>
      <c r="U22" s="181">
        <f t="shared" ref="U22:U27" si="4">IF(T22="",0,ROUND((+Q22*T22*(1+S22)),0))</f>
        <v>6250</v>
      </c>
      <c r="V22" s="239" t="s">
        <v>461</v>
      </c>
    </row>
    <row r="23" spans="1:23" ht="15" customHeight="1" x14ac:dyDescent="0.25">
      <c r="A23" s="22"/>
      <c r="B23" s="791" t="s">
        <v>473</v>
      </c>
      <c r="C23" s="792"/>
      <c r="D23" s="792"/>
      <c r="E23" s="793"/>
      <c r="F23" s="180">
        <v>0.05</v>
      </c>
      <c r="G23" s="206" t="s">
        <v>9</v>
      </c>
      <c r="H23" s="209"/>
      <c r="I23" s="181">
        <v>125000</v>
      </c>
      <c r="J23" s="181">
        <f t="shared" si="3"/>
        <v>6250</v>
      </c>
      <c r="K23" s="117"/>
      <c r="L23" s="22"/>
      <c r="M23" s="791" t="s">
        <v>473</v>
      </c>
      <c r="N23" s="792"/>
      <c r="O23" s="792"/>
      <c r="P23" s="793"/>
      <c r="Q23" s="180">
        <v>0.05</v>
      </c>
      <c r="R23" s="206" t="s">
        <v>9</v>
      </c>
      <c r="S23" s="209"/>
      <c r="T23" s="181">
        <v>125000</v>
      </c>
      <c r="U23" s="181">
        <f t="shared" si="4"/>
        <v>6250</v>
      </c>
      <c r="V23" s="239" t="s">
        <v>461</v>
      </c>
    </row>
    <row r="24" spans="1:23" ht="15" customHeight="1" x14ac:dyDescent="0.25">
      <c r="A24" s="22"/>
      <c r="B24" s="791"/>
      <c r="C24" s="792"/>
      <c r="D24" s="792"/>
      <c r="E24" s="793"/>
      <c r="F24" s="180"/>
      <c r="G24" s="206" t="s">
        <v>501</v>
      </c>
      <c r="H24" s="209"/>
      <c r="I24" s="181" t="s">
        <v>501</v>
      </c>
      <c r="J24" s="181">
        <f t="shared" si="3"/>
        <v>0</v>
      </c>
      <c r="L24" s="22"/>
      <c r="M24" s="791"/>
      <c r="N24" s="792"/>
      <c r="O24" s="792"/>
      <c r="P24" s="793"/>
      <c r="Q24" s="180"/>
      <c r="R24" s="206" t="s">
        <v>501</v>
      </c>
      <c r="S24" s="209"/>
      <c r="T24" s="181" t="s">
        <v>501</v>
      </c>
      <c r="U24" s="181">
        <f t="shared" si="4"/>
        <v>0</v>
      </c>
    </row>
    <row r="25" spans="1:23" ht="15" customHeight="1" x14ac:dyDescent="0.25">
      <c r="A25" s="22"/>
      <c r="B25" s="791"/>
      <c r="C25" s="792"/>
      <c r="D25" s="792"/>
      <c r="E25" s="793"/>
      <c r="F25" s="180"/>
      <c r="G25" s="206" t="s">
        <v>501</v>
      </c>
      <c r="H25" s="209"/>
      <c r="I25" s="181" t="s">
        <v>501</v>
      </c>
      <c r="J25" s="181">
        <f t="shared" si="3"/>
        <v>0</v>
      </c>
      <c r="L25" s="22"/>
      <c r="M25" s="791"/>
      <c r="N25" s="792"/>
      <c r="O25" s="792"/>
      <c r="P25" s="793"/>
      <c r="Q25" s="180"/>
      <c r="R25" s="206" t="s">
        <v>501</v>
      </c>
      <c r="S25" s="209"/>
      <c r="T25" s="181" t="s">
        <v>501</v>
      </c>
      <c r="U25" s="181">
        <f t="shared" si="4"/>
        <v>0</v>
      </c>
    </row>
    <row r="26" spans="1:23" ht="15" customHeight="1" x14ac:dyDescent="0.25">
      <c r="A26" s="22"/>
      <c r="B26" s="791"/>
      <c r="C26" s="792"/>
      <c r="D26" s="792"/>
      <c r="E26" s="793"/>
      <c r="F26" s="180"/>
      <c r="G26" s="206" t="s">
        <v>501</v>
      </c>
      <c r="H26" s="209"/>
      <c r="I26" s="181" t="s">
        <v>501</v>
      </c>
      <c r="J26" s="181">
        <f t="shared" si="3"/>
        <v>0</v>
      </c>
      <c r="L26" s="22"/>
      <c r="M26" s="791"/>
      <c r="N26" s="792"/>
      <c r="O26" s="792"/>
      <c r="P26" s="793"/>
      <c r="Q26" s="180"/>
      <c r="R26" s="206" t="s">
        <v>501</v>
      </c>
      <c r="S26" s="209"/>
      <c r="T26" s="181" t="s">
        <v>501</v>
      </c>
      <c r="U26" s="181">
        <f t="shared" si="4"/>
        <v>0</v>
      </c>
    </row>
    <row r="27" spans="1:23" ht="15" customHeight="1" x14ac:dyDescent="0.25">
      <c r="A27" s="22"/>
      <c r="B27" s="791"/>
      <c r="C27" s="792"/>
      <c r="D27" s="792"/>
      <c r="E27" s="793"/>
      <c r="F27" s="180"/>
      <c r="G27" s="206" t="s">
        <v>501</v>
      </c>
      <c r="H27" s="209"/>
      <c r="I27" s="181" t="s">
        <v>501</v>
      </c>
      <c r="J27" s="181">
        <f t="shared" si="3"/>
        <v>0</v>
      </c>
      <c r="L27" s="22"/>
      <c r="M27" s="791"/>
      <c r="N27" s="792"/>
      <c r="O27" s="792"/>
      <c r="P27" s="793"/>
      <c r="Q27" s="180"/>
      <c r="R27" s="206" t="s">
        <v>501</v>
      </c>
      <c r="S27" s="209"/>
      <c r="T27" s="181" t="s">
        <v>501</v>
      </c>
      <c r="U27" s="181">
        <f t="shared" si="4"/>
        <v>0</v>
      </c>
    </row>
    <row r="28" spans="1:23" ht="15" customHeight="1" x14ac:dyDescent="0.25">
      <c r="A28" s="22"/>
      <c r="B28" s="785"/>
      <c r="C28" s="786"/>
      <c r="D28" s="786"/>
      <c r="E28" s="787"/>
      <c r="F28" s="180"/>
      <c r="G28" s="206" t="s">
        <v>501</v>
      </c>
      <c r="H28" s="209"/>
      <c r="I28" s="181" t="s">
        <v>501</v>
      </c>
      <c r="J28" s="181"/>
      <c r="L28" s="22"/>
      <c r="M28" s="785"/>
      <c r="N28" s="786"/>
      <c r="O28" s="786"/>
      <c r="P28" s="787"/>
      <c r="Q28" s="180"/>
      <c r="R28" s="206" t="s">
        <v>501</v>
      </c>
      <c r="S28" s="209"/>
      <c r="T28" s="181" t="s">
        <v>501</v>
      </c>
      <c r="U28" s="181"/>
    </row>
    <row r="29" spans="1:23" ht="15" customHeight="1" x14ac:dyDescent="0.25">
      <c r="A29" s="22"/>
      <c r="B29" s="772" t="s">
        <v>37</v>
      </c>
      <c r="C29" s="772"/>
      <c r="D29" s="772"/>
      <c r="E29" s="772"/>
      <c r="F29" s="772"/>
      <c r="G29" s="772"/>
      <c r="H29" s="772"/>
      <c r="I29" s="772"/>
      <c r="J29" s="181">
        <f>SUM(J21:J28)</f>
        <v>21693200</v>
      </c>
      <c r="L29" s="22"/>
      <c r="M29" s="772" t="s">
        <v>37</v>
      </c>
      <c r="N29" s="772"/>
      <c r="O29" s="772"/>
      <c r="P29" s="772"/>
      <c r="Q29" s="772"/>
      <c r="R29" s="772"/>
      <c r="S29" s="772"/>
      <c r="T29" s="772"/>
      <c r="U29" s="181">
        <f>SUM(U21:U28)</f>
        <v>21693200</v>
      </c>
    </row>
    <row r="30" spans="1:23" ht="7.5" customHeight="1" x14ac:dyDescent="0.25">
      <c r="A30" s="22"/>
      <c r="B30" s="25"/>
      <c r="C30" s="25"/>
      <c r="D30" s="25"/>
      <c r="E30" s="25"/>
      <c r="F30" s="25"/>
      <c r="G30" s="25"/>
      <c r="H30" s="25"/>
      <c r="I30" s="25"/>
      <c r="J30" s="26"/>
      <c r="L30" s="22"/>
      <c r="M30" s="25"/>
      <c r="N30" s="25"/>
      <c r="O30" s="25"/>
      <c r="P30" s="25"/>
      <c r="Q30" s="25"/>
      <c r="R30" s="25"/>
      <c r="S30" s="25"/>
      <c r="T30" s="25"/>
      <c r="U30" s="26"/>
    </row>
    <row r="31" spans="1:23" ht="15" customHeight="1" x14ac:dyDescent="0.25">
      <c r="A31" s="22"/>
      <c r="B31" s="772" t="s">
        <v>38</v>
      </c>
      <c r="C31" s="772"/>
      <c r="D31" s="772"/>
      <c r="E31" s="772"/>
      <c r="F31" s="772"/>
      <c r="G31" s="772"/>
      <c r="H31" s="772"/>
      <c r="I31" s="772"/>
      <c r="J31" s="772"/>
      <c r="L31" s="22"/>
      <c r="M31" s="772" t="s">
        <v>38</v>
      </c>
      <c r="N31" s="772"/>
      <c r="O31" s="772"/>
      <c r="P31" s="772"/>
      <c r="Q31" s="772"/>
      <c r="R31" s="772"/>
      <c r="S31" s="772"/>
      <c r="T31" s="772"/>
      <c r="U31" s="772"/>
    </row>
    <row r="32" spans="1:23" x14ac:dyDescent="0.25">
      <c r="A32" s="22"/>
      <c r="B32" s="774" t="s">
        <v>33</v>
      </c>
      <c r="C32" s="774"/>
      <c r="D32" s="774"/>
      <c r="E32" s="774"/>
      <c r="F32" s="774"/>
      <c r="G32" s="206" t="s">
        <v>133</v>
      </c>
      <c r="H32" s="206" t="s">
        <v>132</v>
      </c>
      <c r="I32" s="206" t="s">
        <v>39</v>
      </c>
      <c r="J32" s="207" t="s">
        <v>29</v>
      </c>
      <c r="L32" s="22"/>
      <c r="M32" s="774" t="s">
        <v>33</v>
      </c>
      <c r="N32" s="774"/>
      <c r="O32" s="774"/>
      <c r="P32" s="774"/>
      <c r="Q32" s="774"/>
      <c r="R32" s="206" t="s">
        <v>133</v>
      </c>
      <c r="S32" s="206" t="s">
        <v>132</v>
      </c>
      <c r="T32" s="206" t="s">
        <v>39</v>
      </c>
      <c r="U32" s="207" t="s">
        <v>29</v>
      </c>
    </row>
    <row r="33" spans="1:23" ht="15" customHeight="1" x14ac:dyDescent="0.25">
      <c r="A33" s="22"/>
      <c r="B33" s="814" t="s">
        <v>474</v>
      </c>
      <c r="C33" s="814"/>
      <c r="D33" s="814"/>
      <c r="E33" s="814"/>
      <c r="F33" s="814"/>
      <c r="G33" s="246"/>
      <c r="H33" s="245"/>
      <c r="I33" s="248">
        <v>700000</v>
      </c>
      <c r="J33" s="248">
        <f>I33</f>
        <v>700000</v>
      </c>
      <c r="L33" s="22"/>
      <c r="M33" s="814" t="s">
        <v>474</v>
      </c>
      <c r="N33" s="814"/>
      <c r="O33" s="814"/>
      <c r="P33" s="814"/>
      <c r="Q33" s="814"/>
      <c r="R33" s="246"/>
      <c r="S33" s="245"/>
      <c r="T33" s="248">
        <v>700000</v>
      </c>
      <c r="U33" s="248">
        <f>T33</f>
        <v>700000</v>
      </c>
      <c r="W33" s="262" t="s">
        <v>475</v>
      </c>
    </row>
    <row r="34" spans="1:23" ht="15" customHeight="1" x14ac:dyDescent="0.25">
      <c r="A34" s="22"/>
      <c r="B34" s="771"/>
      <c r="C34" s="771"/>
      <c r="D34" s="771"/>
      <c r="E34" s="771"/>
      <c r="F34" s="771"/>
      <c r="G34" s="206"/>
      <c r="H34" s="180"/>
      <c r="I34" s="181"/>
      <c r="J34" s="181">
        <v>0</v>
      </c>
      <c r="L34" s="22"/>
      <c r="M34" s="771"/>
      <c r="N34" s="771"/>
      <c r="O34" s="771"/>
      <c r="P34" s="771"/>
      <c r="Q34" s="771"/>
      <c r="R34" s="206"/>
      <c r="S34" s="180"/>
      <c r="T34" s="181"/>
      <c r="U34" s="181">
        <v>0</v>
      </c>
    </row>
    <row r="35" spans="1:23" ht="15" customHeight="1" x14ac:dyDescent="0.25">
      <c r="A35" s="22"/>
      <c r="B35" s="771"/>
      <c r="C35" s="771"/>
      <c r="D35" s="771"/>
      <c r="E35" s="771"/>
      <c r="F35" s="771"/>
      <c r="G35" s="206"/>
      <c r="H35" s="180"/>
      <c r="I35" s="181"/>
      <c r="J35" s="181">
        <v>0</v>
      </c>
      <c r="L35" s="22"/>
      <c r="M35" s="771"/>
      <c r="N35" s="771"/>
      <c r="O35" s="771"/>
      <c r="P35" s="771"/>
      <c r="Q35" s="771"/>
      <c r="R35" s="206"/>
      <c r="S35" s="180"/>
      <c r="T35" s="181"/>
      <c r="U35" s="181">
        <v>0</v>
      </c>
    </row>
    <row r="36" spans="1:23" ht="15" customHeight="1" x14ac:dyDescent="0.25">
      <c r="A36" s="22"/>
      <c r="B36" s="771"/>
      <c r="C36" s="771"/>
      <c r="D36" s="771"/>
      <c r="E36" s="771"/>
      <c r="F36" s="771"/>
      <c r="G36" s="206"/>
      <c r="H36" s="206"/>
      <c r="I36" s="181"/>
      <c r="J36" s="181">
        <v>0</v>
      </c>
      <c r="L36" s="22"/>
      <c r="M36" s="771"/>
      <c r="N36" s="771"/>
      <c r="O36" s="771"/>
      <c r="P36" s="771"/>
      <c r="Q36" s="771"/>
      <c r="R36" s="206"/>
      <c r="S36" s="206"/>
      <c r="T36" s="181"/>
      <c r="U36" s="181">
        <v>0</v>
      </c>
    </row>
    <row r="37" spans="1:23" ht="15" customHeight="1" x14ac:dyDescent="0.25">
      <c r="A37" s="22"/>
      <c r="B37" s="772" t="s">
        <v>40</v>
      </c>
      <c r="C37" s="772"/>
      <c r="D37" s="772"/>
      <c r="E37" s="772"/>
      <c r="F37" s="772"/>
      <c r="G37" s="772"/>
      <c r="H37" s="772"/>
      <c r="I37" s="772"/>
      <c r="J37" s="181">
        <f>SUM(J33:J36)</f>
        <v>700000</v>
      </c>
      <c r="L37" s="22"/>
      <c r="M37" s="772" t="s">
        <v>40</v>
      </c>
      <c r="N37" s="772"/>
      <c r="O37" s="772"/>
      <c r="P37" s="772"/>
      <c r="Q37" s="772"/>
      <c r="R37" s="772"/>
      <c r="S37" s="772"/>
      <c r="T37" s="772"/>
      <c r="U37" s="181">
        <f>SUM(U33:U36)</f>
        <v>700000</v>
      </c>
    </row>
    <row r="38" spans="1:23" ht="7.5" customHeight="1" x14ac:dyDescent="0.25">
      <c r="A38" s="22"/>
      <c r="B38" s="25"/>
      <c r="C38" s="25"/>
      <c r="D38" s="25"/>
      <c r="E38" s="25"/>
      <c r="F38" s="25"/>
      <c r="G38" s="25"/>
      <c r="H38" s="25"/>
      <c r="I38" s="25"/>
      <c r="J38" s="26"/>
      <c r="L38" s="22"/>
      <c r="M38" s="25"/>
      <c r="N38" s="25"/>
      <c r="O38" s="25"/>
      <c r="P38" s="25"/>
      <c r="Q38" s="25"/>
      <c r="R38" s="25"/>
      <c r="S38" s="25"/>
      <c r="T38" s="25"/>
      <c r="U38" s="26"/>
    </row>
    <row r="39" spans="1:23" ht="15" customHeight="1" x14ac:dyDescent="0.25">
      <c r="A39" s="22"/>
      <c r="B39" s="772" t="s">
        <v>41</v>
      </c>
      <c r="C39" s="772"/>
      <c r="D39" s="772"/>
      <c r="E39" s="772"/>
      <c r="F39" s="772"/>
      <c r="G39" s="772"/>
      <c r="H39" s="772"/>
      <c r="I39" s="772"/>
      <c r="J39" s="772"/>
      <c r="L39" s="22"/>
      <c r="M39" s="772" t="s">
        <v>41</v>
      </c>
      <c r="N39" s="772"/>
      <c r="O39" s="772"/>
      <c r="P39" s="772"/>
      <c r="Q39" s="772"/>
      <c r="R39" s="772"/>
      <c r="S39" s="772"/>
      <c r="T39" s="772"/>
      <c r="U39" s="772"/>
    </row>
    <row r="40" spans="1:23" ht="39.6" x14ac:dyDescent="0.25">
      <c r="A40" s="22"/>
      <c r="B40" s="774" t="s">
        <v>4</v>
      </c>
      <c r="C40" s="774"/>
      <c r="D40" s="774"/>
      <c r="E40" s="774"/>
      <c r="F40" s="774"/>
      <c r="G40" s="207" t="s">
        <v>51</v>
      </c>
      <c r="H40" s="207" t="s">
        <v>19</v>
      </c>
      <c r="I40" s="207" t="s">
        <v>28</v>
      </c>
      <c r="J40" s="207" t="s">
        <v>29</v>
      </c>
      <c r="L40" s="22"/>
      <c r="M40" s="774" t="s">
        <v>4</v>
      </c>
      <c r="N40" s="774"/>
      <c r="O40" s="774"/>
      <c r="P40" s="774"/>
      <c r="Q40" s="774"/>
      <c r="R40" s="207" t="s">
        <v>51</v>
      </c>
      <c r="S40" s="207" t="s">
        <v>19</v>
      </c>
      <c r="T40" s="207" t="s">
        <v>28</v>
      </c>
      <c r="U40" s="207" t="s">
        <v>29</v>
      </c>
    </row>
    <row r="41" spans="1:23" ht="30" customHeight="1" x14ac:dyDescent="0.25">
      <c r="A41" s="22"/>
      <c r="B41" s="814" t="s">
        <v>467</v>
      </c>
      <c r="C41" s="814"/>
      <c r="D41" s="814"/>
      <c r="E41" s="814"/>
      <c r="F41" s="814"/>
      <c r="G41" s="248">
        <v>172935.10666666669</v>
      </c>
      <c r="H41" s="246">
        <v>1</v>
      </c>
      <c r="I41" s="245">
        <f>1/3</f>
        <v>0.33333333333333331</v>
      </c>
      <c r="J41" s="248">
        <f>ROUND(+IF(I41=0,0,G41*H41/I41),0)</f>
        <v>518805</v>
      </c>
      <c r="L41" s="22"/>
      <c r="M41" s="814" t="s">
        <v>467</v>
      </c>
      <c r="N41" s="814"/>
      <c r="O41" s="814"/>
      <c r="P41" s="814"/>
      <c r="Q41" s="814"/>
      <c r="R41" s="248">
        <v>172935.10666666669</v>
      </c>
      <c r="S41" s="246">
        <v>1</v>
      </c>
      <c r="T41" s="245">
        <f>1/3</f>
        <v>0.33333333333333331</v>
      </c>
      <c r="U41" s="248">
        <f>ROUND(+IF(T41=0,0,R41*S41/T41),0)</f>
        <v>518805</v>
      </c>
      <c r="W41" s="823" t="s">
        <v>476</v>
      </c>
    </row>
    <row r="42" spans="1:23" ht="22.5" customHeight="1" x14ac:dyDescent="0.25">
      <c r="A42" s="22"/>
      <c r="B42" s="814" t="s">
        <v>386</v>
      </c>
      <c r="C42" s="814"/>
      <c r="D42" s="814"/>
      <c r="E42" s="814"/>
      <c r="F42" s="814"/>
      <c r="G42" s="248">
        <v>78606.866666666669</v>
      </c>
      <c r="H42" s="246">
        <v>2</v>
      </c>
      <c r="I42" s="245">
        <f>I41</f>
        <v>0.33333333333333331</v>
      </c>
      <c r="J42" s="248">
        <f>ROUND(+IF(I42=0,0,G42*H42/I42),0)</f>
        <v>471641</v>
      </c>
      <c r="L42" s="22"/>
      <c r="M42" s="814" t="s">
        <v>386</v>
      </c>
      <c r="N42" s="814"/>
      <c r="O42" s="814"/>
      <c r="P42" s="814"/>
      <c r="Q42" s="814"/>
      <c r="R42" s="248">
        <v>78606.866666666669</v>
      </c>
      <c r="S42" s="246">
        <v>2</v>
      </c>
      <c r="T42" s="245">
        <f>T41</f>
        <v>0.33333333333333331</v>
      </c>
      <c r="U42" s="248">
        <f>ROUND(+IF(T42=0,0,R42*S42/T42),0)</f>
        <v>471641</v>
      </c>
      <c r="W42" s="823"/>
    </row>
    <row r="43" spans="1:23" ht="15" customHeight="1" x14ac:dyDescent="0.25">
      <c r="A43" s="22"/>
      <c r="B43" s="771"/>
      <c r="C43" s="771"/>
      <c r="D43" s="771"/>
      <c r="E43" s="771"/>
      <c r="F43" s="771"/>
      <c r="G43" s="181" t="s">
        <v>501</v>
      </c>
      <c r="H43" s="206"/>
      <c r="I43" s="180"/>
      <c r="J43" s="181">
        <f t="shared" ref="J43" si="5">+IF(I43=0,0,G43*H43/I43)</f>
        <v>0</v>
      </c>
      <c r="L43" s="22"/>
      <c r="M43" s="771"/>
      <c r="N43" s="771"/>
      <c r="O43" s="771"/>
      <c r="P43" s="771"/>
      <c r="Q43" s="771"/>
      <c r="R43" s="181" t="s">
        <v>501</v>
      </c>
      <c r="S43" s="206"/>
      <c r="T43" s="180"/>
      <c r="U43" s="181">
        <f t="shared" ref="U43" si="6">+IF(T43=0,0,R43*S43/T43)</f>
        <v>0</v>
      </c>
    </row>
    <row r="44" spans="1:23" ht="15" customHeight="1" x14ac:dyDescent="0.25">
      <c r="A44" s="22"/>
      <c r="B44" s="772" t="s">
        <v>42</v>
      </c>
      <c r="C44" s="772"/>
      <c r="D44" s="772"/>
      <c r="E44" s="772"/>
      <c r="F44" s="772"/>
      <c r="G44" s="772"/>
      <c r="H44" s="772"/>
      <c r="I44" s="772"/>
      <c r="J44" s="181">
        <f>SUM(J41:J43)</f>
        <v>990446</v>
      </c>
      <c r="L44" s="22"/>
      <c r="M44" s="772" t="s">
        <v>42</v>
      </c>
      <c r="N44" s="772"/>
      <c r="O44" s="772"/>
      <c r="P44" s="772"/>
      <c r="Q44" s="772"/>
      <c r="R44" s="772"/>
      <c r="S44" s="772"/>
      <c r="T44" s="772"/>
      <c r="U44" s="181">
        <f>SUM(U41:U43)</f>
        <v>990446</v>
      </c>
    </row>
    <row r="45" spans="1:23" ht="7.5" customHeight="1" x14ac:dyDescent="0.25">
      <c r="A45" s="22"/>
      <c r="B45" s="25"/>
      <c r="C45" s="25"/>
      <c r="D45" s="25"/>
      <c r="E45" s="25"/>
      <c r="F45" s="25"/>
      <c r="G45" s="25"/>
      <c r="H45" s="25"/>
      <c r="I45" s="25"/>
      <c r="J45" s="26"/>
      <c r="L45" s="22"/>
      <c r="M45" s="25"/>
      <c r="N45" s="25"/>
      <c r="O45" s="25"/>
      <c r="P45" s="25"/>
      <c r="Q45" s="25"/>
      <c r="R45" s="25"/>
      <c r="S45" s="25"/>
      <c r="T45" s="25"/>
      <c r="U45" s="26"/>
    </row>
    <row r="46" spans="1:23" ht="15.75" customHeight="1" x14ac:dyDescent="0.25">
      <c r="A46" s="27"/>
      <c r="B46" s="773" t="s">
        <v>43</v>
      </c>
      <c r="C46" s="773"/>
      <c r="D46" s="773"/>
      <c r="E46" s="773"/>
      <c r="F46" s="773"/>
      <c r="G46" s="773"/>
      <c r="H46" s="773"/>
      <c r="I46" s="773"/>
      <c r="J46" s="210">
        <f>+J44+J37+J17+J29</f>
        <v>23433168</v>
      </c>
      <c r="L46" s="27"/>
      <c r="M46" s="773" t="s">
        <v>43</v>
      </c>
      <c r="N46" s="773"/>
      <c r="O46" s="773"/>
      <c r="P46" s="773"/>
      <c r="Q46" s="773"/>
      <c r="R46" s="773"/>
      <c r="S46" s="773"/>
      <c r="T46" s="773"/>
      <c r="U46" s="210">
        <f>+U44+U37+U17+U29</f>
        <v>23433168</v>
      </c>
    </row>
    <row r="47" spans="1:23" x14ac:dyDescent="0.25">
      <c r="B47" s="21"/>
      <c r="C47" s="21"/>
      <c r="D47" s="21"/>
      <c r="E47" s="21"/>
      <c r="F47" s="21"/>
      <c r="G47" s="21"/>
      <c r="H47" s="21"/>
      <c r="I47" s="21"/>
      <c r="J47" s="21"/>
    </row>
    <row r="49" spans="8:10" ht="13.8" thickBot="1" x14ac:dyDescent="0.3"/>
    <row r="50" spans="8:10" x14ac:dyDescent="0.25">
      <c r="H50" s="251" t="s">
        <v>477</v>
      </c>
      <c r="I50" s="252"/>
      <c r="J50" s="253">
        <v>24144555</v>
      </c>
    </row>
    <row r="51" spans="8:10" x14ac:dyDescent="0.25">
      <c r="H51" s="254" t="s">
        <v>469</v>
      </c>
      <c r="I51" s="239"/>
      <c r="J51" s="255">
        <v>17828318</v>
      </c>
    </row>
    <row r="52" spans="8:10" ht="13.8" thickBot="1" x14ac:dyDescent="0.3">
      <c r="H52" s="256" t="s">
        <v>470</v>
      </c>
      <c r="I52" s="257"/>
      <c r="J52" s="258">
        <f>J46</f>
        <v>23433168</v>
      </c>
    </row>
  </sheetData>
  <mergeCells count="85">
    <mergeCell ref="A1:C4"/>
    <mergeCell ref="D1:J1"/>
    <mergeCell ref="L1:N4"/>
    <mergeCell ref="O1:U1"/>
    <mergeCell ref="D2:J2"/>
    <mergeCell ref="O2:U2"/>
    <mergeCell ref="D3:J3"/>
    <mergeCell ref="O3:U3"/>
    <mergeCell ref="D4:J4"/>
    <mergeCell ref="O4:U4"/>
    <mergeCell ref="E6:H6"/>
    <mergeCell ref="P6:S6"/>
    <mergeCell ref="B7:J7"/>
    <mergeCell ref="M7:U7"/>
    <mergeCell ref="B8:F8"/>
    <mergeCell ref="M8:Q8"/>
    <mergeCell ref="B9:F9"/>
    <mergeCell ref="M9:Q9"/>
    <mergeCell ref="B10:F10"/>
    <mergeCell ref="M10:Q10"/>
    <mergeCell ref="B11:F11"/>
    <mergeCell ref="M11:Q11"/>
    <mergeCell ref="B12:F12"/>
    <mergeCell ref="M12:Q12"/>
    <mergeCell ref="B13:F13"/>
    <mergeCell ref="M13:Q13"/>
    <mergeCell ref="B14:F14"/>
    <mergeCell ref="M14:Q14"/>
    <mergeCell ref="B15:F15"/>
    <mergeCell ref="M15:Q15"/>
    <mergeCell ref="B16:F16"/>
    <mergeCell ref="M16:Q16"/>
    <mergeCell ref="B17:I17"/>
    <mergeCell ref="M17:T17"/>
    <mergeCell ref="B19:J19"/>
    <mergeCell ref="M19:U19"/>
    <mergeCell ref="B20:E20"/>
    <mergeCell ref="M20:P20"/>
    <mergeCell ref="B21:E21"/>
    <mergeCell ref="M21:P21"/>
    <mergeCell ref="B22:E22"/>
    <mergeCell ref="M22:P22"/>
    <mergeCell ref="B23:E23"/>
    <mergeCell ref="M23:P23"/>
    <mergeCell ref="B24:E24"/>
    <mergeCell ref="M24:P24"/>
    <mergeCell ref="B25:E25"/>
    <mergeCell ref="M25:P25"/>
    <mergeCell ref="B26:E26"/>
    <mergeCell ref="M26:P26"/>
    <mergeCell ref="B27:E27"/>
    <mergeCell ref="M27:P27"/>
    <mergeCell ref="B28:E28"/>
    <mergeCell ref="M28:P28"/>
    <mergeCell ref="B29:I29"/>
    <mergeCell ref="M29:T29"/>
    <mergeCell ref="B31:J31"/>
    <mergeCell ref="M31:U31"/>
    <mergeCell ref="B32:F32"/>
    <mergeCell ref="M32:Q32"/>
    <mergeCell ref="B33:F33"/>
    <mergeCell ref="M33:Q33"/>
    <mergeCell ref="B34:F34"/>
    <mergeCell ref="M34:Q34"/>
    <mergeCell ref="B35:F35"/>
    <mergeCell ref="M35:Q35"/>
    <mergeCell ref="B36:F36"/>
    <mergeCell ref="M36:Q36"/>
    <mergeCell ref="B37:I37"/>
    <mergeCell ref="M37:T37"/>
    <mergeCell ref="B39:J39"/>
    <mergeCell ref="M39:U39"/>
    <mergeCell ref="B40:F40"/>
    <mergeCell ref="M40:Q40"/>
    <mergeCell ref="B41:F41"/>
    <mergeCell ref="M41:Q41"/>
    <mergeCell ref="B46:I46"/>
    <mergeCell ref="M46:T46"/>
    <mergeCell ref="W41:W42"/>
    <mergeCell ref="B42:F42"/>
    <mergeCell ref="M42:Q42"/>
    <mergeCell ref="B43:F43"/>
    <mergeCell ref="M43:Q43"/>
    <mergeCell ref="B44:I44"/>
    <mergeCell ref="M44:T44"/>
  </mergeCells>
  <hyperlinks>
    <hyperlink ref="C6" location="'PPTO HOJA'!A124" display="'PPTO HOJA'!A124" xr:uid="{00000000-0004-0000-3700-000000000000}"/>
    <hyperlink ref="N6" location="'PPTO HOJA'!A124" display="'PPTO HOJA'!A124" xr:uid="{00000000-0004-0000-3700-000001000000}"/>
  </hyperlinks>
  <pageMargins left="0.7" right="0.7" top="0.75" bottom="0.75" header="0.3" footer="0.3"/>
  <pageSetup paperSize="9" scale="26" orientation="portrait" r:id="rId1"/>
  <drawing r:id="rId2"/>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theme="5" tint="0.59999389629810485"/>
  </sheetPr>
  <dimension ref="A1:U119"/>
  <sheetViews>
    <sheetView zoomScale="85" zoomScaleNormal="85" zoomScaleSheetLayoutView="100"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8" width="14.33203125" style="20" customWidth="1"/>
    <col min="9" max="9" width="16.33203125" style="20" bestFit="1" customWidth="1"/>
    <col min="10" max="10" width="20.6640625" style="20" bestFit="1" customWidth="1"/>
    <col min="11" max="17" width="11.44140625" style="20"/>
    <col min="18" max="18" width="12.33203125" style="20" bestFit="1" customWidth="1"/>
    <col min="19" max="20" width="11.44140625" style="20"/>
    <col min="21" max="21" width="15.33203125" style="20" bestFit="1" customWidth="1"/>
    <col min="22" max="16384" width="11.44140625" style="20"/>
  </cols>
  <sheetData>
    <row r="1" spans="1:21" x14ac:dyDescent="0.25">
      <c r="A1" s="768"/>
      <c r="B1" s="768"/>
      <c r="C1" s="768"/>
      <c r="D1" s="769" t="s">
        <v>1</v>
      </c>
      <c r="E1" s="769"/>
      <c r="F1" s="769"/>
      <c r="G1" s="769"/>
      <c r="H1" s="769"/>
      <c r="I1" s="769"/>
      <c r="J1" s="769"/>
      <c r="L1" s="821" t="s">
        <v>469</v>
      </c>
      <c r="M1" s="821"/>
      <c r="N1" s="821"/>
      <c r="O1" s="769" t="str">
        <f>D1</f>
        <v>DEPARTAMENTO DE ANTIOQUIA</v>
      </c>
      <c r="P1" s="769"/>
      <c r="Q1" s="769"/>
      <c r="R1" s="769"/>
      <c r="S1" s="769"/>
      <c r="T1" s="769"/>
      <c r="U1" s="769"/>
    </row>
    <row r="2" spans="1:21" x14ac:dyDescent="0.25">
      <c r="A2" s="768"/>
      <c r="B2" s="768"/>
      <c r="C2" s="768"/>
      <c r="D2" s="769" t="s">
        <v>2</v>
      </c>
      <c r="E2" s="769"/>
      <c r="F2" s="769"/>
      <c r="G2" s="769"/>
      <c r="H2" s="769"/>
      <c r="I2" s="769"/>
      <c r="J2" s="769"/>
      <c r="L2" s="821"/>
      <c r="M2" s="821"/>
      <c r="N2" s="821"/>
      <c r="O2" s="769" t="str">
        <f t="shared" ref="O2:O3" si="0">D2</f>
        <v>MUNICIPIO DE ARBOLETES</v>
      </c>
      <c r="P2" s="769"/>
      <c r="Q2" s="769"/>
      <c r="R2" s="769"/>
      <c r="S2" s="769"/>
      <c r="T2" s="769"/>
      <c r="U2" s="769"/>
    </row>
    <row r="3" spans="1:21" ht="60" customHeight="1" x14ac:dyDescent="0.25">
      <c r="A3" s="768"/>
      <c r="B3" s="768"/>
      <c r="C3" s="768"/>
      <c r="D3" s="770" t="s">
        <v>328</v>
      </c>
      <c r="E3" s="770"/>
      <c r="F3" s="770"/>
      <c r="G3" s="770"/>
      <c r="H3" s="770"/>
      <c r="I3" s="770"/>
      <c r="J3" s="770"/>
      <c r="L3" s="821"/>
      <c r="M3" s="821"/>
      <c r="N3" s="821"/>
      <c r="O3" s="770" t="str">
        <f t="shared" si="0"/>
        <v>CONSTRUCCION DE OBRAS CIVILES COMPLEMENTARIAS PARA EL CORRECTO FUNCIONAMIENTO DEL PROYECTO DENOMINADO “PARQUE GEOLÓGICO, NATURAL, AMBIENTAL, CULTURAL Y TURÍSTICO, VOLCÁN DE LODO DE ARBOLETES”, QUE SE LLEVARÁ A CABO EN EL MUNICIPIO DE ARBOLETES-ANTIOQUIA</v>
      </c>
      <c r="P3" s="770"/>
      <c r="Q3" s="770"/>
      <c r="R3" s="770"/>
      <c r="S3" s="770"/>
      <c r="T3" s="770"/>
      <c r="U3" s="770"/>
    </row>
    <row r="4" spans="1:21" x14ac:dyDescent="0.25">
      <c r="A4" s="768"/>
      <c r="B4" s="768"/>
      <c r="C4" s="768"/>
      <c r="D4" s="769" t="s">
        <v>20</v>
      </c>
      <c r="E4" s="769"/>
      <c r="F4" s="769"/>
      <c r="G4" s="769"/>
      <c r="H4" s="769"/>
      <c r="I4" s="769"/>
      <c r="J4" s="769"/>
      <c r="L4" s="821"/>
      <c r="M4" s="821"/>
      <c r="N4" s="821"/>
      <c r="O4" s="769" t="s">
        <v>20</v>
      </c>
      <c r="P4" s="769"/>
      <c r="Q4" s="769"/>
      <c r="R4" s="769"/>
      <c r="S4" s="769"/>
      <c r="T4" s="769"/>
      <c r="U4" s="769"/>
    </row>
    <row r="5" spans="1:21" ht="9.75" customHeight="1" x14ac:dyDescent="0.25">
      <c r="A5" s="22"/>
      <c r="J5" s="23"/>
      <c r="L5" s="22"/>
      <c r="U5" s="23"/>
    </row>
    <row r="6" spans="1:21" s="21" customFormat="1" ht="45" customHeight="1" x14ac:dyDescent="0.3">
      <c r="A6" s="202" t="s">
        <v>460</v>
      </c>
      <c r="B6" s="203" t="s">
        <v>22</v>
      </c>
      <c r="C6" s="204">
        <v>7.0399999999999991</v>
      </c>
      <c r="D6" s="205"/>
      <c r="E6" s="777" t="s">
        <v>414</v>
      </c>
      <c r="F6" s="777"/>
      <c r="G6" s="777"/>
      <c r="H6" s="777"/>
      <c r="I6" s="202" t="s">
        <v>23</v>
      </c>
      <c r="J6" s="206" t="s">
        <v>9</v>
      </c>
      <c r="L6" s="202" t="s">
        <v>460</v>
      </c>
      <c r="M6" s="203" t="s">
        <v>22</v>
      </c>
      <c r="N6" s="204">
        <f>C6</f>
        <v>7.0399999999999991</v>
      </c>
      <c r="O6" s="205"/>
      <c r="P6" s="777" t="str">
        <f>E6</f>
        <v xml:space="preserve">Construcción de cuarto electrico de 3mx3m para encerramiento y ubicación de gabinete general, tablero de distribución y rack de comunicaciones </v>
      </c>
      <c r="Q6" s="777"/>
      <c r="R6" s="777"/>
      <c r="S6" s="777"/>
      <c r="T6" s="202" t="s">
        <v>23</v>
      </c>
      <c r="U6" s="206" t="str">
        <f>J6</f>
        <v>und</v>
      </c>
    </row>
    <row r="7" spans="1:21" ht="15" customHeight="1" x14ac:dyDescent="0.25">
      <c r="A7" s="22"/>
      <c r="B7" s="772" t="s">
        <v>24</v>
      </c>
      <c r="C7" s="772"/>
      <c r="D7" s="772"/>
      <c r="E7" s="772"/>
      <c r="F7" s="772"/>
      <c r="G7" s="772"/>
      <c r="H7" s="772"/>
      <c r="I7" s="772"/>
      <c r="J7" s="772"/>
      <c r="L7" s="22"/>
      <c r="M7" s="772" t="s">
        <v>24</v>
      </c>
      <c r="N7" s="772"/>
      <c r="O7" s="772"/>
      <c r="P7" s="772"/>
      <c r="Q7" s="772"/>
      <c r="R7" s="772"/>
      <c r="S7" s="772"/>
      <c r="T7" s="772"/>
      <c r="U7" s="772"/>
    </row>
    <row r="8" spans="1:21"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1" ht="15" customHeight="1" x14ac:dyDescent="0.25">
      <c r="A9" s="22"/>
      <c r="B9" s="771" t="s">
        <v>30</v>
      </c>
      <c r="C9" s="771"/>
      <c r="D9" s="771"/>
      <c r="E9" s="771"/>
      <c r="F9" s="771"/>
      <c r="G9" s="206"/>
      <c r="H9" s="181"/>
      <c r="I9" s="208">
        <v>0.05</v>
      </c>
      <c r="J9" s="181">
        <f>ROUND(I9*J54,0)</f>
        <v>530596</v>
      </c>
      <c r="L9" s="22"/>
      <c r="M9" s="771" t="s">
        <v>30</v>
      </c>
      <c r="N9" s="771"/>
      <c r="O9" s="771"/>
      <c r="P9" s="771"/>
      <c r="Q9" s="771"/>
      <c r="R9" s="206"/>
      <c r="S9" s="181"/>
      <c r="T9" s="208">
        <v>0.05</v>
      </c>
      <c r="U9" s="181">
        <f>ROUND(T9*U46,0)</f>
        <v>106119</v>
      </c>
    </row>
    <row r="10" spans="1:21" ht="15" customHeight="1" x14ac:dyDescent="0.25">
      <c r="A10" s="22"/>
      <c r="B10" s="777"/>
      <c r="C10" s="777"/>
      <c r="D10" s="777"/>
      <c r="E10" s="777"/>
      <c r="F10" s="777"/>
      <c r="G10" s="206"/>
      <c r="H10" s="181" t="s">
        <v>501</v>
      </c>
      <c r="I10" s="180"/>
      <c r="J10" s="181">
        <f>IF(B10="",0,ROUND(H10/I10,0))</f>
        <v>0</v>
      </c>
      <c r="L10" s="22"/>
      <c r="M10" s="777"/>
      <c r="N10" s="777"/>
      <c r="O10" s="777"/>
      <c r="P10" s="777"/>
      <c r="Q10" s="777"/>
      <c r="R10" s="206"/>
      <c r="S10" s="181" t="s">
        <v>501</v>
      </c>
      <c r="T10" s="180"/>
      <c r="U10" s="181">
        <f>IF(M10="",0,ROUND(S10/T10,0))</f>
        <v>0</v>
      </c>
    </row>
    <row r="11" spans="1:21" ht="15" customHeight="1" x14ac:dyDescent="0.25">
      <c r="A11" s="22"/>
      <c r="B11" s="771"/>
      <c r="C11" s="771"/>
      <c r="D11" s="771"/>
      <c r="E11" s="771"/>
      <c r="F11" s="771"/>
      <c r="G11" s="206"/>
      <c r="H11" s="181"/>
      <c r="I11" s="180"/>
      <c r="J11" s="181">
        <f t="shared" ref="J11:J15" si="1">IF(B11="",0,ROUND(H11/I11,0))</f>
        <v>0</v>
      </c>
      <c r="L11" s="22"/>
      <c r="M11" s="771"/>
      <c r="N11" s="771"/>
      <c r="O11" s="771"/>
      <c r="P11" s="771"/>
      <c r="Q11" s="771"/>
      <c r="R11" s="206"/>
      <c r="S11" s="181"/>
      <c r="T11" s="180"/>
      <c r="U11" s="181">
        <f t="shared" ref="U11:U15" si="2">IF(M11="",0,ROUND(S11/T11,0))</f>
        <v>0</v>
      </c>
    </row>
    <row r="12" spans="1:21" ht="15" customHeight="1" x14ac:dyDescent="0.25">
      <c r="A12" s="22"/>
      <c r="B12" s="771"/>
      <c r="C12" s="771"/>
      <c r="D12" s="771"/>
      <c r="E12" s="771"/>
      <c r="F12" s="771"/>
      <c r="G12" s="206" t="s">
        <v>501</v>
      </c>
      <c r="H12" s="181" t="s">
        <v>501</v>
      </c>
      <c r="I12" s="180"/>
      <c r="J12" s="181">
        <f t="shared" si="1"/>
        <v>0</v>
      </c>
      <c r="L12" s="22"/>
      <c r="M12" s="771"/>
      <c r="N12" s="771"/>
      <c r="O12" s="771"/>
      <c r="P12" s="771"/>
      <c r="Q12" s="771"/>
      <c r="R12" s="206" t="s">
        <v>501</v>
      </c>
      <c r="S12" s="181" t="s">
        <v>501</v>
      </c>
      <c r="T12" s="180"/>
      <c r="U12" s="181">
        <f t="shared" si="2"/>
        <v>0</v>
      </c>
    </row>
    <row r="13" spans="1:21" ht="15" customHeight="1" x14ac:dyDescent="0.25">
      <c r="A13" s="22"/>
      <c r="B13" s="771"/>
      <c r="C13" s="771"/>
      <c r="D13" s="771"/>
      <c r="E13" s="771"/>
      <c r="F13" s="771"/>
      <c r="G13" s="206" t="s">
        <v>501</v>
      </c>
      <c r="H13" s="181" t="s">
        <v>501</v>
      </c>
      <c r="I13" s="180"/>
      <c r="J13" s="181">
        <f t="shared" si="1"/>
        <v>0</v>
      </c>
      <c r="L13" s="22"/>
      <c r="M13" s="771"/>
      <c r="N13" s="771"/>
      <c r="O13" s="771"/>
      <c r="P13" s="771"/>
      <c r="Q13" s="771"/>
      <c r="R13" s="206" t="s">
        <v>501</v>
      </c>
      <c r="S13" s="181" t="s">
        <v>501</v>
      </c>
      <c r="T13" s="180"/>
      <c r="U13" s="181">
        <f t="shared" si="2"/>
        <v>0</v>
      </c>
    </row>
    <row r="14" spans="1:21" ht="15" customHeight="1" x14ac:dyDescent="0.25">
      <c r="A14" s="22"/>
      <c r="B14" s="771"/>
      <c r="C14" s="771"/>
      <c r="D14" s="771"/>
      <c r="E14" s="771"/>
      <c r="F14" s="771"/>
      <c r="G14" s="206" t="s">
        <v>501</v>
      </c>
      <c r="H14" s="181" t="s">
        <v>501</v>
      </c>
      <c r="I14" s="180"/>
      <c r="J14" s="181">
        <f t="shared" si="1"/>
        <v>0</v>
      </c>
      <c r="L14" s="22"/>
      <c r="M14" s="771"/>
      <c r="N14" s="771"/>
      <c r="O14" s="771"/>
      <c r="P14" s="771"/>
      <c r="Q14" s="771"/>
      <c r="R14" s="206" t="s">
        <v>501</v>
      </c>
      <c r="S14" s="181" t="s">
        <v>501</v>
      </c>
      <c r="T14" s="180"/>
      <c r="U14" s="181">
        <f t="shared" si="2"/>
        <v>0</v>
      </c>
    </row>
    <row r="15" spans="1:21" ht="15" customHeight="1" x14ac:dyDescent="0.25">
      <c r="A15" s="22"/>
      <c r="B15" s="771"/>
      <c r="C15" s="771"/>
      <c r="D15" s="771"/>
      <c r="E15" s="771"/>
      <c r="F15" s="771"/>
      <c r="G15" s="206" t="s">
        <v>501</v>
      </c>
      <c r="H15" s="181" t="s">
        <v>501</v>
      </c>
      <c r="I15" s="180"/>
      <c r="J15" s="181">
        <f t="shared" si="1"/>
        <v>0</v>
      </c>
      <c r="L15" s="22"/>
      <c r="M15" s="771"/>
      <c r="N15" s="771"/>
      <c r="O15" s="771"/>
      <c r="P15" s="771"/>
      <c r="Q15" s="771"/>
      <c r="R15" s="206" t="s">
        <v>501</v>
      </c>
      <c r="S15" s="181" t="s">
        <v>501</v>
      </c>
      <c r="T15" s="180"/>
      <c r="U15" s="181">
        <f t="shared" si="2"/>
        <v>0</v>
      </c>
    </row>
    <row r="16" spans="1:21" ht="15" customHeight="1" x14ac:dyDescent="0.25">
      <c r="A16" s="22"/>
      <c r="B16" s="771"/>
      <c r="C16" s="771"/>
      <c r="D16" s="771"/>
      <c r="E16" s="771"/>
      <c r="F16" s="771"/>
      <c r="G16" s="206" t="s">
        <v>501</v>
      </c>
      <c r="H16" s="181" t="s">
        <v>501</v>
      </c>
      <c r="I16" s="180"/>
      <c r="J16" s="181"/>
      <c r="L16" s="22"/>
      <c r="M16" s="771"/>
      <c r="N16" s="771"/>
      <c r="O16" s="771"/>
      <c r="P16" s="771"/>
      <c r="Q16" s="771"/>
      <c r="R16" s="206" t="s">
        <v>501</v>
      </c>
      <c r="S16" s="181" t="s">
        <v>501</v>
      </c>
      <c r="T16" s="180"/>
      <c r="U16" s="181"/>
    </row>
    <row r="17" spans="1:21" ht="15" customHeight="1" x14ac:dyDescent="0.25">
      <c r="A17" s="22"/>
      <c r="B17" s="772" t="s">
        <v>31</v>
      </c>
      <c r="C17" s="772"/>
      <c r="D17" s="772"/>
      <c r="E17" s="772"/>
      <c r="F17" s="772"/>
      <c r="G17" s="772"/>
      <c r="H17" s="772"/>
      <c r="I17" s="772"/>
      <c r="J17" s="181">
        <f>SUM(J9:J16)</f>
        <v>530596</v>
      </c>
      <c r="L17" s="22"/>
      <c r="M17" s="772" t="s">
        <v>31</v>
      </c>
      <c r="N17" s="772"/>
      <c r="O17" s="772"/>
      <c r="P17" s="772"/>
      <c r="Q17" s="772"/>
      <c r="R17" s="772"/>
      <c r="S17" s="772"/>
      <c r="T17" s="772"/>
      <c r="U17" s="181">
        <f>SUM(U9:U16)</f>
        <v>106119</v>
      </c>
    </row>
    <row r="18" spans="1:21" ht="7.5" customHeight="1" x14ac:dyDescent="0.25">
      <c r="A18" s="22"/>
      <c r="B18" s="25"/>
      <c r="C18" s="25"/>
      <c r="D18" s="25"/>
      <c r="E18" s="25"/>
      <c r="F18" s="25"/>
      <c r="G18" s="25"/>
      <c r="H18" s="25"/>
      <c r="I18" s="25"/>
      <c r="J18" s="26"/>
      <c r="L18" s="22"/>
      <c r="M18" s="25"/>
      <c r="N18" s="25"/>
      <c r="O18" s="25"/>
      <c r="P18" s="25"/>
      <c r="Q18" s="25"/>
      <c r="R18" s="25"/>
      <c r="S18" s="25"/>
      <c r="T18" s="25"/>
      <c r="U18" s="26"/>
    </row>
    <row r="19" spans="1:21" ht="15" customHeight="1" x14ac:dyDescent="0.25">
      <c r="A19" s="22"/>
      <c r="B19" s="772" t="s">
        <v>32</v>
      </c>
      <c r="C19" s="772"/>
      <c r="D19" s="772"/>
      <c r="E19" s="772"/>
      <c r="F19" s="772"/>
      <c r="G19" s="772"/>
      <c r="H19" s="772"/>
      <c r="I19" s="772"/>
      <c r="J19" s="772"/>
      <c r="L19" s="22"/>
      <c r="M19" s="772" t="s">
        <v>32</v>
      </c>
      <c r="N19" s="772"/>
      <c r="O19" s="772"/>
      <c r="P19" s="772"/>
      <c r="Q19" s="772"/>
      <c r="R19" s="772"/>
      <c r="S19" s="772"/>
      <c r="T19" s="772"/>
      <c r="U19" s="772"/>
    </row>
    <row r="20" spans="1:21" ht="26.4" x14ac:dyDescent="0.25">
      <c r="A20" s="22"/>
      <c r="B20" s="774" t="s">
        <v>33</v>
      </c>
      <c r="C20" s="774"/>
      <c r="D20" s="774"/>
      <c r="E20" s="774"/>
      <c r="F20" s="205" t="s">
        <v>19</v>
      </c>
      <c r="G20" s="206" t="s">
        <v>34</v>
      </c>
      <c r="H20" s="207" t="s">
        <v>35</v>
      </c>
      <c r="I20" s="207" t="s">
        <v>36</v>
      </c>
      <c r="J20" s="207" t="s">
        <v>29</v>
      </c>
      <c r="L20" s="22"/>
      <c r="M20" s="774" t="s">
        <v>33</v>
      </c>
      <c r="N20" s="774"/>
      <c r="O20" s="774"/>
      <c r="P20" s="774"/>
      <c r="Q20" s="205" t="s">
        <v>19</v>
      </c>
      <c r="R20" s="206" t="s">
        <v>34</v>
      </c>
      <c r="S20" s="207" t="s">
        <v>35</v>
      </c>
      <c r="T20" s="207" t="s">
        <v>36</v>
      </c>
      <c r="U20" s="207" t="s">
        <v>29</v>
      </c>
    </row>
    <row r="21" spans="1:21" ht="29.4" customHeight="1" x14ac:dyDescent="0.25">
      <c r="A21" s="22"/>
      <c r="B21" s="791" t="str">
        <f>+'PPTO HOJA'!B12</f>
        <v>Excavación manual en material común bajo cualquier grado de humedad</v>
      </c>
      <c r="C21" s="792"/>
      <c r="D21" s="792"/>
      <c r="E21" s="793"/>
      <c r="F21" s="180">
        <f>+(0.3*2.5*(0.3+0.03))+(0.3*2.3*(0.3+0.03))+(0.3*0.95*(0.3+0.03))+(0.3*0.9*(0.3+0.03))+(0.3*1.25*(0.3+0.03))+(0.3*2.9*(0.3+0.03))+(1.9*2.6*(0.1+0.03))+(0.9*0.95*(0.1+0.03))</f>
        <v>1.8225499999999999</v>
      </c>
      <c r="G21" s="206" t="str">
        <f>+'PPTO HOJA'!C12</f>
        <v>m3</v>
      </c>
      <c r="H21" s="306"/>
      <c r="I21" s="280">
        <f>+'PPTO HOJA'!E12</f>
        <v>41268</v>
      </c>
      <c r="J21" s="181">
        <f>IF(I21="",0,ROUND((+F21*I21*(1+H21)),0))</f>
        <v>75213</v>
      </c>
      <c r="L21" s="22"/>
      <c r="M21" s="791" t="s">
        <v>425</v>
      </c>
      <c r="N21" s="792"/>
      <c r="O21" s="792"/>
      <c r="P21" s="793"/>
      <c r="Q21" s="180">
        <v>1</v>
      </c>
      <c r="R21" s="206" t="s">
        <v>9</v>
      </c>
      <c r="S21" s="209"/>
      <c r="T21" s="181">
        <v>18500000</v>
      </c>
      <c r="U21" s="181">
        <f>IF(T21="",0,ROUND((+Q21*T21*(1+S21)),0))</f>
        <v>18500000</v>
      </c>
    </row>
    <row r="22" spans="1:21" ht="26.4" customHeight="1" x14ac:dyDescent="0.25">
      <c r="A22" s="22"/>
      <c r="B22" s="791" t="s">
        <v>149</v>
      </c>
      <c r="C22" s="792"/>
      <c r="D22" s="792"/>
      <c r="E22" s="793"/>
      <c r="F22" s="180">
        <f>+(2.6*2.5*0.3)+(1.55*0.9*0.3)</f>
        <v>2.3685</v>
      </c>
      <c r="G22" s="206" t="str">
        <f>IF(F22=0,"",VLOOKUP(B22,'LISTADO DE MATERIALES'!$B$6:$D$311,2,FALSE))</f>
        <v>m3</v>
      </c>
      <c r="H22" s="306"/>
      <c r="I22" s="305">
        <f>IF(F22=0,"",VLOOKUP(B22,'LISTADO DE MATERIALES'!$B$6:$D$311,3,FALSE))</f>
        <v>75864.22</v>
      </c>
      <c r="J22" s="181">
        <f t="shared" ref="J22:J28" si="3">IF(I22="",0,ROUND((+F22*I22*(1+H22)),0))</f>
        <v>179684</v>
      </c>
      <c r="L22" s="22"/>
      <c r="M22" s="791"/>
      <c r="N22" s="792"/>
      <c r="O22" s="792"/>
      <c r="P22" s="793"/>
      <c r="Q22" s="180"/>
      <c r="R22" s="206" t="s">
        <v>501</v>
      </c>
      <c r="S22" s="209"/>
      <c r="T22" s="181" t="s">
        <v>501</v>
      </c>
      <c r="U22" s="181">
        <f t="shared" ref="U22:U27" si="4">IF(T22="",0,ROUND((+Q22*T22*(1+S22)),0))</f>
        <v>0</v>
      </c>
    </row>
    <row r="23" spans="1:21" x14ac:dyDescent="0.25">
      <c r="A23" s="22"/>
      <c r="B23" s="785" t="s">
        <v>530</v>
      </c>
      <c r="C23" s="786"/>
      <c r="D23" s="786"/>
      <c r="E23" s="787"/>
      <c r="F23" s="180">
        <f>+(2.6*2.5*0.03)+(1.55*0.9*0.03)</f>
        <v>0.23685</v>
      </c>
      <c r="G23" s="206" t="s">
        <v>261</v>
      </c>
      <c r="H23" s="306">
        <v>0.1</v>
      </c>
      <c r="I23" s="305">
        <f>+'APU BÁSICOS'!J313</f>
        <v>601552</v>
      </c>
      <c r="J23" s="181">
        <f t="shared" si="3"/>
        <v>156725</v>
      </c>
      <c r="L23" s="22"/>
      <c r="M23" s="791"/>
      <c r="N23" s="792"/>
      <c r="O23" s="792"/>
      <c r="P23" s="793"/>
      <c r="Q23" s="180"/>
      <c r="R23" s="206" t="s">
        <v>501</v>
      </c>
      <c r="S23" s="209"/>
      <c r="T23" s="181" t="s">
        <v>501</v>
      </c>
      <c r="U23" s="181">
        <f t="shared" si="4"/>
        <v>0</v>
      </c>
    </row>
    <row r="24" spans="1:21" ht="26.4" customHeight="1" x14ac:dyDescent="0.25">
      <c r="A24" s="22"/>
      <c r="B24" s="791" t="s">
        <v>531</v>
      </c>
      <c r="C24" s="792"/>
      <c r="D24" s="792"/>
      <c r="E24" s="793"/>
      <c r="F24" s="180">
        <f>+(0.3*2.5*0.3)+(0.3*2.3*0.3)+(0.3*0.95*0.3)+(0.3*0.9*0.3)+(0.3*1.25*0.3)+(0.3*2.9*0.3)</f>
        <v>0.97199999999999986</v>
      </c>
      <c r="G24" s="206" t="s">
        <v>261</v>
      </c>
      <c r="H24" s="306">
        <v>0.1</v>
      </c>
      <c r="I24" s="305">
        <f>+'APU BÁSICOS'!J137</f>
        <v>879842</v>
      </c>
      <c r="J24" s="181">
        <f t="shared" si="3"/>
        <v>940727</v>
      </c>
      <c r="L24" s="22"/>
      <c r="M24" s="791"/>
      <c r="N24" s="792"/>
      <c r="O24" s="792"/>
      <c r="P24" s="793"/>
      <c r="Q24" s="180"/>
      <c r="R24" s="206" t="s">
        <v>501</v>
      </c>
      <c r="S24" s="209"/>
      <c r="T24" s="181" t="s">
        <v>501</v>
      </c>
      <c r="U24" s="181">
        <f t="shared" si="4"/>
        <v>0</v>
      </c>
    </row>
    <row r="25" spans="1:21" x14ac:dyDescent="0.25">
      <c r="A25" s="22"/>
      <c r="B25" s="785" t="s">
        <v>535</v>
      </c>
      <c r="C25" s="786"/>
      <c r="D25" s="786"/>
      <c r="E25" s="787"/>
      <c r="F25" s="180">
        <f>+(1.9*2*0.1)+(0.9*0.95*0.1)</f>
        <v>0.46550000000000002</v>
      </c>
      <c r="G25" s="206" t="s">
        <v>261</v>
      </c>
      <c r="H25" s="306">
        <v>0.1</v>
      </c>
      <c r="I25" s="305">
        <f>+'APU BÁSICOS'!J137</f>
        <v>879842</v>
      </c>
      <c r="J25" s="181">
        <f t="shared" si="3"/>
        <v>450523</v>
      </c>
      <c r="L25" s="22"/>
      <c r="M25" s="791"/>
      <c r="N25" s="792"/>
      <c r="O25" s="792"/>
      <c r="P25" s="793"/>
      <c r="Q25" s="180"/>
      <c r="R25" s="206" t="s">
        <v>501</v>
      </c>
      <c r="S25" s="209"/>
      <c r="T25" s="181" t="s">
        <v>501</v>
      </c>
      <c r="U25" s="181">
        <f t="shared" si="4"/>
        <v>0</v>
      </c>
    </row>
    <row r="26" spans="1:21" x14ac:dyDescent="0.25">
      <c r="A26" s="22"/>
      <c r="B26" s="785" t="s">
        <v>567</v>
      </c>
      <c r="C26" s="786"/>
      <c r="D26" s="786"/>
      <c r="E26" s="787"/>
      <c r="F26" s="206">
        <f>+ROUND(ROUNDUP(((1.9*2*0.1)+(0.9*0.95*0.1))/(6*2.35),0)*23.8,2)</f>
        <v>23.8</v>
      </c>
      <c r="G26" s="206" t="str">
        <f>IF(F26=0,"",VLOOKUP(B26,'LISTADO DE MATERIALES'!$B$6:$D$311,2,FALSE))</f>
        <v>kg</v>
      </c>
      <c r="H26" s="306">
        <v>0.05</v>
      </c>
      <c r="I26" s="305">
        <f>IF(F26=0,"",VLOOKUP(B26,'LISTADO DE MATERIALES'!$B$6:$D$311,3,FALSE))</f>
        <v>4332</v>
      </c>
      <c r="J26" s="181">
        <f t="shared" si="3"/>
        <v>108257</v>
      </c>
      <c r="L26" s="22"/>
      <c r="M26" s="791"/>
      <c r="N26" s="792"/>
      <c r="O26" s="792"/>
      <c r="P26" s="793"/>
      <c r="Q26" s="180"/>
      <c r="R26" s="206" t="s">
        <v>501</v>
      </c>
      <c r="S26" s="209"/>
      <c r="T26" s="181" t="s">
        <v>501</v>
      </c>
      <c r="U26" s="181">
        <f t="shared" si="4"/>
        <v>0</v>
      </c>
    </row>
    <row r="27" spans="1:21" x14ac:dyDescent="0.25">
      <c r="A27" s="22"/>
      <c r="B27" s="785" t="s">
        <v>536</v>
      </c>
      <c r="C27" s="786"/>
      <c r="D27" s="786"/>
      <c r="E27" s="787"/>
      <c r="F27" s="206">
        <f>27*(3/(0.19+0.01))</f>
        <v>405</v>
      </c>
      <c r="G27" s="206" t="str">
        <f>IF(F27=0,"",VLOOKUP(B27,'LISTADO DE MATERIALES'!$B$6:$D$311,2,FALSE))</f>
        <v>und</v>
      </c>
      <c r="H27" s="306">
        <v>0.05</v>
      </c>
      <c r="I27" s="305">
        <f>IF(F27=0,"",VLOOKUP(B27,'LISTADO DE MATERIALES'!$B$6:$D$311,3,FALSE))</f>
        <v>3950</v>
      </c>
      <c r="J27" s="181">
        <f t="shared" si="3"/>
        <v>1679738</v>
      </c>
      <c r="L27" s="22"/>
      <c r="M27" s="791"/>
      <c r="N27" s="792"/>
      <c r="O27" s="792"/>
      <c r="P27" s="793"/>
      <c r="Q27" s="180"/>
      <c r="R27" s="206" t="s">
        <v>501</v>
      </c>
      <c r="S27" s="209"/>
      <c r="T27" s="181" t="s">
        <v>501</v>
      </c>
      <c r="U27" s="181">
        <f t="shared" si="4"/>
        <v>0</v>
      </c>
    </row>
    <row r="28" spans="1:21" x14ac:dyDescent="0.25">
      <c r="A28" s="22"/>
      <c r="B28" s="785" t="s">
        <v>540</v>
      </c>
      <c r="C28" s="786"/>
      <c r="D28" s="786"/>
      <c r="E28" s="787"/>
      <c r="F28" s="180">
        <f>(K62*F27)</f>
        <v>0.72252000000000005</v>
      </c>
      <c r="G28" s="206" t="s">
        <v>261</v>
      </c>
      <c r="H28" s="306">
        <v>0.1</v>
      </c>
      <c r="I28" s="305">
        <f>+'APU BÁSICOS'!J269</f>
        <v>718979</v>
      </c>
      <c r="J28" s="181">
        <f t="shared" si="3"/>
        <v>571424</v>
      </c>
      <c r="L28" s="22"/>
      <c r="M28" s="785"/>
      <c r="N28" s="786"/>
      <c r="O28" s="786"/>
      <c r="P28" s="787"/>
      <c r="Q28" s="180"/>
      <c r="R28" s="206" t="s">
        <v>501</v>
      </c>
      <c r="S28" s="209"/>
      <c r="T28" s="181" t="s">
        <v>501</v>
      </c>
      <c r="U28" s="181"/>
    </row>
    <row r="29" spans="1:21" x14ac:dyDescent="0.25">
      <c r="A29" s="22"/>
      <c r="B29" s="791" t="s">
        <v>541</v>
      </c>
      <c r="C29" s="792"/>
      <c r="D29" s="792"/>
      <c r="E29" s="793"/>
      <c r="F29" s="180">
        <f>+K68</f>
        <v>2.2440000000000002</v>
      </c>
      <c r="G29" s="206" t="s">
        <v>261</v>
      </c>
      <c r="H29" s="209">
        <v>0.1</v>
      </c>
      <c r="I29" s="181">
        <f>+'APU BÁSICOS'!J269</f>
        <v>718979</v>
      </c>
      <c r="J29" s="181">
        <f>IF(I29="",0,ROUND((+F29*I29*(1+H29)),0))</f>
        <v>1774728</v>
      </c>
      <c r="L29" s="22"/>
      <c r="M29" s="772" t="s">
        <v>37</v>
      </c>
      <c r="N29" s="772"/>
      <c r="O29" s="772"/>
      <c r="P29" s="772"/>
      <c r="Q29" s="772"/>
      <c r="R29" s="772"/>
      <c r="S29" s="772"/>
      <c r="T29" s="772"/>
      <c r="U29" s="181">
        <f>SUM(U21:U28)</f>
        <v>18500000</v>
      </c>
    </row>
    <row r="30" spans="1:21" ht="15" customHeight="1" x14ac:dyDescent="0.25">
      <c r="A30" s="22"/>
      <c r="B30" s="791" t="s">
        <v>551</v>
      </c>
      <c r="C30" s="792"/>
      <c r="D30" s="792"/>
      <c r="E30" s="793"/>
      <c r="F30" s="180">
        <f>+((3.5*3.6)+(0.9*2.55)-(0.35*0.35*5)-(2.2*0.35)-(2.3*0.35)-(0.8*2.3)-(1.25*3.2)-(0.3*3.2)-(0.8*0.35)-(0.4*0.35)-(0.3*1.25))*0.05</f>
        <v>0.25562499999999999</v>
      </c>
      <c r="G30" s="206" t="s">
        <v>261</v>
      </c>
      <c r="H30" s="209">
        <v>0.1</v>
      </c>
      <c r="I30" s="181">
        <f>+'APU BÁSICOS'!J137</f>
        <v>879842</v>
      </c>
      <c r="J30" s="181">
        <f t="shared" ref="J30:J35" si="5">IF(I30="",0,ROUND((+F30*I30*(1+H30)),0))</f>
        <v>247401</v>
      </c>
      <c r="L30" s="22"/>
      <c r="M30" s="25"/>
      <c r="N30" s="25"/>
      <c r="O30" s="25"/>
      <c r="P30" s="25"/>
      <c r="Q30" s="25"/>
      <c r="R30" s="25"/>
      <c r="S30" s="25"/>
      <c r="T30" s="25"/>
      <c r="U30" s="26"/>
    </row>
    <row r="31" spans="1:21" ht="15" customHeight="1" x14ac:dyDescent="0.25">
      <c r="A31" s="22"/>
      <c r="B31" s="791" t="s">
        <v>552</v>
      </c>
      <c r="C31" s="792"/>
      <c r="D31" s="792"/>
      <c r="E31" s="793"/>
      <c r="F31" s="180">
        <f>+((3.5*3.6)+(2.55*0.9))*0.15</f>
        <v>2.2342499999999998</v>
      </c>
      <c r="G31" s="206" t="s">
        <v>261</v>
      </c>
      <c r="H31" s="209">
        <v>0.1</v>
      </c>
      <c r="I31" s="181">
        <f>+'APU BÁSICOS'!J137</f>
        <v>879842</v>
      </c>
      <c r="J31" s="181">
        <f t="shared" si="5"/>
        <v>2162366</v>
      </c>
      <c r="L31" s="22"/>
      <c r="M31" s="772" t="s">
        <v>38</v>
      </c>
      <c r="N31" s="772"/>
      <c r="O31" s="772"/>
      <c r="P31" s="772"/>
      <c r="Q31" s="772"/>
      <c r="R31" s="772"/>
      <c r="S31" s="772"/>
      <c r="T31" s="772"/>
      <c r="U31" s="772"/>
    </row>
    <row r="32" spans="1:21" ht="15" customHeight="1" x14ac:dyDescent="0.25">
      <c r="A32" s="22"/>
      <c r="B32" s="791" t="s">
        <v>250</v>
      </c>
      <c r="C32" s="792"/>
      <c r="D32" s="792"/>
      <c r="E32" s="793"/>
      <c r="F32" s="180">
        <f>+F119</f>
        <v>618.42157000000009</v>
      </c>
      <c r="G32" s="206" t="str">
        <f>IF(F32=0,"",VLOOKUP(B32,'LISTADO DE MATERIALES'!$B$6:$D$311,2,FALSE))</f>
        <v>Kg</v>
      </c>
      <c r="H32" s="209">
        <v>0.05</v>
      </c>
      <c r="I32" s="181">
        <f>IF(F32=0,"",VLOOKUP(B32,'LISTADO DE MATERIALES'!$B$6:$D$311,3,FALSE))</f>
        <v>6225</v>
      </c>
      <c r="J32" s="181">
        <f t="shared" si="5"/>
        <v>4042158</v>
      </c>
      <c r="L32" s="22"/>
      <c r="M32" s="774" t="s">
        <v>33</v>
      </c>
      <c r="N32" s="774"/>
      <c r="O32" s="774"/>
      <c r="P32" s="774"/>
      <c r="Q32" s="774"/>
      <c r="R32" s="206" t="s">
        <v>133</v>
      </c>
      <c r="S32" s="206" t="s">
        <v>132</v>
      </c>
      <c r="T32" s="206" t="s">
        <v>39</v>
      </c>
      <c r="U32" s="207" t="s">
        <v>29</v>
      </c>
    </row>
    <row r="33" spans="1:21" ht="15" customHeight="1" x14ac:dyDescent="0.25">
      <c r="A33" s="22"/>
      <c r="B33" s="791" t="s">
        <v>251</v>
      </c>
      <c r="C33" s="792"/>
      <c r="D33" s="792"/>
      <c r="E33" s="793"/>
      <c r="F33" s="180">
        <f>+F32*0.05</f>
        <v>30.921078500000007</v>
      </c>
      <c r="G33" s="206" t="str">
        <f>IF(F33=0,"",VLOOKUP(B33,'LISTADO DE MATERIALES'!$B$6:$D$311,2,FALSE))</f>
        <v>Kg</v>
      </c>
      <c r="H33" s="209">
        <v>0.05</v>
      </c>
      <c r="I33" s="181">
        <f>IF(F33=0,"",VLOOKUP(B33,'LISTADO DE MATERIALES'!$B$6:$D$311,3,FALSE))</f>
        <v>12450</v>
      </c>
      <c r="J33" s="181">
        <f t="shared" si="5"/>
        <v>404216</v>
      </c>
      <c r="L33" s="22"/>
      <c r="M33" s="771"/>
      <c r="N33" s="771"/>
      <c r="O33" s="771"/>
      <c r="P33" s="771"/>
      <c r="Q33" s="771"/>
      <c r="R33" s="206"/>
      <c r="S33" s="180"/>
      <c r="T33" s="181"/>
      <c r="U33" s="181">
        <f>ROUND(T33*S33,0)</f>
        <v>0</v>
      </c>
    </row>
    <row r="34" spans="1:21" ht="30.6" customHeight="1" x14ac:dyDescent="0.25">
      <c r="A34" s="22"/>
      <c r="B34" s="791" t="s">
        <v>508</v>
      </c>
      <c r="C34" s="792"/>
      <c r="D34" s="792"/>
      <c r="E34" s="793"/>
      <c r="F34" s="180">
        <f>+((2.5+2.6+0.95+1.55+3.5+2+1.9+2.9+0.95+0.95+0.9+0.95)/3)+(((3.5+3.5+1.6+1.1+2.55+2.55)+(3.6+3.6+1.05+4+4.5+4.5))/3)</f>
        <v>19.233333333333331</v>
      </c>
      <c r="G34" s="206" t="str">
        <f>IF(F34=0,"",VLOOKUP(B34,'LISTADO DE MATERIALES'!$B$6:$D$311,2,FALSE))</f>
        <v>und</v>
      </c>
      <c r="H34" s="209">
        <v>0.05</v>
      </c>
      <c r="I34" s="181">
        <f>IF(F34=0,"",VLOOKUP(B34,'LISTADO DE MATERIALES'!$B$6:$D$311,3,FALSE))</f>
        <v>25000</v>
      </c>
      <c r="J34" s="181">
        <f t="shared" si="5"/>
        <v>504875</v>
      </c>
      <c r="L34" s="22"/>
      <c r="M34" s="771"/>
      <c r="N34" s="771"/>
      <c r="O34" s="771"/>
      <c r="P34" s="771"/>
      <c r="Q34" s="771"/>
      <c r="R34" s="206"/>
      <c r="S34" s="180"/>
      <c r="T34" s="181"/>
      <c r="U34" s="181">
        <v>0</v>
      </c>
    </row>
    <row r="35" spans="1:21" ht="15" customHeight="1" x14ac:dyDescent="0.25">
      <c r="A35" s="22"/>
      <c r="B35" s="791" t="s">
        <v>145</v>
      </c>
      <c r="C35" s="792"/>
      <c r="D35" s="792"/>
      <c r="E35" s="793"/>
      <c r="F35" s="180">
        <f>28/2</f>
        <v>14</v>
      </c>
      <c r="G35" s="206" t="str">
        <f>IF(F35=0,"",VLOOKUP(B35,'LISTADO DE MATERIALES'!$B$6:$D$311,2,FALSE))</f>
        <v>und</v>
      </c>
      <c r="H35" s="209">
        <v>0.05</v>
      </c>
      <c r="I35" s="181">
        <f>IF(F35=0,"",VLOOKUP(B35,'LISTADO DE MATERIALES'!$B$6:$D$311,3,FALSE))</f>
        <v>60000</v>
      </c>
      <c r="J35" s="181">
        <f t="shared" si="5"/>
        <v>882000</v>
      </c>
      <c r="L35" s="22"/>
      <c r="M35" s="771"/>
      <c r="N35" s="771"/>
      <c r="O35" s="771"/>
      <c r="P35" s="771"/>
      <c r="Q35" s="771"/>
      <c r="R35" s="206"/>
      <c r="S35" s="180"/>
      <c r="T35" s="181"/>
      <c r="U35" s="181">
        <v>0</v>
      </c>
    </row>
    <row r="36" spans="1:21" ht="15" customHeight="1" x14ac:dyDescent="0.25">
      <c r="A36" s="22"/>
      <c r="B36" s="785"/>
      <c r="C36" s="786"/>
      <c r="D36" s="786"/>
      <c r="E36" s="787"/>
      <c r="F36" s="180"/>
      <c r="G36" s="206" t="s">
        <v>501</v>
      </c>
      <c r="H36" s="209"/>
      <c r="I36" s="181" t="s">
        <v>501</v>
      </c>
      <c r="J36" s="181"/>
      <c r="L36" s="22"/>
      <c r="M36" s="771"/>
      <c r="N36" s="771"/>
      <c r="O36" s="771"/>
      <c r="P36" s="771"/>
      <c r="Q36" s="771"/>
      <c r="R36" s="206"/>
      <c r="S36" s="206"/>
      <c r="T36" s="181"/>
      <c r="U36" s="181">
        <v>0</v>
      </c>
    </row>
    <row r="37" spans="1:21" ht="15" customHeight="1" x14ac:dyDescent="0.25">
      <c r="A37" s="22"/>
      <c r="B37" s="772" t="s">
        <v>37</v>
      </c>
      <c r="C37" s="772"/>
      <c r="D37" s="772"/>
      <c r="E37" s="772"/>
      <c r="F37" s="772"/>
      <c r="G37" s="772"/>
      <c r="H37" s="772"/>
      <c r="I37" s="772"/>
      <c r="J37" s="181">
        <f>SUM(J21:J36)</f>
        <v>14180035</v>
      </c>
      <c r="L37" s="22"/>
      <c r="M37" s="772" t="s">
        <v>40</v>
      </c>
      <c r="N37" s="772"/>
      <c r="O37" s="772"/>
      <c r="P37" s="772"/>
      <c r="Q37" s="772"/>
      <c r="R37" s="772"/>
      <c r="S37" s="772"/>
      <c r="T37" s="772"/>
      <c r="U37" s="181">
        <f>SUM(U33:U36)</f>
        <v>0</v>
      </c>
    </row>
    <row r="38" spans="1:21" ht="7.5" customHeight="1" x14ac:dyDescent="0.25">
      <c r="A38" s="22"/>
      <c r="B38" s="25"/>
      <c r="C38" s="25"/>
      <c r="D38" s="25"/>
      <c r="E38" s="25"/>
      <c r="F38" s="25"/>
      <c r="G38" s="25"/>
      <c r="H38" s="25"/>
      <c r="I38" s="25"/>
      <c r="J38" s="26"/>
      <c r="L38" s="22"/>
      <c r="M38" s="25"/>
      <c r="N38" s="25"/>
      <c r="O38" s="25"/>
      <c r="P38" s="25"/>
      <c r="Q38" s="25"/>
      <c r="R38" s="25"/>
      <c r="S38" s="25"/>
      <c r="T38" s="25"/>
      <c r="U38" s="26"/>
    </row>
    <row r="39" spans="1:21" ht="15" customHeight="1" x14ac:dyDescent="0.25">
      <c r="A39" s="22"/>
      <c r="B39" s="772" t="s">
        <v>38</v>
      </c>
      <c r="C39" s="772"/>
      <c r="D39" s="772"/>
      <c r="E39" s="772"/>
      <c r="F39" s="772"/>
      <c r="G39" s="772"/>
      <c r="H39" s="772"/>
      <c r="I39" s="772"/>
      <c r="J39" s="772"/>
      <c r="L39" s="22"/>
      <c r="M39" s="772" t="s">
        <v>41</v>
      </c>
      <c r="N39" s="772"/>
      <c r="O39" s="772"/>
      <c r="P39" s="772"/>
      <c r="Q39" s="772"/>
      <c r="R39" s="772"/>
      <c r="S39" s="772"/>
      <c r="T39" s="772"/>
      <c r="U39" s="772"/>
    </row>
    <row r="40" spans="1:21" ht="39.6" x14ac:dyDescent="0.25">
      <c r="A40" s="22"/>
      <c r="B40" s="774" t="s">
        <v>33</v>
      </c>
      <c r="C40" s="774"/>
      <c r="D40" s="774"/>
      <c r="E40" s="774"/>
      <c r="F40" s="774"/>
      <c r="G40" s="206" t="s">
        <v>133</v>
      </c>
      <c r="H40" s="206" t="s">
        <v>132</v>
      </c>
      <c r="I40" s="206" t="s">
        <v>39</v>
      </c>
      <c r="J40" s="207" t="s">
        <v>29</v>
      </c>
      <c r="L40" s="22"/>
      <c r="M40" s="774" t="s">
        <v>4</v>
      </c>
      <c r="N40" s="774"/>
      <c r="O40" s="774"/>
      <c r="P40" s="774"/>
      <c r="Q40" s="774"/>
      <c r="R40" s="207" t="s">
        <v>51</v>
      </c>
      <c r="S40" s="207" t="s">
        <v>19</v>
      </c>
      <c r="T40" s="207" t="s">
        <v>28</v>
      </c>
      <c r="U40" s="207" t="s">
        <v>29</v>
      </c>
    </row>
    <row r="41" spans="1:21" ht="15" customHeight="1" x14ac:dyDescent="0.25">
      <c r="A41" s="22"/>
      <c r="B41" s="771" t="s">
        <v>510</v>
      </c>
      <c r="C41" s="771"/>
      <c r="D41" s="771"/>
      <c r="E41" s="771"/>
      <c r="F41" s="771"/>
      <c r="G41" s="180">
        <f>+F21*1.3</f>
        <v>2.3693149999999998</v>
      </c>
      <c r="H41" s="180">
        <v>10.5</v>
      </c>
      <c r="I41" s="181">
        <f>+'8.01'!J45</f>
        <v>1667</v>
      </c>
      <c r="J41" s="181">
        <f>ROUND(I41*H41,0)</f>
        <v>17504</v>
      </c>
      <c r="L41" s="22"/>
      <c r="M41" s="771" t="s">
        <v>72</v>
      </c>
      <c r="N41" s="771"/>
      <c r="O41" s="771"/>
      <c r="P41" s="771"/>
      <c r="Q41" s="771"/>
      <c r="R41" s="181">
        <v>707461.8</v>
      </c>
      <c r="S41" s="206">
        <v>1</v>
      </c>
      <c r="T41" s="180">
        <f>1/3</f>
        <v>0.33333333333333331</v>
      </c>
      <c r="U41" s="181">
        <f>ROUND(+IF(T41=0,0,R41*S41/T41),0)</f>
        <v>2122385</v>
      </c>
    </row>
    <row r="42" spans="1:21" ht="15" customHeight="1" x14ac:dyDescent="0.25">
      <c r="A42" s="22"/>
      <c r="B42" s="771"/>
      <c r="C42" s="771"/>
      <c r="D42" s="771"/>
      <c r="E42" s="771"/>
      <c r="F42" s="771"/>
      <c r="G42" s="206"/>
      <c r="H42" s="180"/>
      <c r="I42" s="181"/>
      <c r="J42" s="181">
        <v>0</v>
      </c>
      <c r="L42" s="22"/>
      <c r="M42" s="771"/>
      <c r="N42" s="771"/>
      <c r="O42" s="771"/>
      <c r="P42" s="771"/>
      <c r="Q42" s="771"/>
      <c r="R42" s="181" t="s">
        <v>501</v>
      </c>
      <c r="S42" s="206"/>
      <c r="T42" s="180"/>
      <c r="U42" s="181">
        <f>ROUND(+IF(T42=0,0,R42*S42/T42),0)</f>
        <v>0</v>
      </c>
    </row>
    <row r="43" spans="1:21" ht="15" customHeight="1" x14ac:dyDescent="0.25">
      <c r="A43" s="22"/>
      <c r="B43" s="771"/>
      <c r="C43" s="771"/>
      <c r="D43" s="771"/>
      <c r="E43" s="771"/>
      <c r="F43" s="771"/>
      <c r="G43" s="206"/>
      <c r="H43" s="180"/>
      <c r="I43" s="181"/>
      <c r="J43" s="181">
        <v>0</v>
      </c>
      <c r="L43" s="22"/>
      <c r="M43" s="771"/>
      <c r="N43" s="771"/>
      <c r="O43" s="771"/>
      <c r="P43" s="771"/>
      <c r="Q43" s="771"/>
      <c r="R43" s="181" t="s">
        <v>501</v>
      </c>
      <c r="S43" s="206"/>
      <c r="T43" s="180"/>
      <c r="U43" s="181">
        <f>ROUND(+IF(T43=0,0,R43*S43/T43),0)</f>
        <v>0</v>
      </c>
    </row>
    <row r="44" spans="1:21" ht="15" customHeight="1" x14ac:dyDescent="0.25">
      <c r="A44" s="22"/>
      <c r="B44" s="771"/>
      <c r="C44" s="771"/>
      <c r="D44" s="771"/>
      <c r="E44" s="771"/>
      <c r="F44" s="771"/>
      <c r="G44" s="206"/>
      <c r="H44" s="206"/>
      <c r="I44" s="181"/>
      <c r="J44" s="181">
        <v>0</v>
      </c>
      <c r="L44" s="22"/>
      <c r="M44" s="771"/>
      <c r="N44" s="771"/>
      <c r="O44" s="771"/>
      <c r="P44" s="771"/>
      <c r="Q44" s="771"/>
      <c r="R44" s="181"/>
      <c r="S44" s="206"/>
      <c r="T44" s="180"/>
      <c r="U44" s="181">
        <f>ROUND(+IF(T44=0,0,R44*S44/T44),0)</f>
        <v>0</v>
      </c>
    </row>
    <row r="45" spans="1:21" ht="15" customHeight="1" x14ac:dyDescent="0.25">
      <c r="A45" s="22"/>
      <c r="B45" s="772" t="s">
        <v>40</v>
      </c>
      <c r="C45" s="772"/>
      <c r="D45" s="772"/>
      <c r="E45" s="772"/>
      <c r="F45" s="772"/>
      <c r="G45" s="772"/>
      <c r="H45" s="772"/>
      <c r="I45" s="772"/>
      <c r="J45" s="181">
        <f>SUM(J41:J44)</f>
        <v>17504</v>
      </c>
      <c r="L45" s="22"/>
      <c r="M45" s="771"/>
      <c r="N45" s="771"/>
      <c r="O45" s="771"/>
      <c r="P45" s="771"/>
      <c r="Q45" s="771"/>
      <c r="R45" s="181" t="s">
        <v>501</v>
      </c>
      <c r="S45" s="206"/>
      <c r="T45" s="180"/>
      <c r="U45" s="181">
        <f t="shared" ref="U45" si="6">+IF(T45=0,0,R45*S45/T45)</f>
        <v>0</v>
      </c>
    </row>
    <row r="46" spans="1:21" ht="7.5" customHeight="1" x14ac:dyDescent="0.25">
      <c r="A46" s="22"/>
      <c r="B46" s="25"/>
      <c r="C46" s="25"/>
      <c r="D46" s="25"/>
      <c r="E46" s="25"/>
      <c r="F46" s="25"/>
      <c r="G46" s="25"/>
      <c r="H46" s="25"/>
      <c r="I46" s="25"/>
      <c r="J46" s="26"/>
      <c r="L46" s="22"/>
      <c r="M46" s="772" t="s">
        <v>42</v>
      </c>
      <c r="N46" s="772"/>
      <c r="O46" s="772"/>
      <c r="P46" s="772"/>
      <c r="Q46" s="772"/>
      <c r="R46" s="772"/>
      <c r="S46" s="772"/>
      <c r="T46" s="772"/>
      <c r="U46" s="181">
        <f>SUM(U41:U45)</f>
        <v>2122385</v>
      </c>
    </row>
    <row r="47" spans="1:21" ht="15" customHeight="1" x14ac:dyDescent="0.25">
      <c r="A47" s="22"/>
      <c r="B47" s="772" t="s">
        <v>41</v>
      </c>
      <c r="C47" s="772"/>
      <c r="D47" s="772"/>
      <c r="E47" s="772"/>
      <c r="F47" s="772"/>
      <c r="G47" s="772"/>
      <c r="H47" s="772"/>
      <c r="I47" s="772"/>
      <c r="J47" s="772"/>
      <c r="L47" s="27"/>
      <c r="M47" s="25"/>
      <c r="N47" s="25"/>
      <c r="O47" s="25"/>
      <c r="P47" s="25"/>
      <c r="Q47" s="25"/>
      <c r="R47" s="25"/>
      <c r="S47" s="25"/>
      <c r="T47" s="25"/>
      <c r="U47" s="26"/>
    </row>
    <row r="48" spans="1:21" ht="26.4" x14ac:dyDescent="0.25">
      <c r="A48" s="22"/>
      <c r="B48" s="774" t="s">
        <v>4</v>
      </c>
      <c r="C48" s="774"/>
      <c r="D48" s="774"/>
      <c r="E48" s="774"/>
      <c r="F48" s="774"/>
      <c r="G48" s="207" t="s">
        <v>51</v>
      </c>
      <c r="H48" s="207" t="s">
        <v>19</v>
      </c>
      <c r="I48" s="207" t="s">
        <v>28</v>
      </c>
      <c r="J48" s="207" t="s">
        <v>29</v>
      </c>
      <c r="M48" s="773" t="s">
        <v>43</v>
      </c>
      <c r="N48" s="773"/>
      <c r="O48" s="773"/>
      <c r="P48" s="773"/>
      <c r="Q48" s="773"/>
      <c r="R48" s="773"/>
      <c r="S48" s="773"/>
      <c r="T48" s="773"/>
      <c r="U48" s="210">
        <f>+U46+U37+U17+U29</f>
        <v>20728504</v>
      </c>
    </row>
    <row r="49" spans="1:12" ht="15" customHeight="1" x14ac:dyDescent="0.25">
      <c r="A49" s="22"/>
      <c r="B49" s="771" t="s">
        <v>72</v>
      </c>
      <c r="C49" s="771"/>
      <c r="D49" s="771"/>
      <c r="E49" s="771"/>
      <c r="F49" s="771"/>
      <c r="G49" s="181">
        <v>707461.8</v>
      </c>
      <c r="H49" s="206">
        <v>1</v>
      </c>
      <c r="I49" s="180">
        <f>1/15</f>
        <v>6.6666666666666666E-2</v>
      </c>
      <c r="J49" s="181">
        <f>ROUND(+IF(I49=0,0,G49*H49/I49),0)</f>
        <v>10611927</v>
      </c>
    </row>
    <row r="50" spans="1:12" ht="15" customHeight="1" x14ac:dyDescent="0.25">
      <c r="A50" s="22"/>
      <c r="B50" s="771"/>
      <c r="C50" s="771"/>
      <c r="D50" s="771"/>
      <c r="E50" s="771"/>
      <c r="F50" s="771"/>
      <c r="G50" s="181" t="s">
        <v>501</v>
      </c>
      <c r="H50" s="206"/>
      <c r="I50" s="180"/>
      <c r="J50" s="181">
        <f>ROUND(+IF(I50=0,0,G50*H50/I50),0)</f>
        <v>0</v>
      </c>
    </row>
    <row r="51" spans="1:12" ht="15" customHeight="1" x14ac:dyDescent="0.25">
      <c r="A51" s="22"/>
      <c r="B51" s="771"/>
      <c r="C51" s="771"/>
      <c r="D51" s="771"/>
      <c r="E51" s="771"/>
      <c r="F51" s="771"/>
      <c r="G51" s="181" t="s">
        <v>501</v>
      </c>
      <c r="H51" s="206"/>
      <c r="I51" s="180"/>
      <c r="J51" s="181">
        <f>ROUND(+IF(I51=0,0,G51*H51/I51),0)</f>
        <v>0</v>
      </c>
    </row>
    <row r="52" spans="1:12" ht="15" customHeight="1" x14ac:dyDescent="0.25">
      <c r="A52" s="22"/>
      <c r="B52" s="771"/>
      <c r="C52" s="771"/>
      <c r="D52" s="771"/>
      <c r="E52" s="771"/>
      <c r="F52" s="771"/>
      <c r="G52" s="181"/>
      <c r="H52" s="206"/>
      <c r="I52" s="180"/>
      <c r="J52" s="181">
        <f>ROUND(+IF(I52=0,0,G52*H52/I52),0)</f>
        <v>0</v>
      </c>
    </row>
    <row r="53" spans="1:12" ht="15" customHeight="1" x14ac:dyDescent="0.25">
      <c r="A53" s="22"/>
      <c r="B53" s="771"/>
      <c r="C53" s="771"/>
      <c r="D53" s="771"/>
      <c r="E53" s="771"/>
      <c r="F53" s="771"/>
      <c r="G53" s="181" t="s">
        <v>501</v>
      </c>
      <c r="H53" s="206"/>
      <c r="I53" s="180"/>
      <c r="J53" s="181">
        <f t="shared" ref="J53" si="7">+IF(I53=0,0,G53*H53/I53)</f>
        <v>0</v>
      </c>
    </row>
    <row r="54" spans="1:12" ht="15" customHeight="1" x14ac:dyDescent="0.25">
      <c r="A54" s="22"/>
      <c r="B54" s="772" t="s">
        <v>42</v>
      </c>
      <c r="C54" s="772"/>
      <c r="D54" s="772"/>
      <c r="E54" s="772"/>
      <c r="F54" s="772"/>
      <c r="G54" s="772"/>
      <c r="H54" s="772"/>
      <c r="I54" s="772"/>
      <c r="J54" s="181">
        <f>SUM(J49:J53)</f>
        <v>10611927</v>
      </c>
    </row>
    <row r="55" spans="1:12" ht="7.5" customHeight="1" x14ac:dyDescent="0.25">
      <c r="A55" s="22"/>
      <c r="B55" s="25"/>
      <c r="C55" s="25"/>
      <c r="D55" s="25"/>
      <c r="E55" s="25"/>
      <c r="F55" s="25"/>
      <c r="G55" s="25"/>
      <c r="H55" s="25"/>
      <c r="I55" s="25"/>
      <c r="J55" s="26"/>
    </row>
    <row r="56" spans="1:12" ht="15.75" customHeight="1" x14ac:dyDescent="0.25">
      <c r="A56" s="27"/>
      <c r="B56" s="773" t="s">
        <v>43</v>
      </c>
      <c r="C56" s="773"/>
      <c r="D56" s="773"/>
      <c r="E56" s="773"/>
      <c r="F56" s="773"/>
      <c r="G56" s="773"/>
      <c r="H56" s="773"/>
      <c r="I56" s="773"/>
      <c r="J56" s="210">
        <f>+J54+J45+J17+J37</f>
        <v>25340062</v>
      </c>
    </row>
    <row r="57" spans="1:12" x14ac:dyDescent="0.25">
      <c r="B57" s="21"/>
      <c r="C57" s="21"/>
      <c r="D57" s="21"/>
      <c r="E57" s="21"/>
      <c r="F57" s="21"/>
      <c r="G57" s="21"/>
      <c r="H57" s="21"/>
      <c r="I57" s="21"/>
      <c r="J57" s="21"/>
    </row>
    <row r="59" spans="1:12" x14ac:dyDescent="0.25">
      <c r="E59" s="801" t="s">
        <v>516</v>
      </c>
      <c r="F59" s="802"/>
      <c r="G59" s="802"/>
      <c r="H59" s="803"/>
      <c r="J59" s="769" t="s">
        <v>542</v>
      </c>
      <c r="K59" s="769"/>
      <c r="L59" s="769"/>
    </row>
    <row r="60" spans="1:12" x14ac:dyDescent="0.25">
      <c r="E60" s="801" t="s">
        <v>532</v>
      </c>
      <c r="F60" s="802"/>
      <c r="G60" s="802"/>
      <c r="H60" s="803"/>
      <c r="J60" s="307" t="s">
        <v>538</v>
      </c>
      <c r="K60" s="308">
        <f>+(0.14+0.39+0.14+0.39+0.14)*0.015*0.02*2</f>
        <v>7.2000000000000005E-4</v>
      </c>
      <c r="L60" s="277" t="s">
        <v>261</v>
      </c>
    </row>
    <row r="61" spans="1:12" x14ac:dyDescent="0.25">
      <c r="E61" s="296" t="s">
        <v>533</v>
      </c>
      <c r="H61" s="23"/>
      <c r="J61" s="307" t="s">
        <v>537</v>
      </c>
      <c r="K61" s="277">
        <f>0.19*0.14*0.02*2</f>
        <v>1.0640000000000001E-3</v>
      </c>
      <c r="L61" s="277" t="s">
        <v>261</v>
      </c>
    </row>
    <row r="62" spans="1:12" x14ac:dyDescent="0.25">
      <c r="E62" s="296" t="s">
        <v>518</v>
      </c>
      <c r="F62" s="279">
        <f>+(2.5+2.6+1.25+1.2+1.55+3.5)*4</f>
        <v>50.4</v>
      </c>
      <c r="G62" s="20" t="s">
        <v>190</v>
      </c>
      <c r="H62" s="23"/>
      <c r="J62" s="307" t="s">
        <v>71</v>
      </c>
      <c r="K62" s="310">
        <f>+SUM(K60:K61)</f>
        <v>1.784E-3</v>
      </c>
      <c r="L62" s="307" t="s">
        <v>261</v>
      </c>
    </row>
    <row r="63" spans="1:12" x14ac:dyDescent="0.25">
      <c r="E63" s="296" t="s">
        <v>519</v>
      </c>
      <c r="F63" s="279">
        <f>+F62*0.994</f>
        <v>50.0976</v>
      </c>
      <c r="G63" s="20" t="s">
        <v>181</v>
      </c>
      <c r="H63" s="23"/>
    </row>
    <row r="64" spans="1:12" x14ac:dyDescent="0.25">
      <c r="E64" s="22"/>
      <c r="H64" s="23"/>
      <c r="J64" s="801" t="s">
        <v>543</v>
      </c>
      <c r="K64" s="802"/>
      <c r="L64" s="803"/>
    </row>
    <row r="65" spans="5:12" x14ac:dyDescent="0.25">
      <c r="E65" s="296" t="s">
        <v>534</v>
      </c>
      <c r="H65" s="23"/>
      <c r="J65" s="307" t="s">
        <v>544</v>
      </c>
      <c r="K65" s="308">
        <f>0.1*0.17*2</f>
        <v>3.4000000000000002E-2</v>
      </c>
      <c r="L65" s="277" t="s">
        <v>436</v>
      </c>
    </row>
    <row r="66" spans="5:12" x14ac:dyDescent="0.25">
      <c r="E66" s="296" t="s">
        <v>518</v>
      </c>
      <c r="F66" s="279">
        <f>+(ROUND((2.5+2.6+1.25+1.2+1.55+3.5)/0.15,0)+1)*0.91</f>
        <v>77.350000000000009</v>
      </c>
      <c r="G66" s="20" t="s">
        <v>190</v>
      </c>
      <c r="H66" s="23"/>
      <c r="J66" s="307" t="s">
        <v>545</v>
      </c>
      <c r="K66" s="277">
        <v>3</v>
      </c>
      <c r="L66" s="277" t="s">
        <v>190</v>
      </c>
    </row>
    <row r="67" spans="5:12" x14ac:dyDescent="0.25">
      <c r="E67" s="297" t="s">
        <v>519</v>
      </c>
      <c r="F67" s="298">
        <f>+F66*0.559</f>
        <v>43.238650000000007</v>
      </c>
      <c r="G67" s="299" t="s">
        <v>181</v>
      </c>
      <c r="H67" s="300"/>
      <c r="J67" s="307" t="s">
        <v>546</v>
      </c>
      <c r="K67" s="277">
        <v>22</v>
      </c>
      <c r="L67" s="277" t="s">
        <v>9</v>
      </c>
    </row>
    <row r="68" spans="5:12" x14ac:dyDescent="0.25">
      <c r="J68" s="307" t="s">
        <v>71</v>
      </c>
      <c r="K68" s="309">
        <f>+K65*K66*K67</f>
        <v>2.2440000000000002</v>
      </c>
      <c r="L68" s="307" t="s">
        <v>261</v>
      </c>
    </row>
    <row r="69" spans="5:12" x14ac:dyDescent="0.25">
      <c r="E69" s="801" t="s">
        <v>539</v>
      </c>
      <c r="F69" s="802"/>
      <c r="G69" s="802"/>
      <c r="H69" s="803"/>
    </row>
    <row r="70" spans="5:12" x14ac:dyDescent="0.25">
      <c r="E70" s="296" t="s">
        <v>547</v>
      </c>
      <c r="H70" s="23"/>
    </row>
    <row r="71" spans="5:12" x14ac:dyDescent="0.25">
      <c r="E71" s="296" t="s">
        <v>518</v>
      </c>
      <c r="F71" s="279">
        <f>(1.75+0.75+(3-(1.75-0.15-0.2)+0.15))*22</f>
        <v>93.5</v>
      </c>
      <c r="G71" s="20" t="s">
        <v>190</v>
      </c>
      <c r="H71" s="23"/>
    </row>
    <row r="72" spans="5:12" x14ac:dyDescent="0.25">
      <c r="E72" s="296" t="s">
        <v>519</v>
      </c>
      <c r="F72" s="279">
        <f>+F71*0.994</f>
        <v>92.938999999999993</v>
      </c>
      <c r="G72" s="20" t="s">
        <v>181</v>
      </c>
      <c r="H72" s="23"/>
    </row>
    <row r="73" spans="5:12" x14ac:dyDescent="0.25">
      <c r="E73" s="22"/>
      <c r="H73" s="23"/>
    </row>
    <row r="74" spans="5:12" x14ac:dyDescent="0.25">
      <c r="E74" s="296" t="s">
        <v>548</v>
      </c>
      <c r="H74" s="23"/>
    </row>
    <row r="75" spans="5:12" x14ac:dyDescent="0.25">
      <c r="E75" s="296" t="s">
        <v>518</v>
      </c>
      <c r="F75" s="279">
        <f>+((2.5+2.6+1.1+1.05+1.55+3.5)*2)+(6*4*0.1)</f>
        <v>27</v>
      </c>
      <c r="G75" s="20" t="s">
        <v>190</v>
      </c>
      <c r="H75" s="23"/>
    </row>
    <row r="76" spans="5:12" x14ac:dyDescent="0.25">
      <c r="E76" s="296" t="s">
        <v>519</v>
      </c>
      <c r="F76" s="279">
        <f>+F75*0.16</f>
        <v>4.32</v>
      </c>
      <c r="G76" s="20" t="s">
        <v>181</v>
      </c>
      <c r="H76" s="23"/>
    </row>
    <row r="77" spans="5:12" x14ac:dyDescent="0.25">
      <c r="E77" s="296"/>
      <c r="F77" s="279"/>
      <c r="H77" s="23"/>
    </row>
    <row r="78" spans="5:12" x14ac:dyDescent="0.25">
      <c r="E78" s="296" t="s">
        <v>549</v>
      </c>
      <c r="F78" s="279"/>
      <c r="H78" s="23"/>
    </row>
    <row r="79" spans="5:12" x14ac:dyDescent="0.25">
      <c r="E79" s="296" t="s">
        <v>518</v>
      </c>
      <c r="F79" s="279">
        <f>+(0.13+0.35+0.13+0.35+0.07+0.07)*11</f>
        <v>12.100000000000001</v>
      </c>
      <c r="G79" s="20" t="s">
        <v>190</v>
      </c>
      <c r="H79" s="23"/>
    </row>
    <row r="80" spans="5:12" x14ac:dyDescent="0.25">
      <c r="E80" s="296" t="s">
        <v>519</v>
      </c>
      <c r="F80" s="279">
        <f>+F79*0.16</f>
        <v>1.9360000000000002</v>
      </c>
      <c r="G80" s="20" t="s">
        <v>181</v>
      </c>
      <c r="H80" s="23"/>
    </row>
    <row r="81" spans="5:8" x14ac:dyDescent="0.25">
      <c r="E81" s="296"/>
      <c r="F81" s="279"/>
      <c r="H81" s="23"/>
    </row>
    <row r="82" spans="5:8" x14ac:dyDescent="0.25">
      <c r="E82" s="296" t="s">
        <v>550</v>
      </c>
      <c r="F82" s="279"/>
      <c r="H82" s="23"/>
    </row>
    <row r="83" spans="5:8" x14ac:dyDescent="0.25">
      <c r="E83" s="296" t="s">
        <v>518</v>
      </c>
      <c r="F83" s="279">
        <f>+(((2.5+2.6+1.1+1.05+1.55+3.5)/0.4)+1)*0.13</f>
        <v>4.1274999999999995</v>
      </c>
      <c r="G83" s="20" t="s">
        <v>190</v>
      </c>
      <c r="H83" s="23"/>
    </row>
    <row r="84" spans="5:8" x14ac:dyDescent="0.25">
      <c r="E84" s="297" t="s">
        <v>519</v>
      </c>
      <c r="F84" s="298">
        <f>+F83*0.12</f>
        <v>0.49529999999999991</v>
      </c>
      <c r="G84" s="299" t="s">
        <v>181</v>
      </c>
      <c r="H84" s="300"/>
    </row>
    <row r="85" spans="5:8" x14ac:dyDescent="0.25">
      <c r="E85" s="117"/>
      <c r="F85" s="279"/>
    </row>
    <row r="86" spans="5:8" x14ac:dyDescent="0.25">
      <c r="E86" s="801" t="s">
        <v>553</v>
      </c>
      <c r="F86" s="802"/>
      <c r="G86" s="802"/>
      <c r="H86" s="803"/>
    </row>
    <row r="87" spans="5:8" x14ac:dyDescent="0.25">
      <c r="E87" s="296" t="s">
        <v>533</v>
      </c>
      <c r="H87" s="23"/>
    </row>
    <row r="88" spans="5:8" x14ac:dyDescent="0.25">
      <c r="E88" s="296" t="s">
        <v>518</v>
      </c>
      <c r="F88" s="279">
        <f>+((3.5+3.5+1.6+1.1+2.55+2.55)+(3.6+3.6+1.05+4+4.5+4.5))*4</f>
        <v>144.19999999999999</v>
      </c>
      <c r="G88" s="20" t="s">
        <v>190</v>
      </c>
      <c r="H88" s="23"/>
    </row>
    <row r="89" spans="5:8" x14ac:dyDescent="0.25">
      <c r="E89" s="296" t="s">
        <v>519</v>
      </c>
      <c r="F89" s="279">
        <f>+F88*0.994</f>
        <v>143.3348</v>
      </c>
      <c r="G89" s="20" t="s">
        <v>181</v>
      </c>
      <c r="H89" s="23"/>
    </row>
    <row r="90" spans="5:8" x14ac:dyDescent="0.25">
      <c r="E90" s="22"/>
      <c r="H90" s="23"/>
    </row>
    <row r="91" spans="5:8" x14ac:dyDescent="0.25">
      <c r="E91" s="296" t="s">
        <v>534</v>
      </c>
      <c r="H91" s="23"/>
    </row>
    <row r="92" spans="5:8" x14ac:dyDescent="0.25">
      <c r="E92" s="296" t="s">
        <v>518</v>
      </c>
      <c r="F92" s="279">
        <f>+ROUND(((3.5+3.5+1.6+1.1+2.55+2.55)+(3.6+3.6+1.05+4+4.5+4.5))/0.1,0)*0.78</f>
        <v>281.58</v>
      </c>
      <c r="G92" s="20" t="s">
        <v>190</v>
      </c>
      <c r="H92" s="23"/>
    </row>
    <row r="93" spans="5:8" x14ac:dyDescent="0.25">
      <c r="E93" s="297" t="s">
        <v>519</v>
      </c>
      <c r="F93" s="298">
        <f>+F92*0.559</f>
        <v>157.40322</v>
      </c>
      <c r="G93" s="299" t="s">
        <v>181</v>
      </c>
      <c r="H93" s="300"/>
    </row>
    <row r="94" spans="5:8" x14ac:dyDescent="0.25">
      <c r="E94" s="117"/>
      <c r="F94" s="279"/>
    </row>
    <row r="95" spans="5:8" x14ac:dyDescent="0.25">
      <c r="E95" s="801" t="s">
        <v>554</v>
      </c>
      <c r="F95" s="802"/>
      <c r="G95" s="802"/>
      <c r="H95" s="803"/>
    </row>
    <row r="96" spans="5:8" x14ac:dyDescent="0.25">
      <c r="E96" s="296" t="s">
        <v>555</v>
      </c>
      <c r="H96" s="23"/>
    </row>
    <row r="97" spans="5:8" ht="14.4" x14ac:dyDescent="0.3">
      <c r="E97" s="311" t="s">
        <v>556</v>
      </c>
      <c r="F97" s="279"/>
      <c r="H97" s="23"/>
    </row>
    <row r="98" spans="5:8" x14ac:dyDescent="0.25">
      <c r="E98" s="296" t="s">
        <v>557</v>
      </c>
      <c r="F98" s="279">
        <f>ROUND((3.5/0.3)+1,0)</f>
        <v>13</v>
      </c>
      <c r="G98" s="20" t="s">
        <v>9</v>
      </c>
      <c r="H98" s="23"/>
    </row>
    <row r="99" spans="5:8" x14ac:dyDescent="0.25">
      <c r="E99" s="296" t="s">
        <v>563</v>
      </c>
      <c r="F99" s="279">
        <f>+F98*3.6</f>
        <v>46.800000000000004</v>
      </c>
      <c r="G99" s="20" t="s">
        <v>190</v>
      </c>
      <c r="H99" s="23"/>
    </row>
    <row r="100" spans="5:8" x14ac:dyDescent="0.25">
      <c r="E100" s="296"/>
      <c r="F100" s="279"/>
      <c r="H100" s="23"/>
    </row>
    <row r="101" spans="5:8" ht="14.4" x14ac:dyDescent="0.3">
      <c r="E101" s="311" t="s">
        <v>558</v>
      </c>
      <c r="H101" s="23"/>
    </row>
    <row r="102" spans="5:8" x14ac:dyDescent="0.25">
      <c r="E102" s="296" t="s">
        <v>557</v>
      </c>
      <c r="F102" s="279">
        <f>ROUND((3.6/0.3)+1,0)</f>
        <v>13</v>
      </c>
      <c r="G102" s="20" t="s">
        <v>9</v>
      </c>
      <c r="H102" s="23"/>
    </row>
    <row r="103" spans="5:8" x14ac:dyDescent="0.25">
      <c r="E103" s="296" t="s">
        <v>563</v>
      </c>
      <c r="F103" s="279">
        <f>+F102*3.5</f>
        <v>45.5</v>
      </c>
      <c r="G103" s="20" t="s">
        <v>190</v>
      </c>
      <c r="H103" s="23"/>
    </row>
    <row r="104" spans="5:8" x14ac:dyDescent="0.25">
      <c r="E104" s="296"/>
      <c r="F104" s="279"/>
      <c r="H104" s="23"/>
    </row>
    <row r="105" spans="5:8" x14ac:dyDescent="0.25">
      <c r="E105" s="296" t="s">
        <v>559</v>
      </c>
      <c r="F105" s="279">
        <f>+(F103+F99)*2</f>
        <v>184.60000000000002</v>
      </c>
      <c r="G105" s="20" t="s">
        <v>190</v>
      </c>
      <c r="H105" s="23"/>
    </row>
    <row r="106" spans="5:8" x14ac:dyDescent="0.25">
      <c r="E106" s="296"/>
      <c r="F106" s="279"/>
      <c r="H106" s="23"/>
    </row>
    <row r="107" spans="5:8" x14ac:dyDescent="0.25">
      <c r="E107" s="296" t="s">
        <v>560</v>
      </c>
      <c r="H107" s="23"/>
    </row>
    <row r="108" spans="5:8" ht="14.4" x14ac:dyDescent="0.3">
      <c r="E108" s="311" t="s">
        <v>561</v>
      </c>
      <c r="F108" s="279"/>
      <c r="H108" s="23"/>
    </row>
    <row r="109" spans="5:8" x14ac:dyDescent="0.25">
      <c r="E109" s="296" t="s">
        <v>557</v>
      </c>
      <c r="F109" s="279">
        <f>ROUND((2.55/0.3)+1,0)</f>
        <v>10</v>
      </c>
      <c r="G109" s="20" t="s">
        <v>9</v>
      </c>
      <c r="H109" s="23"/>
    </row>
    <row r="110" spans="5:8" x14ac:dyDescent="0.25">
      <c r="E110" s="296" t="s">
        <v>563</v>
      </c>
      <c r="F110" s="279">
        <f>+F109*0.9</f>
        <v>9</v>
      </c>
      <c r="G110" s="20" t="s">
        <v>190</v>
      </c>
      <c r="H110" s="23"/>
    </row>
    <row r="111" spans="5:8" x14ac:dyDescent="0.25">
      <c r="E111" s="296"/>
      <c r="F111" s="279"/>
      <c r="H111" s="23"/>
    </row>
    <row r="112" spans="5:8" ht="14.4" x14ac:dyDescent="0.3">
      <c r="E112" s="311" t="s">
        <v>562</v>
      </c>
      <c r="H112" s="23"/>
    </row>
    <row r="113" spans="5:8" x14ac:dyDescent="0.25">
      <c r="E113" s="296" t="s">
        <v>557</v>
      </c>
      <c r="F113" s="279">
        <f>ROUND((0.9/0.3)+1,0)</f>
        <v>4</v>
      </c>
      <c r="G113" s="20" t="s">
        <v>9</v>
      </c>
      <c r="H113" s="23"/>
    </row>
    <row r="114" spans="5:8" x14ac:dyDescent="0.25">
      <c r="E114" s="296" t="s">
        <v>563</v>
      </c>
      <c r="F114" s="279">
        <f>+F113*2.55</f>
        <v>10.199999999999999</v>
      </c>
      <c r="G114" s="20" t="s">
        <v>190</v>
      </c>
      <c r="H114" s="23"/>
    </row>
    <row r="115" spans="5:8" x14ac:dyDescent="0.25">
      <c r="E115" s="296"/>
      <c r="F115" s="279"/>
      <c r="H115" s="23"/>
    </row>
    <row r="116" spans="5:8" x14ac:dyDescent="0.25">
      <c r="E116" s="296" t="s">
        <v>559</v>
      </c>
      <c r="F116" s="279">
        <f>+(F114+F110)*2</f>
        <v>38.4</v>
      </c>
      <c r="G116" s="20" t="s">
        <v>190</v>
      </c>
      <c r="H116" s="23"/>
    </row>
    <row r="117" spans="5:8" x14ac:dyDescent="0.25">
      <c r="E117" s="297" t="s">
        <v>519</v>
      </c>
      <c r="F117" s="298">
        <f>+(F116+F105)*0.559</f>
        <v>124.65700000000002</v>
      </c>
      <c r="G117" s="299" t="s">
        <v>181</v>
      </c>
      <c r="H117" s="300"/>
    </row>
    <row r="118" spans="5:8" x14ac:dyDescent="0.25">
      <c r="E118" s="117"/>
      <c r="F118" s="279"/>
    </row>
    <row r="119" spans="5:8" x14ac:dyDescent="0.25">
      <c r="E119" s="301" t="s">
        <v>71</v>
      </c>
      <c r="F119" s="302">
        <f>+F76+F72+F67+F63+F80+F84+F89+F93+F117</f>
        <v>618.42157000000009</v>
      </c>
      <c r="G119" s="303" t="s">
        <v>181</v>
      </c>
    </row>
  </sheetData>
  <mergeCells count="103">
    <mergeCell ref="B14:F14"/>
    <mergeCell ref="B15:F15"/>
    <mergeCell ref="B16:F16"/>
    <mergeCell ref="B17:I17"/>
    <mergeCell ref="B19:J19"/>
    <mergeCell ref="E59:H59"/>
    <mergeCell ref="E60:H60"/>
    <mergeCell ref="E69:H69"/>
    <mergeCell ref="A1:C4"/>
    <mergeCell ref="D1:J1"/>
    <mergeCell ref="D2:J2"/>
    <mergeCell ref="D3:J3"/>
    <mergeCell ref="D4:J4"/>
    <mergeCell ref="E6:H6"/>
    <mergeCell ref="B7:J7"/>
    <mergeCell ref="B8:F8"/>
    <mergeCell ref="B9:F9"/>
    <mergeCell ref="B10:F10"/>
    <mergeCell ref="B11:F11"/>
    <mergeCell ref="B12:F12"/>
    <mergeCell ref="B13:F13"/>
    <mergeCell ref="B30:E30"/>
    <mergeCell ref="B31:E31"/>
    <mergeCell ref="B32:E32"/>
    <mergeCell ref="B33:E33"/>
    <mergeCell ref="B34:E34"/>
    <mergeCell ref="B20:E20"/>
    <mergeCell ref="B29:E29"/>
    <mergeCell ref="B21:E21"/>
    <mergeCell ref="B22:E22"/>
    <mergeCell ref="B23:E23"/>
    <mergeCell ref="B24:E24"/>
    <mergeCell ref="B25:E25"/>
    <mergeCell ref="B26:E26"/>
    <mergeCell ref="B27:E27"/>
    <mergeCell ref="B28:E28"/>
    <mergeCell ref="B51:F51"/>
    <mergeCell ref="B41:F41"/>
    <mergeCell ref="B42:F42"/>
    <mergeCell ref="B43:F43"/>
    <mergeCell ref="B44:F44"/>
    <mergeCell ref="B45:I45"/>
    <mergeCell ref="B35:E35"/>
    <mergeCell ref="B36:E36"/>
    <mergeCell ref="B37:I37"/>
    <mergeCell ref="B39:J39"/>
    <mergeCell ref="B40:F40"/>
    <mergeCell ref="J64:L64"/>
    <mergeCell ref="E86:H86"/>
    <mergeCell ref="E95:H95"/>
    <mergeCell ref="L1:N4"/>
    <mergeCell ref="M7:U7"/>
    <mergeCell ref="M8:Q8"/>
    <mergeCell ref="M9:Q9"/>
    <mergeCell ref="M10:Q10"/>
    <mergeCell ref="M11:Q11"/>
    <mergeCell ref="M12:Q12"/>
    <mergeCell ref="M13:Q13"/>
    <mergeCell ref="M14:Q14"/>
    <mergeCell ref="M15:Q15"/>
    <mergeCell ref="M16:Q16"/>
    <mergeCell ref="M17:T17"/>
    <mergeCell ref="B52:F52"/>
    <mergeCell ref="B53:F53"/>
    <mergeCell ref="B54:I54"/>
    <mergeCell ref="B56:I56"/>
    <mergeCell ref="J59:L59"/>
    <mergeCell ref="B47:J47"/>
    <mergeCell ref="B48:F48"/>
    <mergeCell ref="B49:F49"/>
    <mergeCell ref="B50:F50"/>
    <mergeCell ref="M19:U19"/>
    <mergeCell ref="M20:P20"/>
    <mergeCell ref="M21:P21"/>
    <mergeCell ref="M22:P22"/>
    <mergeCell ref="M23:P23"/>
    <mergeCell ref="O1:U1"/>
    <mergeCell ref="O2:U2"/>
    <mergeCell ref="O3:U3"/>
    <mergeCell ref="O4:U4"/>
    <mergeCell ref="P6:S6"/>
    <mergeCell ref="M29:T29"/>
    <mergeCell ref="M31:U31"/>
    <mergeCell ref="M32:Q32"/>
    <mergeCell ref="M33:Q33"/>
    <mergeCell ref="M34:Q34"/>
    <mergeCell ref="M24:P24"/>
    <mergeCell ref="M25:P25"/>
    <mergeCell ref="M26:P26"/>
    <mergeCell ref="M27:P27"/>
    <mergeCell ref="M28:P28"/>
    <mergeCell ref="M46:T46"/>
    <mergeCell ref="M48:T48"/>
    <mergeCell ref="M41:Q41"/>
    <mergeCell ref="M42:Q42"/>
    <mergeCell ref="M43:Q43"/>
    <mergeCell ref="M44:Q44"/>
    <mergeCell ref="M45:Q45"/>
    <mergeCell ref="M35:Q35"/>
    <mergeCell ref="M36:Q36"/>
    <mergeCell ref="M37:T37"/>
    <mergeCell ref="M39:U39"/>
    <mergeCell ref="M40:Q40"/>
  </mergeCells>
  <phoneticPr fontId="22" type="noConversion"/>
  <hyperlinks>
    <hyperlink ref="C6" location="'PPTO HOJA'!A124" display="'PPTO HOJA'!A124" xr:uid="{00000000-0004-0000-3800-000000000000}"/>
    <hyperlink ref="N6" location="'PPTO HOJA'!A124" display="'PPTO HOJA'!A124" xr:uid="{00000000-0004-0000-3800-000001000000}"/>
  </hyperlinks>
  <pageMargins left="0.7" right="0.7" top="0.75" bottom="0.75" header="0.3" footer="0.3"/>
  <pageSetup paperSize="9" scale="35" orientation="portrait" r:id="rId1"/>
  <drawing r:id="rId2"/>
  <legacyDrawing r:id="rId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tabColor theme="5" tint="0.59999389629810485"/>
  </sheetPr>
  <dimension ref="A1:W51"/>
  <sheetViews>
    <sheetView zoomScale="85" zoomScaleNormal="85" zoomScaleSheetLayoutView="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8.6640625" style="20" bestFit="1" customWidth="1"/>
    <col min="11" max="17" width="11.44140625" style="20"/>
    <col min="18" max="18" width="13.44140625" style="20" bestFit="1" customWidth="1"/>
    <col min="19" max="19" width="11.44140625" style="20"/>
    <col min="20" max="20" width="13.5546875" style="20" bestFit="1" customWidth="1"/>
    <col min="21" max="21" width="18.6640625" style="20" bestFit="1" customWidth="1"/>
    <col min="22" max="22" width="28.33203125" style="20" customWidth="1"/>
    <col min="23" max="23" width="39.44140625" style="20" customWidth="1"/>
    <col min="24" max="16384" width="11.44140625" style="20"/>
  </cols>
  <sheetData>
    <row r="1" spans="1:23" x14ac:dyDescent="0.25">
      <c r="A1" s="768"/>
      <c r="B1" s="768"/>
      <c r="C1" s="768"/>
      <c r="D1" s="769" t="s">
        <v>1</v>
      </c>
      <c r="E1" s="769"/>
      <c r="F1" s="769"/>
      <c r="G1" s="769"/>
      <c r="H1" s="769"/>
      <c r="I1" s="769"/>
      <c r="J1" s="769"/>
      <c r="L1" s="821" t="s">
        <v>469</v>
      </c>
      <c r="M1" s="821"/>
      <c r="N1" s="821"/>
      <c r="O1" s="769" t="str">
        <f>D1</f>
        <v>DEPARTAMENTO DE ANTIOQUIA</v>
      </c>
      <c r="P1" s="769"/>
      <c r="Q1" s="769"/>
      <c r="R1" s="769"/>
      <c r="S1" s="769"/>
      <c r="T1" s="769"/>
      <c r="U1" s="769"/>
    </row>
    <row r="2" spans="1:23" x14ac:dyDescent="0.25">
      <c r="A2" s="768"/>
      <c r="B2" s="768"/>
      <c r="C2" s="768"/>
      <c r="D2" s="769" t="s">
        <v>2</v>
      </c>
      <c r="E2" s="769"/>
      <c r="F2" s="769"/>
      <c r="G2" s="769"/>
      <c r="H2" s="769"/>
      <c r="I2" s="769"/>
      <c r="J2" s="769"/>
      <c r="L2" s="821"/>
      <c r="M2" s="821"/>
      <c r="N2" s="821"/>
      <c r="O2" s="769" t="str">
        <f t="shared" ref="O2:O3" si="0">D2</f>
        <v>MUNICIPIO DE ARBOLETES</v>
      </c>
      <c r="P2" s="769"/>
      <c r="Q2" s="769"/>
      <c r="R2" s="769"/>
      <c r="S2" s="769"/>
      <c r="T2" s="769"/>
      <c r="U2" s="769"/>
    </row>
    <row r="3" spans="1:23" ht="46.5" customHeight="1" x14ac:dyDescent="0.25">
      <c r="A3" s="768"/>
      <c r="B3" s="768"/>
      <c r="C3" s="768"/>
      <c r="D3" s="770" t="s">
        <v>328</v>
      </c>
      <c r="E3" s="770"/>
      <c r="F3" s="770"/>
      <c r="G3" s="770"/>
      <c r="H3" s="770"/>
      <c r="I3" s="770"/>
      <c r="J3" s="770"/>
      <c r="L3" s="821"/>
      <c r="M3" s="821"/>
      <c r="N3" s="821"/>
      <c r="O3" s="770" t="str">
        <f t="shared" si="0"/>
        <v>CONSTRUCCION DE OBRAS CIVILES COMPLEMENTARIAS PARA EL CORRECTO FUNCIONAMIENTO DEL PROYECTO DENOMINADO “PARQUE GEOLÓGICO, NATURAL, AMBIENTAL, CULTURAL Y TURÍSTICO, VOLCÁN DE LODO DE ARBOLETES”, QUE SE LLEVARÁ A CABO EN EL MUNICIPIO DE ARBOLETES-ANTIOQUIA</v>
      </c>
      <c r="P3" s="770"/>
      <c r="Q3" s="770"/>
      <c r="R3" s="770"/>
      <c r="S3" s="770"/>
      <c r="T3" s="770"/>
      <c r="U3" s="770"/>
    </row>
    <row r="4" spans="1:23" x14ac:dyDescent="0.25">
      <c r="A4" s="768"/>
      <c r="B4" s="768"/>
      <c r="C4" s="768"/>
      <c r="D4" s="769" t="s">
        <v>20</v>
      </c>
      <c r="E4" s="769"/>
      <c r="F4" s="769"/>
      <c r="G4" s="769"/>
      <c r="H4" s="769"/>
      <c r="I4" s="769"/>
      <c r="J4" s="769"/>
      <c r="L4" s="821"/>
      <c r="M4" s="821"/>
      <c r="N4" s="821"/>
      <c r="O4" s="769" t="s">
        <v>20</v>
      </c>
      <c r="P4" s="769"/>
      <c r="Q4" s="769"/>
      <c r="R4" s="769"/>
      <c r="S4" s="769"/>
      <c r="T4" s="769"/>
      <c r="U4" s="769"/>
    </row>
    <row r="5" spans="1:23" ht="9.75" customHeight="1" x14ac:dyDescent="0.25">
      <c r="A5" s="22"/>
      <c r="J5" s="23"/>
      <c r="L5" s="22"/>
      <c r="U5" s="23"/>
    </row>
    <row r="6" spans="1:23" s="21" customFormat="1" ht="45" customHeight="1" x14ac:dyDescent="0.3">
      <c r="A6" s="202" t="s">
        <v>460</v>
      </c>
      <c r="B6" s="203" t="s">
        <v>22</v>
      </c>
      <c r="C6" s="204">
        <v>7.0499999999999989</v>
      </c>
      <c r="D6" s="205"/>
      <c r="E6" s="777" t="s">
        <v>415</v>
      </c>
      <c r="F6" s="777"/>
      <c r="G6" s="777"/>
      <c r="H6" s="777"/>
      <c r="I6" s="202" t="s">
        <v>23</v>
      </c>
      <c r="J6" s="206" t="s">
        <v>9</v>
      </c>
      <c r="L6" s="202" t="s">
        <v>460</v>
      </c>
      <c r="M6" s="203" t="s">
        <v>22</v>
      </c>
      <c r="N6" s="204">
        <f>C6</f>
        <v>7.0499999999999989</v>
      </c>
      <c r="O6" s="205"/>
      <c r="P6" s="777" t="str">
        <f>E6</f>
        <v xml:space="preserve">Suministro e Instalación de tablero mb de 24 ctos monofásico con puerta </v>
      </c>
      <c r="Q6" s="777"/>
      <c r="R6" s="777"/>
      <c r="S6" s="777"/>
      <c r="T6" s="202" t="s">
        <v>23</v>
      </c>
      <c r="U6" s="206" t="str">
        <f>J6</f>
        <v>und</v>
      </c>
    </row>
    <row r="7" spans="1:23" ht="15" customHeight="1" x14ac:dyDescent="0.25">
      <c r="A7" s="22"/>
      <c r="B7" s="772" t="s">
        <v>24</v>
      </c>
      <c r="C7" s="772"/>
      <c r="D7" s="772"/>
      <c r="E7" s="772"/>
      <c r="F7" s="772"/>
      <c r="G7" s="772"/>
      <c r="H7" s="772"/>
      <c r="I7" s="772"/>
      <c r="J7" s="772"/>
      <c r="L7" s="22"/>
      <c r="M7" s="772" t="s">
        <v>24</v>
      </c>
      <c r="N7" s="772"/>
      <c r="O7" s="772"/>
      <c r="P7" s="772"/>
      <c r="Q7" s="772"/>
      <c r="R7" s="772"/>
      <c r="S7" s="772"/>
      <c r="T7" s="772"/>
      <c r="U7" s="772"/>
      <c r="W7" s="259" t="s">
        <v>471</v>
      </c>
    </row>
    <row r="8" spans="1:23"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3" ht="15" customHeight="1" x14ac:dyDescent="0.25">
      <c r="A9" s="22"/>
      <c r="B9" s="771" t="s">
        <v>30</v>
      </c>
      <c r="C9" s="771"/>
      <c r="D9" s="771"/>
      <c r="E9" s="771"/>
      <c r="F9" s="771"/>
      <c r="G9" s="206"/>
      <c r="H9" s="181"/>
      <c r="I9" s="208">
        <v>0.05</v>
      </c>
      <c r="J9" s="181">
        <f>ROUND(I9*J43,0)</f>
        <v>24144</v>
      </c>
      <c r="L9" s="22"/>
      <c r="M9" s="771" t="s">
        <v>30</v>
      </c>
      <c r="N9" s="771"/>
      <c r="O9" s="771"/>
      <c r="P9" s="771"/>
      <c r="Q9" s="771"/>
      <c r="R9" s="206"/>
      <c r="S9" s="181"/>
      <c r="T9" s="208">
        <v>0.05</v>
      </c>
      <c r="U9" s="181">
        <f>ROUND(T9*U45,0)</f>
        <v>24144</v>
      </c>
      <c r="V9" s="239" t="s">
        <v>461</v>
      </c>
    </row>
    <row r="10" spans="1:23" ht="15" customHeight="1" x14ac:dyDescent="0.25">
      <c r="A10" s="22"/>
      <c r="B10" s="777"/>
      <c r="C10" s="777"/>
      <c r="D10" s="777"/>
      <c r="E10" s="777"/>
      <c r="F10" s="777"/>
      <c r="G10" s="206"/>
      <c r="H10" s="181" t="s">
        <v>501</v>
      </c>
      <c r="I10" s="180"/>
      <c r="J10" s="181">
        <f>IF(B10="",0,ROUND(H10/I10,0))</f>
        <v>0</v>
      </c>
      <c r="L10" s="22"/>
      <c r="M10" s="777"/>
      <c r="N10" s="777"/>
      <c r="O10" s="777"/>
      <c r="P10" s="777"/>
      <c r="Q10" s="777"/>
      <c r="R10" s="206"/>
      <c r="S10" s="181" t="s">
        <v>501</v>
      </c>
      <c r="T10" s="180"/>
      <c r="U10" s="181">
        <f>IF(M10="",0,ROUND(S10/T10,0))</f>
        <v>0</v>
      </c>
    </row>
    <row r="11" spans="1:23" ht="15" customHeight="1" x14ac:dyDescent="0.25">
      <c r="A11" s="22"/>
      <c r="B11" s="771"/>
      <c r="C11" s="771"/>
      <c r="D11" s="771"/>
      <c r="E11" s="771"/>
      <c r="F11" s="771"/>
      <c r="G11" s="206"/>
      <c r="H11" s="181"/>
      <c r="I11" s="180"/>
      <c r="J11" s="181">
        <f t="shared" ref="J11:J15" si="1">IF(B11="",0,ROUND(H11/I11,0))</f>
        <v>0</v>
      </c>
      <c r="L11" s="22"/>
      <c r="M11" s="771"/>
      <c r="N11" s="771"/>
      <c r="O11" s="771"/>
      <c r="P11" s="771"/>
      <c r="Q11" s="771"/>
      <c r="R11" s="206"/>
      <c r="S11" s="181"/>
      <c r="T11" s="180"/>
      <c r="U11" s="181">
        <f t="shared" ref="U11:U15" si="2">IF(M11="",0,ROUND(S11/T11,0))</f>
        <v>0</v>
      </c>
    </row>
    <row r="12" spans="1:23" ht="15" customHeight="1" x14ac:dyDescent="0.25">
      <c r="A12" s="22"/>
      <c r="B12" s="771"/>
      <c r="C12" s="771"/>
      <c r="D12" s="771"/>
      <c r="E12" s="771"/>
      <c r="F12" s="771"/>
      <c r="G12" s="206" t="s">
        <v>501</v>
      </c>
      <c r="H12" s="181" t="s">
        <v>501</v>
      </c>
      <c r="I12" s="180"/>
      <c r="J12" s="181">
        <f t="shared" si="1"/>
        <v>0</v>
      </c>
      <c r="L12" s="22"/>
      <c r="M12" s="771"/>
      <c r="N12" s="771"/>
      <c r="O12" s="771"/>
      <c r="P12" s="771"/>
      <c r="Q12" s="771"/>
      <c r="R12" s="206" t="s">
        <v>501</v>
      </c>
      <c r="S12" s="181" t="s">
        <v>501</v>
      </c>
      <c r="T12" s="180"/>
      <c r="U12" s="181">
        <f t="shared" si="2"/>
        <v>0</v>
      </c>
    </row>
    <row r="13" spans="1:23" ht="15" customHeight="1" x14ac:dyDescent="0.25">
      <c r="A13" s="22"/>
      <c r="B13" s="771"/>
      <c r="C13" s="771"/>
      <c r="D13" s="771"/>
      <c r="E13" s="771"/>
      <c r="F13" s="771"/>
      <c r="G13" s="206" t="s">
        <v>501</v>
      </c>
      <c r="H13" s="181" t="s">
        <v>501</v>
      </c>
      <c r="I13" s="180"/>
      <c r="J13" s="181">
        <f t="shared" si="1"/>
        <v>0</v>
      </c>
      <c r="L13" s="22"/>
      <c r="M13" s="771"/>
      <c r="N13" s="771"/>
      <c r="O13" s="771"/>
      <c r="P13" s="771"/>
      <c r="Q13" s="771"/>
      <c r="R13" s="206" t="s">
        <v>501</v>
      </c>
      <c r="S13" s="181" t="s">
        <v>501</v>
      </c>
      <c r="T13" s="180"/>
      <c r="U13" s="181">
        <f t="shared" si="2"/>
        <v>0</v>
      </c>
    </row>
    <row r="14" spans="1:23" ht="15" customHeight="1" x14ac:dyDescent="0.25">
      <c r="A14" s="22"/>
      <c r="B14" s="771"/>
      <c r="C14" s="771"/>
      <c r="D14" s="771"/>
      <c r="E14" s="771"/>
      <c r="F14" s="771"/>
      <c r="G14" s="206" t="s">
        <v>501</v>
      </c>
      <c r="H14" s="181" t="s">
        <v>501</v>
      </c>
      <c r="I14" s="180"/>
      <c r="J14" s="181">
        <f t="shared" si="1"/>
        <v>0</v>
      </c>
      <c r="L14" s="22"/>
      <c r="M14" s="771"/>
      <c r="N14" s="771"/>
      <c r="O14" s="771"/>
      <c r="P14" s="771"/>
      <c r="Q14" s="771"/>
      <c r="R14" s="206" t="s">
        <v>501</v>
      </c>
      <c r="S14" s="181" t="s">
        <v>501</v>
      </c>
      <c r="T14" s="180"/>
      <c r="U14" s="181">
        <f t="shared" si="2"/>
        <v>0</v>
      </c>
    </row>
    <row r="15" spans="1:23" ht="15" customHeight="1" x14ac:dyDescent="0.25">
      <c r="A15" s="22"/>
      <c r="B15" s="771"/>
      <c r="C15" s="771"/>
      <c r="D15" s="771"/>
      <c r="E15" s="771"/>
      <c r="F15" s="771"/>
      <c r="G15" s="206" t="s">
        <v>501</v>
      </c>
      <c r="H15" s="181" t="s">
        <v>501</v>
      </c>
      <c r="I15" s="180"/>
      <c r="J15" s="181">
        <f t="shared" si="1"/>
        <v>0</v>
      </c>
      <c r="L15" s="22"/>
      <c r="M15" s="771"/>
      <c r="N15" s="771"/>
      <c r="O15" s="771"/>
      <c r="P15" s="771"/>
      <c r="Q15" s="771"/>
      <c r="R15" s="206" t="s">
        <v>501</v>
      </c>
      <c r="S15" s="181" t="s">
        <v>501</v>
      </c>
      <c r="T15" s="180"/>
      <c r="U15" s="181">
        <f t="shared" si="2"/>
        <v>0</v>
      </c>
    </row>
    <row r="16" spans="1:23" ht="15" customHeight="1" x14ac:dyDescent="0.25">
      <c r="A16" s="22"/>
      <c r="B16" s="771"/>
      <c r="C16" s="771"/>
      <c r="D16" s="771"/>
      <c r="E16" s="771"/>
      <c r="F16" s="771"/>
      <c r="G16" s="206" t="s">
        <v>501</v>
      </c>
      <c r="H16" s="181" t="s">
        <v>501</v>
      </c>
      <c r="I16" s="180"/>
      <c r="J16" s="181"/>
      <c r="L16" s="22"/>
      <c r="M16" s="771"/>
      <c r="N16" s="771"/>
      <c r="O16" s="771"/>
      <c r="P16" s="771"/>
      <c r="Q16" s="771"/>
      <c r="R16" s="206" t="s">
        <v>501</v>
      </c>
      <c r="S16" s="181" t="s">
        <v>501</v>
      </c>
      <c r="T16" s="180"/>
      <c r="U16" s="181"/>
    </row>
    <row r="17" spans="1:23" ht="15" customHeight="1" x14ac:dyDescent="0.25">
      <c r="A17" s="22"/>
      <c r="B17" s="772" t="s">
        <v>31</v>
      </c>
      <c r="C17" s="772"/>
      <c r="D17" s="772"/>
      <c r="E17" s="772"/>
      <c r="F17" s="772"/>
      <c r="G17" s="772"/>
      <c r="H17" s="772"/>
      <c r="I17" s="772"/>
      <c r="J17" s="181">
        <f>SUM(J9:J16)</f>
        <v>24144</v>
      </c>
      <c r="L17" s="22"/>
      <c r="M17" s="772" t="s">
        <v>31</v>
      </c>
      <c r="N17" s="772"/>
      <c r="O17" s="772"/>
      <c r="P17" s="772"/>
      <c r="Q17" s="772"/>
      <c r="R17" s="772"/>
      <c r="S17" s="772"/>
      <c r="T17" s="772"/>
      <c r="U17" s="181">
        <f>SUM(U9:U16)</f>
        <v>24144</v>
      </c>
    </row>
    <row r="18" spans="1:23" ht="7.5" customHeight="1" x14ac:dyDescent="0.25">
      <c r="A18" s="22"/>
      <c r="B18" s="25"/>
      <c r="C18" s="25"/>
      <c r="D18" s="25"/>
      <c r="E18" s="25"/>
      <c r="F18" s="25"/>
      <c r="G18" s="25"/>
      <c r="H18" s="25"/>
      <c r="I18" s="25"/>
      <c r="J18" s="26"/>
      <c r="L18" s="22"/>
      <c r="M18" s="25"/>
      <c r="N18" s="25"/>
      <c r="O18" s="25"/>
      <c r="P18" s="25"/>
      <c r="Q18" s="25"/>
      <c r="R18" s="25"/>
      <c r="S18" s="25"/>
      <c r="T18" s="25"/>
      <c r="U18" s="26"/>
    </row>
    <row r="19" spans="1:23" ht="15" customHeight="1" x14ac:dyDescent="0.25">
      <c r="A19" s="22"/>
      <c r="B19" s="772" t="s">
        <v>32</v>
      </c>
      <c r="C19" s="772"/>
      <c r="D19" s="772"/>
      <c r="E19" s="772"/>
      <c r="F19" s="772"/>
      <c r="G19" s="772"/>
      <c r="H19" s="772"/>
      <c r="I19" s="772"/>
      <c r="J19" s="772"/>
      <c r="L19" s="22"/>
      <c r="M19" s="772" t="s">
        <v>32</v>
      </c>
      <c r="N19" s="772"/>
      <c r="O19" s="772"/>
      <c r="P19" s="772"/>
      <c r="Q19" s="772"/>
      <c r="R19" s="772"/>
      <c r="S19" s="772"/>
      <c r="T19" s="772"/>
      <c r="U19" s="772"/>
    </row>
    <row r="20" spans="1:23" ht="26.4" x14ac:dyDescent="0.25">
      <c r="A20" s="22"/>
      <c r="B20" s="774" t="s">
        <v>33</v>
      </c>
      <c r="C20" s="774"/>
      <c r="D20" s="774"/>
      <c r="E20" s="774"/>
      <c r="F20" s="205" t="s">
        <v>19</v>
      </c>
      <c r="G20" s="206" t="s">
        <v>34</v>
      </c>
      <c r="H20" s="207" t="s">
        <v>35</v>
      </c>
      <c r="I20" s="207" t="s">
        <v>36</v>
      </c>
      <c r="J20" s="207" t="s">
        <v>29</v>
      </c>
      <c r="L20" s="22"/>
      <c r="M20" s="774" t="s">
        <v>33</v>
      </c>
      <c r="N20" s="774"/>
      <c r="O20" s="774"/>
      <c r="P20" s="774"/>
      <c r="Q20" s="205" t="s">
        <v>19</v>
      </c>
      <c r="R20" s="206" t="s">
        <v>34</v>
      </c>
      <c r="S20" s="207" t="s">
        <v>35</v>
      </c>
      <c r="T20" s="207" t="s">
        <v>36</v>
      </c>
      <c r="U20" s="207" t="s">
        <v>29</v>
      </c>
    </row>
    <row r="21" spans="1:23" ht="39.6" customHeight="1" x14ac:dyDescent="0.25">
      <c r="A21" s="22"/>
      <c r="B21" s="815" t="s">
        <v>502</v>
      </c>
      <c r="C21" s="816"/>
      <c r="D21" s="816"/>
      <c r="E21" s="817"/>
      <c r="F21" s="245">
        <v>1</v>
      </c>
      <c r="G21" s="246" t="s">
        <v>9</v>
      </c>
      <c r="H21" s="247"/>
      <c r="I21" s="248">
        <v>568300</v>
      </c>
      <c r="J21" s="248">
        <f>IF(I21="",0,ROUND((+F21*I21*(1+H21)),0))</f>
        <v>568300</v>
      </c>
      <c r="L21" s="22"/>
      <c r="M21" s="791" t="s">
        <v>422</v>
      </c>
      <c r="N21" s="792"/>
      <c r="O21" s="792"/>
      <c r="P21" s="793"/>
      <c r="Q21" s="180">
        <v>1</v>
      </c>
      <c r="R21" s="206" t="s">
        <v>9</v>
      </c>
      <c r="S21" s="209"/>
      <c r="T21" s="181">
        <v>568300</v>
      </c>
      <c r="U21" s="181">
        <f>IF(T21="",0,ROUND((+Q21*T21*(1+S21)),0))</f>
        <v>568300</v>
      </c>
      <c r="V21" s="240" t="s">
        <v>478</v>
      </c>
      <c r="W21" s="261" t="s">
        <v>479</v>
      </c>
    </row>
    <row r="22" spans="1:23" ht="15" customHeight="1" x14ac:dyDescent="0.25">
      <c r="A22" s="22"/>
      <c r="B22" s="791"/>
      <c r="C22" s="792"/>
      <c r="D22" s="792"/>
      <c r="E22" s="793"/>
      <c r="F22" s="180"/>
      <c r="G22" s="206" t="s">
        <v>501</v>
      </c>
      <c r="H22" s="209"/>
      <c r="I22" s="181" t="s">
        <v>501</v>
      </c>
      <c r="J22" s="181">
        <f t="shared" ref="J22:J27" si="3">IF(I22="",0,ROUND((+F22*I22*(1+H22)),0))</f>
        <v>0</v>
      </c>
      <c r="K22" s="117"/>
      <c r="L22" s="22"/>
      <c r="M22" s="791"/>
      <c r="N22" s="792"/>
      <c r="O22" s="792"/>
      <c r="P22" s="793"/>
      <c r="Q22" s="180"/>
      <c r="R22" s="206" t="s">
        <v>501</v>
      </c>
      <c r="S22" s="209"/>
      <c r="T22" s="181" t="s">
        <v>501</v>
      </c>
      <c r="U22" s="181">
        <f t="shared" ref="U22:U27" si="4">IF(T22="",0,ROUND((+Q22*T22*(1+S22)),0))</f>
        <v>0</v>
      </c>
    </row>
    <row r="23" spans="1:23" ht="15" customHeight="1" x14ac:dyDescent="0.25">
      <c r="A23" s="22"/>
      <c r="B23" s="791"/>
      <c r="C23" s="792"/>
      <c r="D23" s="792"/>
      <c r="E23" s="793"/>
      <c r="F23" s="180"/>
      <c r="G23" s="206" t="s">
        <v>501</v>
      </c>
      <c r="H23" s="209"/>
      <c r="I23" s="181" t="s">
        <v>501</v>
      </c>
      <c r="J23" s="181">
        <f t="shared" si="3"/>
        <v>0</v>
      </c>
      <c r="K23" s="117"/>
      <c r="L23" s="22"/>
      <c r="M23" s="791"/>
      <c r="N23" s="792"/>
      <c r="O23" s="792"/>
      <c r="P23" s="793"/>
      <c r="Q23" s="180"/>
      <c r="R23" s="206" t="s">
        <v>501</v>
      </c>
      <c r="S23" s="209"/>
      <c r="T23" s="181" t="s">
        <v>501</v>
      </c>
      <c r="U23" s="181">
        <f t="shared" si="4"/>
        <v>0</v>
      </c>
    </row>
    <row r="24" spans="1:23" ht="15" customHeight="1" x14ac:dyDescent="0.25">
      <c r="A24" s="22"/>
      <c r="B24" s="791"/>
      <c r="C24" s="792"/>
      <c r="D24" s="792"/>
      <c r="E24" s="793"/>
      <c r="F24" s="180"/>
      <c r="G24" s="206" t="s">
        <v>501</v>
      </c>
      <c r="H24" s="209"/>
      <c r="I24" s="181" t="s">
        <v>501</v>
      </c>
      <c r="J24" s="181">
        <f t="shared" si="3"/>
        <v>0</v>
      </c>
      <c r="L24" s="22"/>
      <c r="M24" s="791"/>
      <c r="N24" s="792"/>
      <c r="O24" s="792"/>
      <c r="P24" s="793"/>
      <c r="Q24" s="180"/>
      <c r="R24" s="206" t="s">
        <v>501</v>
      </c>
      <c r="S24" s="209"/>
      <c r="T24" s="181" t="s">
        <v>501</v>
      </c>
      <c r="U24" s="181">
        <f t="shared" si="4"/>
        <v>0</v>
      </c>
    </row>
    <row r="25" spans="1:23" ht="15" customHeight="1" x14ac:dyDescent="0.25">
      <c r="A25" s="22"/>
      <c r="B25" s="791"/>
      <c r="C25" s="792"/>
      <c r="D25" s="792"/>
      <c r="E25" s="793"/>
      <c r="F25" s="180"/>
      <c r="G25" s="206" t="s">
        <v>501</v>
      </c>
      <c r="H25" s="209"/>
      <c r="I25" s="181" t="s">
        <v>501</v>
      </c>
      <c r="J25" s="181">
        <f t="shared" si="3"/>
        <v>0</v>
      </c>
      <c r="L25" s="22"/>
      <c r="M25" s="791"/>
      <c r="N25" s="792"/>
      <c r="O25" s="792"/>
      <c r="P25" s="793"/>
      <c r="Q25" s="180"/>
      <c r="R25" s="206" t="s">
        <v>501</v>
      </c>
      <c r="S25" s="209"/>
      <c r="T25" s="181" t="s">
        <v>501</v>
      </c>
      <c r="U25" s="181">
        <f t="shared" si="4"/>
        <v>0</v>
      </c>
    </row>
    <row r="26" spans="1:23" ht="15" customHeight="1" x14ac:dyDescent="0.25">
      <c r="A26" s="22"/>
      <c r="B26" s="791"/>
      <c r="C26" s="792"/>
      <c r="D26" s="792"/>
      <c r="E26" s="793"/>
      <c r="F26" s="180"/>
      <c r="G26" s="206" t="s">
        <v>501</v>
      </c>
      <c r="H26" s="209"/>
      <c r="I26" s="181" t="s">
        <v>501</v>
      </c>
      <c r="J26" s="181">
        <f t="shared" si="3"/>
        <v>0</v>
      </c>
      <c r="L26" s="22"/>
      <c r="M26" s="791"/>
      <c r="N26" s="792"/>
      <c r="O26" s="792"/>
      <c r="P26" s="793"/>
      <c r="Q26" s="180"/>
      <c r="R26" s="206" t="s">
        <v>501</v>
      </c>
      <c r="S26" s="209"/>
      <c r="T26" s="181" t="s">
        <v>501</v>
      </c>
      <c r="U26" s="181">
        <f t="shared" si="4"/>
        <v>0</v>
      </c>
    </row>
    <row r="27" spans="1:23" ht="15" customHeight="1" x14ac:dyDescent="0.25">
      <c r="A27" s="22"/>
      <c r="B27" s="791"/>
      <c r="C27" s="792"/>
      <c r="D27" s="792"/>
      <c r="E27" s="793"/>
      <c r="F27" s="180"/>
      <c r="G27" s="206" t="s">
        <v>501</v>
      </c>
      <c r="H27" s="209"/>
      <c r="I27" s="181" t="s">
        <v>501</v>
      </c>
      <c r="J27" s="181">
        <f t="shared" si="3"/>
        <v>0</v>
      </c>
      <c r="L27" s="22"/>
      <c r="M27" s="791"/>
      <c r="N27" s="792"/>
      <c r="O27" s="792"/>
      <c r="P27" s="793"/>
      <c r="Q27" s="180"/>
      <c r="R27" s="206" t="s">
        <v>501</v>
      </c>
      <c r="S27" s="209"/>
      <c r="T27" s="181" t="s">
        <v>501</v>
      </c>
      <c r="U27" s="181">
        <f t="shared" si="4"/>
        <v>0</v>
      </c>
    </row>
    <row r="28" spans="1:23" ht="15" customHeight="1" x14ac:dyDescent="0.25">
      <c r="A28" s="22"/>
      <c r="B28" s="785"/>
      <c r="C28" s="786"/>
      <c r="D28" s="786"/>
      <c r="E28" s="787"/>
      <c r="F28" s="180"/>
      <c r="G28" s="206" t="s">
        <v>501</v>
      </c>
      <c r="H28" s="209"/>
      <c r="I28" s="181" t="s">
        <v>501</v>
      </c>
      <c r="J28" s="181"/>
      <c r="L28" s="22"/>
      <c r="M28" s="785"/>
      <c r="N28" s="786"/>
      <c r="O28" s="786"/>
      <c r="P28" s="787"/>
      <c r="Q28" s="180"/>
      <c r="R28" s="206" t="s">
        <v>501</v>
      </c>
      <c r="S28" s="209"/>
      <c r="T28" s="181" t="s">
        <v>501</v>
      </c>
      <c r="U28" s="181"/>
    </row>
    <row r="29" spans="1:23" ht="15" customHeight="1" x14ac:dyDescent="0.25">
      <c r="A29" s="22"/>
      <c r="B29" s="772" t="s">
        <v>37</v>
      </c>
      <c r="C29" s="772"/>
      <c r="D29" s="772"/>
      <c r="E29" s="772"/>
      <c r="F29" s="772"/>
      <c r="G29" s="772"/>
      <c r="H29" s="772"/>
      <c r="I29" s="772"/>
      <c r="J29" s="181">
        <f>SUM(J21:J28)</f>
        <v>568300</v>
      </c>
      <c r="L29" s="22"/>
      <c r="M29" s="772" t="s">
        <v>37</v>
      </c>
      <c r="N29" s="772"/>
      <c r="O29" s="772"/>
      <c r="P29" s="772"/>
      <c r="Q29" s="772"/>
      <c r="R29" s="772"/>
      <c r="S29" s="772"/>
      <c r="T29" s="772"/>
      <c r="U29" s="181">
        <f>SUM(U21:U28)</f>
        <v>568300</v>
      </c>
    </row>
    <row r="30" spans="1:23" ht="7.5" customHeight="1" x14ac:dyDescent="0.25">
      <c r="A30" s="22"/>
      <c r="B30" s="25"/>
      <c r="C30" s="25"/>
      <c r="D30" s="25"/>
      <c r="E30" s="25"/>
      <c r="F30" s="25"/>
      <c r="G30" s="25"/>
      <c r="H30" s="25"/>
      <c r="I30" s="25"/>
      <c r="J30" s="26"/>
      <c r="L30" s="22"/>
      <c r="M30" s="25"/>
      <c r="N30" s="25"/>
      <c r="O30" s="25"/>
      <c r="P30" s="25"/>
      <c r="Q30" s="25"/>
      <c r="R30" s="25"/>
      <c r="S30" s="25"/>
      <c r="T30" s="25"/>
      <c r="U30" s="26"/>
    </row>
    <row r="31" spans="1:23" ht="15" customHeight="1" x14ac:dyDescent="0.25">
      <c r="A31" s="22"/>
      <c r="B31" s="772" t="s">
        <v>38</v>
      </c>
      <c r="C31" s="772"/>
      <c r="D31" s="772"/>
      <c r="E31" s="772"/>
      <c r="F31" s="772"/>
      <c r="G31" s="772"/>
      <c r="H31" s="772"/>
      <c r="I31" s="772"/>
      <c r="J31" s="772"/>
      <c r="L31" s="22"/>
      <c r="M31" s="772" t="s">
        <v>38</v>
      </c>
      <c r="N31" s="772"/>
      <c r="O31" s="772"/>
      <c r="P31" s="772"/>
      <c r="Q31" s="772"/>
      <c r="R31" s="772"/>
      <c r="S31" s="772"/>
      <c r="T31" s="772"/>
      <c r="U31" s="772"/>
    </row>
    <row r="32" spans="1:23" x14ac:dyDescent="0.25">
      <c r="A32" s="22"/>
      <c r="B32" s="774" t="s">
        <v>33</v>
      </c>
      <c r="C32" s="774"/>
      <c r="D32" s="774"/>
      <c r="E32" s="774"/>
      <c r="F32" s="774"/>
      <c r="G32" s="206" t="s">
        <v>133</v>
      </c>
      <c r="H32" s="206" t="s">
        <v>132</v>
      </c>
      <c r="I32" s="206" t="s">
        <v>39</v>
      </c>
      <c r="J32" s="207" t="s">
        <v>29</v>
      </c>
      <c r="L32" s="22"/>
      <c r="M32" s="774" t="s">
        <v>33</v>
      </c>
      <c r="N32" s="774"/>
      <c r="O32" s="774"/>
      <c r="P32" s="774"/>
      <c r="Q32" s="774"/>
      <c r="R32" s="206" t="s">
        <v>133</v>
      </c>
      <c r="S32" s="206" t="s">
        <v>132</v>
      </c>
      <c r="T32" s="206" t="s">
        <v>39</v>
      </c>
      <c r="U32" s="207" t="s">
        <v>29</v>
      </c>
    </row>
    <row r="33" spans="1:23" ht="15" customHeight="1" x14ac:dyDescent="0.25">
      <c r="A33" s="22"/>
      <c r="B33" s="771"/>
      <c r="C33" s="771"/>
      <c r="D33" s="771"/>
      <c r="E33" s="771"/>
      <c r="F33" s="771"/>
      <c r="G33" s="206"/>
      <c r="H33" s="180"/>
      <c r="I33" s="181"/>
      <c r="J33" s="181">
        <f>ROUND(I33*H33,0)</f>
        <v>0</v>
      </c>
      <c r="L33" s="22"/>
      <c r="M33" s="771"/>
      <c r="N33" s="771"/>
      <c r="O33" s="771"/>
      <c r="P33" s="771"/>
      <c r="Q33" s="771"/>
      <c r="R33" s="206"/>
      <c r="S33" s="180"/>
      <c r="T33" s="181"/>
      <c r="U33" s="181">
        <f>ROUND(T33*S33,0)</f>
        <v>0</v>
      </c>
    </row>
    <row r="34" spans="1:23" ht="15" customHeight="1" x14ac:dyDescent="0.25">
      <c r="A34" s="22"/>
      <c r="B34" s="771"/>
      <c r="C34" s="771"/>
      <c r="D34" s="771"/>
      <c r="E34" s="771"/>
      <c r="F34" s="771"/>
      <c r="G34" s="206"/>
      <c r="H34" s="180"/>
      <c r="I34" s="181"/>
      <c r="J34" s="181">
        <v>0</v>
      </c>
      <c r="L34" s="22"/>
      <c r="M34" s="771"/>
      <c r="N34" s="771"/>
      <c r="O34" s="771"/>
      <c r="P34" s="771"/>
      <c r="Q34" s="771"/>
      <c r="R34" s="206"/>
      <c r="S34" s="180"/>
      <c r="T34" s="181"/>
      <c r="U34" s="181">
        <v>0</v>
      </c>
    </row>
    <row r="35" spans="1:23" ht="15" customHeight="1" x14ac:dyDescent="0.25">
      <c r="A35" s="22"/>
      <c r="B35" s="771"/>
      <c r="C35" s="771"/>
      <c r="D35" s="771"/>
      <c r="E35" s="771"/>
      <c r="F35" s="771"/>
      <c r="G35" s="206"/>
      <c r="H35" s="180"/>
      <c r="I35" s="181"/>
      <c r="J35" s="181">
        <v>0</v>
      </c>
      <c r="L35" s="22"/>
      <c r="M35" s="771"/>
      <c r="N35" s="771"/>
      <c r="O35" s="771"/>
      <c r="P35" s="771"/>
      <c r="Q35" s="771"/>
      <c r="R35" s="206"/>
      <c r="S35" s="180"/>
      <c r="T35" s="181"/>
      <c r="U35" s="181">
        <v>0</v>
      </c>
    </row>
    <row r="36" spans="1:23" ht="15" customHeight="1" x14ac:dyDescent="0.25">
      <c r="A36" s="22"/>
      <c r="B36" s="771"/>
      <c r="C36" s="771"/>
      <c r="D36" s="771"/>
      <c r="E36" s="771"/>
      <c r="F36" s="771"/>
      <c r="G36" s="206"/>
      <c r="H36" s="206"/>
      <c r="I36" s="181"/>
      <c r="J36" s="181">
        <v>0</v>
      </c>
      <c r="L36" s="22"/>
      <c r="M36" s="771"/>
      <c r="N36" s="771"/>
      <c r="O36" s="771"/>
      <c r="P36" s="771"/>
      <c r="Q36" s="771"/>
      <c r="R36" s="206"/>
      <c r="S36" s="206"/>
      <c r="T36" s="181"/>
      <c r="U36" s="181">
        <v>0</v>
      </c>
    </row>
    <row r="37" spans="1:23" ht="15" customHeight="1" x14ac:dyDescent="0.25">
      <c r="A37" s="22"/>
      <c r="B37" s="772" t="s">
        <v>40</v>
      </c>
      <c r="C37" s="772"/>
      <c r="D37" s="772"/>
      <c r="E37" s="772"/>
      <c r="F37" s="772"/>
      <c r="G37" s="772"/>
      <c r="H37" s="772"/>
      <c r="I37" s="772"/>
      <c r="J37" s="181">
        <f>SUM(J33:J36)</f>
        <v>0</v>
      </c>
      <c r="L37" s="22"/>
      <c r="M37" s="772" t="s">
        <v>40</v>
      </c>
      <c r="N37" s="772"/>
      <c r="O37" s="772"/>
      <c r="P37" s="772"/>
      <c r="Q37" s="772"/>
      <c r="R37" s="772"/>
      <c r="S37" s="772"/>
      <c r="T37" s="772"/>
      <c r="U37" s="181">
        <f>SUM(U33:U36)</f>
        <v>0</v>
      </c>
    </row>
    <row r="38" spans="1:23" ht="7.5" customHeight="1" x14ac:dyDescent="0.25">
      <c r="A38" s="22"/>
      <c r="B38" s="25"/>
      <c r="C38" s="25"/>
      <c r="D38" s="25"/>
      <c r="E38" s="25"/>
      <c r="F38" s="25"/>
      <c r="G38" s="25"/>
      <c r="H38" s="25"/>
      <c r="I38" s="25"/>
      <c r="J38" s="26"/>
      <c r="L38" s="22"/>
      <c r="M38" s="25"/>
      <c r="N38" s="25"/>
      <c r="O38" s="25"/>
      <c r="P38" s="25"/>
      <c r="Q38" s="25"/>
      <c r="R38" s="25"/>
      <c r="S38" s="25"/>
      <c r="T38" s="25"/>
      <c r="U38" s="26"/>
    </row>
    <row r="39" spans="1:23" ht="15" customHeight="1" x14ac:dyDescent="0.25">
      <c r="A39" s="22"/>
      <c r="B39" s="772" t="s">
        <v>41</v>
      </c>
      <c r="C39" s="772"/>
      <c r="D39" s="772"/>
      <c r="E39" s="772"/>
      <c r="F39" s="772"/>
      <c r="G39" s="772"/>
      <c r="H39" s="772"/>
      <c r="I39" s="772"/>
      <c r="J39" s="772"/>
      <c r="L39" s="22"/>
      <c r="M39" s="772" t="s">
        <v>41</v>
      </c>
      <c r="N39" s="772"/>
      <c r="O39" s="772"/>
      <c r="P39" s="772"/>
      <c r="Q39" s="772"/>
      <c r="R39" s="772"/>
      <c r="S39" s="772"/>
      <c r="T39" s="772"/>
      <c r="U39" s="772"/>
    </row>
    <row r="40" spans="1:23" ht="39.6" x14ac:dyDescent="0.25">
      <c r="A40" s="22"/>
      <c r="B40" s="774" t="s">
        <v>4</v>
      </c>
      <c r="C40" s="774"/>
      <c r="D40" s="774"/>
      <c r="E40" s="774"/>
      <c r="F40" s="774"/>
      <c r="G40" s="207" t="s">
        <v>51</v>
      </c>
      <c r="H40" s="207" t="s">
        <v>19</v>
      </c>
      <c r="I40" s="207" t="s">
        <v>28</v>
      </c>
      <c r="J40" s="207" t="s">
        <v>29</v>
      </c>
      <c r="L40" s="22"/>
      <c r="M40" s="774" t="s">
        <v>4</v>
      </c>
      <c r="N40" s="774"/>
      <c r="O40" s="774"/>
      <c r="P40" s="774"/>
      <c r="Q40" s="774"/>
      <c r="R40" s="207" t="s">
        <v>51</v>
      </c>
      <c r="S40" s="207" t="s">
        <v>19</v>
      </c>
      <c r="T40" s="207" t="s">
        <v>28</v>
      </c>
      <c r="U40" s="207" t="s">
        <v>29</v>
      </c>
    </row>
    <row r="41" spans="1:23" ht="27.75" customHeight="1" x14ac:dyDescent="0.25">
      <c r="A41" s="22"/>
      <c r="B41" s="814" t="s">
        <v>480</v>
      </c>
      <c r="C41" s="814"/>
      <c r="D41" s="814"/>
      <c r="E41" s="814"/>
      <c r="F41" s="814"/>
      <c r="G41" s="248">
        <v>259402.66</v>
      </c>
      <c r="H41" s="246">
        <v>1</v>
      </c>
      <c r="I41" s="245">
        <v>0.7</v>
      </c>
      <c r="J41" s="248">
        <f>ROUND(+IF(I41=0,0,G41*H41/I41),0)</f>
        <v>370575</v>
      </c>
      <c r="L41" s="22"/>
      <c r="M41" s="771" t="s">
        <v>480</v>
      </c>
      <c r="N41" s="771"/>
      <c r="O41" s="771"/>
      <c r="P41" s="771"/>
      <c r="Q41" s="771"/>
      <c r="R41" s="181">
        <v>259402.66</v>
      </c>
      <c r="S41" s="206">
        <v>1</v>
      </c>
      <c r="T41" s="180">
        <v>0.7</v>
      </c>
      <c r="U41" s="181">
        <f>ROUND(+IF(T41=0,0,R41*S41/T41),0)</f>
        <v>370575</v>
      </c>
      <c r="V41" s="239" t="s">
        <v>449</v>
      </c>
      <c r="W41" s="263"/>
    </row>
    <row r="42" spans="1:23" ht="15" customHeight="1" x14ac:dyDescent="0.25">
      <c r="A42" s="22"/>
      <c r="B42" s="814" t="s">
        <v>386</v>
      </c>
      <c r="C42" s="814"/>
      <c r="D42" s="814"/>
      <c r="E42" s="814"/>
      <c r="F42" s="814"/>
      <c r="G42" s="248">
        <v>78606.866666666669</v>
      </c>
      <c r="H42" s="246">
        <v>1</v>
      </c>
      <c r="I42" s="245">
        <v>0.7</v>
      </c>
      <c r="J42" s="248">
        <f>ROUND(+IF(I42=0,0,G42*H42/I42),0)</f>
        <v>112296</v>
      </c>
      <c r="L42" s="22"/>
      <c r="M42" s="771" t="s">
        <v>386</v>
      </c>
      <c r="N42" s="771"/>
      <c r="O42" s="771"/>
      <c r="P42" s="771"/>
      <c r="Q42" s="771"/>
      <c r="R42" s="181">
        <v>78606.866666666669</v>
      </c>
      <c r="S42" s="206">
        <v>1</v>
      </c>
      <c r="T42" s="180">
        <v>0.7</v>
      </c>
      <c r="U42" s="181">
        <f>ROUND(+IF(T42=0,0,R42*S42/T42),0)</f>
        <v>112296</v>
      </c>
      <c r="V42" s="239" t="s">
        <v>481</v>
      </c>
    </row>
    <row r="43" spans="1:23" ht="15" customHeight="1" x14ac:dyDescent="0.25">
      <c r="A43" s="22"/>
      <c r="B43" s="772" t="s">
        <v>42</v>
      </c>
      <c r="C43" s="772"/>
      <c r="D43" s="772"/>
      <c r="E43" s="772"/>
      <c r="F43" s="772"/>
      <c r="G43" s="772"/>
      <c r="H43" s="772"/>
      <c r="I43" s="772"/>
      <c r="J43" s="181">
        <f>SUM(J41:J42)</f>
        <v>482871</v>
      </c>
      <c r="L43" s="22"/>
      <c r="M43" s="785"/>
      <c r="N43" s="786"/>
      <c r="O43" s="786"/>
      <c r="P43" s="786"/>
      <c r="Q43" s="787"/>
      <c r="R43" s="181"/>
      <c r="S43" s="206"/>
      <c r="T43" s="180"/>
      <c r="U43" s="181"/>
      <c r="V43" s="239" t="s">
        <v>482</v>
      </c>
    </row>
    <row r="44" spans="1:23" ht="7.5" customHeight="1" x14ac:dyDescent="0.25">
      <c r="A44" s="22"/>
      <c r="B44" s="25"/>
      <c r="C44" s="25"/>
      <c r="D44" s="25"/>
      <c r="E44" s="25"/>
      <c r="F44" s="25"/>
      <c r="G44" s="25"/>
      <c r="H44" s="25"/>
      <c r="I44" s="25"/>
      <c r="J44" s="26"/>
      <c r="L44" s="22"/>
      <c r="M44" s="771"/>
      <c r="N44" s="771"/>
      <c r="O44" s="771"/>
      <c r="P44" s="771"/>
      <c r="Q44" s="771"/>
      <c r="R44" s="181" t="s">
        <v>501</v>
      </c>
      <c r="S44" s="206"/>
      <c r="T44" s="180"/>
      <c r="U44" s="181">
        <f t="shared" ref="U44" si="5">+IF(T44=0,0,R44*S44/T44)</f>
        <v>0</v>
      </c>
    </row>
    <row r="45" spans="1:23" ht="15.75" customHeight="1" x14ac:dyDescent="0.25">
      <c r="A45" s="27"/>
      <c r="B45" s="773" t="s">
        <v>43</v>
      </c>
      <c r="C45" s="773"/>
      <c r="D45" s="773"/>
      <c r="E45" s="773"/>
      <c r="F45" s="773"/>
      <c r="G45" s="773"/>
      <c r="H45" s="773"/>
      <c r="I45" s="773"/>
      <c r="J45" s="210">
        <f>+J43+J37+J17+J29</f>
        <v>1075315</v>
      </c>
      <c r="L45" s="22"/>
      <c r="M45" s="772" t="s">
        <v>42</v>
      </c>
      <c r="N45" s="772"/>
      <c r="O45" s="772"/>
      <c r="P45" s="772"/>
      <c r="Q45" s="772"/>
      <c r="R45" s="772"/>
      <c r="S45" s="772"/>
      <c r="T45" s="772"/>
      <c r="U45" s="181">
        <f>SUM(U41:U44)</f>
        <v>482871</v>
      </c>
    </row>
    <row r="46" spans="1:23" x14ac:dyDescent="0.25">
      <c r="B46" s="21"/>
      <c r="C46" s="21"/>
      <c r="D46" s="21"/>
      <c r="E46" s="21"/>
      <c r="F46" s="21"/>
      <c r="G46" s="21"/>
      <c r="H46" s="21"/>
      <c r="I46" s="21"/>
      <c r="J46" s="21"/>
      <c r="L46" s="22"/>
      <c r="M46" s="25"/>
      <c r="N46" s="25"/>
      <c r="O46" s="25"/>
      <c r="P46" s="25"/>
      <c r="Q46" s="25"/>
      <c r="R46" s="25"/>
      <c r="S46" s="25"/>
      <c r="T46" s="25"/>
      <c r="U46" s="26"/>
    </row>
    <row r="47" spans="1:23" x14ac:dyDescent="0.25">
      <c r="L47" s="27"/>
      <c r="M47" s="773" t="s">
        <v>43</v>
      </c>
      <c r="N47" s="773"/>
      <c r="O47" s="773"/>
      <c r="P47" s="773"/>
      <c r="Q47" s="773"/>
      <c r="R47" s="773"/>
      <c r="S47" s="773"/>
      <c r="T47" s="773"/>
      <c r="U47" s="210">
        <f>+U45+U37+U17+U29</f>
        <v>1075315</v>
      </c>
    </row>
    <row r="48" spans="1:23" ht="13.8" thickBot="1" x14ac:dyDescent="0.3"/>
    <row r="49" spans="8:10" x14ac:dyDescent="0.25">
      <c r="H49" s="251" t="s">
        <v>477</v>
      </c>
      <c r="I49" s="252"/>
      <c r="J49" s="253">
        <v>1113045</v>
      </c>
    </row>
    <row r="50" spans="8:10" x14ac:dyDescent="0.25">
      <c r="H50" s="254" t="s">
        <v>469</v>
      </c>
      <c r="I50" s="239"/>
      <c r="J50" s="255">
        <v>1052518</v>
      </c>
    </row>
    <row r="51" spans="8:10" ht="13.8" thickBot="1" x14ac:dyDescent="0.3">
      <c r="H51" s="256" t="s">
        <v>470</v>
      </c>
      <c r="I51" s="257"/>
      <c r="J51" s="258">
        <f>J45</f>
        <v>1075315</v>
      </c>
    </row>
  </sheetData>
  <mergeCells count="84">
    <mergeCell ref="A1:C4"/>
    <mergeCell ref="D1:J1"/>
    <mergeCell ref="L1:N4"/>
    <mergeCell ref="O1:U1"/>
    <mergeCell ref="D2:J2"/>
    <mergeCell ref="O2:U2"/>
    <mergeCell ref="D3:J3"/>
    <mergeCell ref="O3:U3"/>
    <mergeCell ref="D4:J4"/>
    <mergeCell ref="O4:U4"/>
    <mergeCell ref="E6:H6"/>
    <mergeCell ref="P6:S6"/>
    <mergeCell ref="B7:J7"/>
    <mergeCell ref="M7:U7"/>
    <mergeCell ref="B8:F8"/>
    <mergeCell ref="M8:Q8"/>
    <mergeCell ref="B9:F9"/>
    <mergeCell ref="M9:Q9"/>
    <mergeCell ref="B10:F10"/>
    <mergeCell ref="M10:Q10"/>
    <mergeCell ref="B11:F11"/>
    <mergeCell ref="M11:Q11"/>
    <mergeCell ref="B12:F12"/>
    <mergeCell ref="M12:Q12"/>
    <mergeCell ref="B13:F13"/>
    <mergeCell ref="M13:Q13"/>
    <mergeCell ref="B14:F14"/>
    <mergeCell ref="M14:Q14"/>
    <mergeCell ref="B15:F15"/>
    <mergeCell ref="M15:Q15"/>
    <mergeCell ref="B16:F16"/>
    <mergeCell ref="M16:Q16"/>
    <mergeCell ref="B17:I17"/>
    <mergeCell ref="M17:T17"/>
    <mergeCell ref="B19:J19"/>
    <mergeCell ref="M19:U19"/>
    <mergeCell ref="B20:E20"/>
    <mergeCell ref="M20:P20"/>
    <mergeCell ref="B21:E21"/>
    <mergeCell ref="M21:P21"/>
    <mergeCell ref="B22:E22"/>
    <mergeCell ref="M22:P22"/>
    <mergeCell ref="B23:E23"/>
    <mergeCell ref="M23:P23"/>
    <mergeCell ref="B24:E24"/>
    <mergeCell ref="M24:P24"/>
    <mergeCell ref="B25:E25"/>
    <mergeCell ref="M25:P25"/>
    <mergeCell ref="B26:E26"/>
    <mergeCell ref="M26:P26"/>
    <mergeCell ref="B27:E27"/>
    <mergeCell ref="M27:P27"/>
    <mergeCell ref="B28:E28"/>
    <mergeCell ref="M28:P28"/>
    <mergeCell ref="B29:I29"/>
    <mergeCell ref="M29:T29"/>
    <mergeCell ref="B31:J31"/>
    <mergeCell ref="M31:U31"/>
    <mergeCell ref="B32:F32"/>
    <mergeCell ref="M32:Q32"/>
    <mergeCell ref="B33:F33"/>
    <mergeCell ref="M33:Q33"/>
    <mergeCell ref="B34:F34"/>
    <mergeCell ref="M34:Q34"/>
    <mergeCell ref="B35:F35"/>
    <mergeCell ref="M35:Q35"/>
    <mergeCell ref="B36:F36"/>
    <mergeCell ref="M36:Q36"/>
    <mergeCell ref="B37:I37"/>
    <mergeCell ref="M37:T37"/>
    <mergeCell ref="B39:J39"/>
    <mergeCell ref="M39:U39"/>
    <mergeCell ref="B40:F40"/>
    <mergeCell ref="M40:Q40"/>
    <mergeCell ref="B41:F41"/>
    <mergeCell ref="M41:Q41"/>
    <mergeCell ref="M47:T47"/>
    <mergeCell ref="B42:F42"/>
    <mergeCell ref="M42:Q42"/>
    <mergeCell ref="B43:I43"/>
    <mergeCell ref="M43:Q43"/>
    <mergeCell ref="M44:Q44"/>
    <mergeCell ref="B45:I45"/>
    <mergeCell ref="M45:T45"/>
  </mergeCells>
  <hyperlinks>
    <hyperlink ref="C6" location="'PPTO HOJA'!A124" display="'PPTO HOJA'!A124" xr:uid="{00000000-0004-0000-3900-000000000000}"/>
    <hyperlink ref="N6" location="'PPTO HOJA'!A124" display="'PPTO HOJA'!A124" xr:uid="{00000000-0004-0000-3900-000001000000}"/>
  </hyperlinks>
  <pageMargins left="0.7" right="0.7" top="0.75" bottom="0.75" header="0.3" footer="0.3"/>
  <pageSetup paperSize="9" scale="26" orientation="portrait"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theme="5" tint="0.59999389629810485"/>
  </sheetPr>
  <dimension ref="A1:W52"/>
  <sheetViews>
    <sheetView zoomScale="85" zoomScaleNormal="85" zoomScaleSheetLayoutView="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9.109375" style="20" customWidth="1"/>
    <col min="11" max="11" width="3.5546875" style="20" customWidth="1"/>
    <col min="12" max="17" width="11.44140625" style="20"/>
    <col min="18" max="18" width="15.5546875" style="20" customWidth="1"/>
    <col min="19" max="19" width="11.44140625" style="20"/>
    <col min="20" max="20" width="14.6640625" style="20" bestFit="1" customWidth="1"/>
    <col min="21" max="21" width="20.5546875" style="20" customWidth="1"/>
    <col min="22" max="22" width="26.5546875" style="20" customWidth="1"/>
    <col min="23" max="23" width="39.33203125" style="20" customWidth="1"/>
    <col min="24" max="16384" width="11.44140625" style="20"/>
  </cols>
  <sheetData>
    <row r="1" spans="1:23" x14ac:dyDescent="0.25">
      <c r="A1" s="768"/>
      <c r="B1" s="768"/>
      <c r="C1" s="768"/>
      <c r="D1" s="769" t="s">
        <v>1</v>
      </c>
      <c r="E1" s="769"/>
      <c r="F1" s="769"/>
      <c r="G1" s="769"/>
      <c r="H1" s="769"/>
      <c r="I1" s="769"/>
      <c r="J1" s="769"/>
      <c r="L1" s="821" t="s">
        <v>469</v>
      </c>
      <c r="M1" s="821"/>
      <c r="N1" s="821"/>
      <c r="O1" s="769" t="str">
        <f>D1</f>
        <v>DEPARTAMENTO DE ANTIOQUIA</v>
      </c>
      <c r="P1" s="769"/>
      <c r="Q1" s="769"/>
      <c r="R1" s="769"/>
      <c r="S1" s="769"/>
      <c r="T1" s="769"/>
      <c r="U1" s="769"/>
    </row>
    <row r="2" spans="1:23" x14ac:dyDescent="0.25">
      <c r="A2" s="768"/>
      <c r="B2" s="768"/>
      <c r="C2" s="768"/>
      <c r="D2" s="769" t="s">
        <v>2</v>
      </c>
      <c r="E2" s="769"/>
      <c r="F2" s="769"/>
      <c r="G2" s="769"/>
      <c r="H2" s="769"/>
      <c r="I2" s="769"/>
      <c r="J2" s="769"/>
      <c r="L2" s="821"/>
      <c r="M2" s="821"/>
      <c r="N2" s="821"/>
      <c r="O2" s="769" t="str">
        <f t="shared" ref="O2:O3" si="0">D2</f>
        <v>MUNICIPIO DE ARBOLETES</v>
      </c>
      <c r="P2" s="769"/>
      <c r="Q2" s="769"/>
      <c r="R2" s="769"/>
      <c r="S2" s="769"/>
      <c r="T2" s="769"/>
      <c r="U2" s="769"/>
    </row>
    <row r="3" spans="1:23" ht="60" customHeight="1" x14ac:dyDescent="0.25">
      <c r="A3" s="768"/>
      <c r="B3" s="768"/>
      <c r="C3" s="768"/>
      <c r="D3" s="770" t="s">
        <v>328</v>
      </c>
      <c r="E3" s="770"/>
      <c r="F3" s="770"/>
      <c r="G3" s="770"/>
      <c r="H3" s="770"/>
      <c r="I3" s="770"/>
      <c r="J3" s="770"/>
      <c r="L3" s="821"/>
      <c r="M3" s="821"/>
      <c r="N3" s="821"/>
      <c r="O3" s="770" t="str">
        <f t="shared" si="0"/>
        <v>CONSTRUCCION DE OBRAS CIVILES COMPLEMENTARIAS PARA EL CORRECTO FUNCIONAMIENTO DEL PROYECTO DENOMINADO “PARQUE GEOLÓGICO, NATURAL, AMBIENTAL, CULTURAL Y TURÍSTICO, VOLCÁN DE LODO DE ARBOLETES”, QUE SE LLEVARÁ A CABO EN EL MUNICIPIO DE ARBOLETES-ANTIOQUIA</v>
      </c>
      <c r="P3" s="770"/>
      <c r="Q3" s="770"/>
      <c r="R3" s="770"/>
      <c r="S3" s="770"/>
      <c r="T3" s="770"/>
      <c r="U3" s="770"/>
    </row>
    <row r="4" spans="1:23" x14ac:dyDescent="0.25">
      <c r="A4" s="768"/>
      <c r="B4" s="768"/>
      <c r="C4" s="768"/>
      <c r="D4" s="769" t="s">
        <v>20</v>
      </c>
      <c r="E4" s="769"/>
      <c r="F4" s="769"/>
      <c r="G4" s="769"/>
      <c r="H4" s="769"/>
      <c r="I4" s="769"/>
      <c r="J4" s="769"/>
      <c r="L4" s="821"/>
      <c r="M4" s="821"/>
      <c r="N4" s="821"/>
      <c r="O4" s="769" t="s">
        <v>20</v>
      </c>
      <c r="P4" s="769"/>
      <c r="Q4" s="769"/>
      <c r="R4" s="769"/>
      <c r="S4" s="769"/>
      <c r="T4" s="769"/>
      <c r="U4" s="769"/>
    </row>
    <row r="5" spans="1:23" ht="9.75" customHeight="1" x14ac:dyDescent="0.25">
      <c r="A5" s="22"/>
      <c r="J5" s="23"/>
      <c r="L5" s="22"/>
      <c r="U5" s="23"/>
    </row>
    <row r="6" spans="1:23" s="21" customFormat="1" ht="45" customHeight="1" x14ac:dyDescent="0.3">
      <c r="A6" s="202" t="s">
        <v>460</v>
      </c>
      <c r="B6" s="203" t="s">
        <v>22</v>
      </c>
      <c r="C6" s="204">
        <v>7.0599999999999987</v>
      </c>
      <c r="D6" s="205"/>
      <c r="E6" s="777" t="s">
        <v>416</v>
      </c>
      <c r="F6" s="777"/>
      <c r="G6" s="777"/>
      <c r="H6" s="777"/>
      <c r="I6" s="202" t="s">
        <v>23</v>
      </c>
      <c r="J6" s="206" t="s">
        <v>9</v>
      </c>
      <c r="L6" s="202" t="s">
        <v>460</v>
      </c>
      <c r="M6" s="203" t="s">
        <v>22</v>
      </c>
      <c r="N6" s="204">
        <f>C6</f>
        <v>7.0599999999999987</v>
      </c>
      <c r="O6" s="205"/>
      <c r="P6" s="777" t="str">
        <f>E6</f>
        <v xml:space="preserve">Suministro e Instalación de tablero mb de 18 ctos monofásico con puerta </v>
      </c>
      <c r="Q6" s="777"/>
      <c r="R6" s="777"/>
      <c r="S6" s="777"/>
      <c r="T6" s="202" t="s">
        <v>23</v>
      </c>
      <c r="U6" s="206" t="str">
        <f>J6</f>
        <v>und</v>
      </c>
    </row>
    <row r="7" spans="1:23" ht="15" customHeight="1" x14ac:dyDescent="0.25">
      <c r="A7" s="22"/>
      <c r="B7" s="772" t="s">
        <v>24</v>
      </c>
      <c r="C7" s="772"/>
      <c r="D7" s="772"/>
      <c r="E7" s="772"/>
      <c r="F7" s="772"/>
      <c r="G7" s="772"/>
      <c r="H7" s="772"/>
      <c r="I7" s="772"/>
      <c r="J7" s="772"/>
      <c r="L7" s="22"/>
      <c r="M7" s="772" t="s">
        <v>24</v>
      </c>
      <c r="N7" s="772"/>
      <c r="O7" s="772"/>
      <c r="P7" s="772"/>
      <c r="Q7" s="772"/>
      <c r="R7" s="772"/>
      <c r="S7" s="772"/>
      <c r="T7" s="772"/>
      <c r="U7" s="772"/>
      <c r="W7" s="259" t="s">
        <v>471</v>
      </c>
    </row>
    <row r="8" spans="1:23"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3" ht="15" customHeight="1" x14ac:dyDescent="0.25">
      <c r="A9" s="22"/>
      <c r="B9" s="771" t="s">
        <v>30</v>
      </c>
      <c r="C9" s="771"/>
      <c r="D9" s="771"/>
      <c r="E9" s="771"/>
      <c r="F9" s="771"/>
      <c r="G9" s="206"/>
      <c r="H9" s="181"/>
      <c r="I9" s="208">
        <v>0.05</v>
      </c>
      <c r="J9" s="181">
        <f>ROUND(I9*J44,0)</f>
        <v>24144</v>
      </c>
      <c r="L9" s="22"/>
      <c r="M9" s="771" t="s">
        <v>30</v>
      </c>
      <c r="N9" s="771"/>
      <c r="O9" s="771"/>
      <c r="P9" s="771"/>
      <c r="Q9" s="771"/>
      <c r="R9" s="206"/>
      <c r="S9" s="181"/>
      <c r="T9" s="208">
        <v>0.05</v>
      </c>
      <c r="U9" s="181">
        <f>ROUND(T9*U45,0)</f>
        <v>24144</v>
      </c>
      <c r="V9" s="239" t="s">
        <v>461</v>
      </c>
    </row>
    <row r="10" spans="1:23" ht="15" customHeight="1" x14ac:dyDescent="0.25">
      <c r="A10" s="22"/>
      <c r="B10" s="777"/>
      <c r="C10" s="777"/>
      <c r="D10" s="777"/>
      <c r="E10" s="777"/>
      <c r="F10" s="777"/>
      <c r="G10" s="206"/>
      <c r="H10" s="181" t="s">
        <v>501</v>
      </c>
      <c r="I10" s="180"/>
      <c r="J10" s="181">
        <f>IF(B10="",0,ROUND(H10/I10,0))</f>
        <v>0</v>
      </c>
      <c r="L10" s="22"/>
      <c r="M10" s="777"/>
      <c r="N10" s="777"/>
      <c r="O10" s="777"/>
      <c r="P10" s="777"/>
      <c r="Q10" s="777"/>
      <c r="R10" s="206"/>
      <c r="S10" s="181" t="s">
        <v>501</v>
      </c>
      <c r="T10" s="180"/>
      <c r="U10" s="181">
        <f>IF(M10="",0,ROUND(S10/T10,0))</f>
        <v>0</v>
      </c>
    </row>
    <row r="11" spans="1:23" ht="15" customHeight="1" x14ac:dyDescent="0.25">
      <c r="A11" s="22"/>
      <c r="B11" s="771"/>
      <c r="C11" s="771"/>
      <c r="D11" s="771"/>
      <c r="E11" s="771"/>
      <c r="F11" s="771"/>
      <c r="G11" s="206"/>
      <c r="H11" s="181"/>
      <c r="I11" s="180"/>
      <c r="J11" s="181">
        <f t="shared" ref="J11:J15" si="1">IF(B11="",0,ROUND(H11/I11,0))</f>
        <v>0</v>
      </c>
      <c r="L11" s="22"/>
      <c r="M11" s="771"/>
      <c r="N11" s="771"/>
      <c r="O11" s="771"/>
      <c r="P11" s="771"/>
      <c r="Q11" s="771"/>
      <c r="R11" s="206"/>
      <c r="S11" s="181"/>
      <c r="T11" s="180"/>
      <c r="U11" s="181">
        <f t="shared" ref="U11:U15" si="2">IF(M11="",0,ROUND(S11/T11,0))</f>
        <v>0</v>
      </c>
    </row>
    <row r="12" spans="1:23" ht="15" customHeight="1" x14ac:dyDescent="0.25">
      <c r="A12" s="22"/>
      <c r="B12" s="771"/>
      <c r="C12" s="771"/>
      <c r="D12" s="771"/>
      <c r="E12" s="771"/>
      <c r="F12" s="771"/>
      <c r="G12" s="206" t="s">
        <v>501</v>
      </c>
      <c r="H12" s="181" t="s">
        <v>501</v>
      </c>
      <c r="I12" s="180"/>
      <c r="J12" s="181">
        <f t="shared" si="1"/>
        <v>0</v>
      </c>
      <c r="L12" s="22"/>
      <c r="M12" s="771"/>
      <c r="N12" s="771"/>
      <c r="O12" s="771"/>
      <c r="P12" s="771"/>
      <c r="Q12" s="771"/>
      <c r="R12" s="206" t="s">
        <v>501</v>
      </c>
      <c r="S12" s="181" t="s">
        <v>501</v>
      </c>
      <c r="T12" s="180"/>
      <c r="U12" s="181">
        <f t="shared" si="2"/>
        <v>0</v>
      </c>
    </row>
    <row r="13" spans="1:23" ht="15" customHeight="1" x14ac:dyDescent="0.25">
      <c r="A13" s="22"/>
      <c r="B13" s="771"/>
      <c r="C13" s="771"/>
      <c r="D13" s="771"/>
      <c r="E13" s="771"/>
      <c r="F13" s="771"/>
      <c r="G13" s="206" t="s">
        <v>501</v>
      </c>
      <c r="H13" s="181" t="s">
        <v>501</v>
      </c>
      <c r="I13" s="180"/>
      <c r="J13" s="181">
        <f t="shared" si="1"/>
        <v>0</v>
      </c>
      <c r="L13" s="22"/>
      <c r="M13" s="771"/>
      <c r="N13" s="771"/>
      <c r="O13" s="771"/>
      <c r="P13" s="771"/>
      <c r="Q13" s="771"/>
      <c r="R13" s="206" t="s">
        <v>501</v>
      </c>
      <c r="S13" s="181" t="s">
        <v>501</v>
      </c>
      <c r="T13" s="180"/>
      <c r="U13" s="181">
        <f t="shared" si="2"/>
        <v>0</v>
      </c>
    </row>
    <row r="14" spans="1:23" ht="15" customHeight="1" x14ac:dyDescent="0.25">
      <c r="A14" s="22"/>
      <c r="B14" s="771"/>
      <c r="C14" s="771"/>
      <c r="D14" s="771"/>
      <c r="E14" s="771"/>
      <c r="F14" s="771"/>
      <c r="G14" s="206" t="s">
        <v>501</v>
      </c>
      <c r="H14" s="181" t="s">
        <v>501</v>
      </c>
      <c r="I14" s="180"/>
      <c r="J14" s="181">
        <f t="shared" si="1"/>
        <v>0</v>
      </c>
      <c r="L14" s="22"/>
      <c r="M14" s="771"/>
      <c r="N14" s="771"/>
      <c r="O14" s="771"/>
      <c r="P14" s="771"/>
      <c r="Q14" s="771"/>
      <c r="R14" s="206" t="s">
        <v>501</v>
      </c>
      <c r="S14" s="181" t="s">
        <v>501</v>
      </c>
      <c r="T14" s="180"/>
      <c r="U14" s="181">
        <f t="shared" si="2"/>
        <v>0</v>
      </c>
    </row>
    <row r="15" spans="1:23" ht="15" customHeight="1" x14ac:dyDescent="0.25">
      <c r="A15" s="22"/>
      <c r="B15" s="771"/>
      <c r="C15" s="771"/>
      <c r="D15" s="771"/>
      <c r="E15" s="771"/>
      <c r="F15" s="771"/>
      <c r="G15" s="206" t="s">
        <v>501</v>
      </c>
      <c r="H15" s="181" t="s">
        <v>501</v>
      </c>
      <c r="I15" s="180"/>
      <c r="J15" s="181">
        <f t="shared" si="1"/>
        <v>0</v>
      </c>
      <c r="L15" s="22"/>
      <c r="M15" s="771"/>
      <c r="N15" s="771"/>
      <c r="O15" s="771"/>
      <c r="P15" s="771"/>
      <c r="Q15" s="771"/>
      <c r="R15" s="206" t="s">
        <v>501</v>
      </c>
      <c r="S15" s="181" t="s">
        <v>501</v>
      </c>
      <c r="T15" s="180"/>
      <c r="U15" s="181">
        <f t="shared" si="2"/>
        <v>0</v>
      </c>
    </row>
    <row r="16" spans="1:23" ht="15" customHeight="1" x14ac:dyDescent="0.25">
      <c r="A16" s="22"/>
      <c r="B16" s="771"/>
      <c r="C16" s="771"/>
      <c r="D16" s="771"/>
      <c r="E16" s="771"/>
      <c r="F16" s="771"/>
      <c r="G16" s="206" t="s">
        <v>501</v>
      </c>
      <c r="H16" s="181" t="s">
        <v>501</v>
      </c>
      <c r="I16" s="180"/>
      <c r="J16" s="181"/>
      <c r="L16" s="22"/>
      <c r="M16" s="771"/>
      <c r="N16" s="771"/>
      <c r="O16" s="771"/>
      <c r="P16" s="771"/>
      <c r="Q16" s="771"/>
      <c r="R16" s="206" t="s">
        <v>501</v>
      </c>
      <c r="S16" s="181" t="s">
        <v>501</v>
      </c>
      <c r="T16" s="180"/>
      <c r="U16" s="181"/>
    </row>
    <row r="17" spans="1:23" ht="15" customHeight="1" x14ac:dyDescent="0.25">
      <c r="A17" s="22"/>
      <c r="B17" s="772" t="s">
        <v>31</v>
      </c>
      <c r="C17" s="772"/>
      <c r="D17" s="772"/>
      <c r="E17" s="772"/>
      <c r="F17" s="772"/>
      <c r="G17" s="772"/>
      <c r="H17" s="772"/>
      <c r="I17" s="772"/>
      <c r="J17" s="181">
        <f>SUM(J9:J16)</f>
        <v>24144</v>
      </c>
      <c r="L17" s="22"/>
      <c r="M17" s="772" t="s">
        <v>31</v>
      </c>
      <c r="N17" s="772"/>
      <c r="O17" s="772"/>
      <c r="P17" s="772"/>
      <c r="Q17" s="772"/>
      <c r="R17" s="772"/>
      <c r="S17" s="772"/>
      <c r="T17" s="772"/>
      <c r="U17" s="181">
        <f>SUM(U9:U16)</f>
        <v>24144</v>
      </c>
    </row>
    <row r="18" spans="1:23" ht="7.5" customHeight="1" x14ac:dyDescent="0.25">
      <c r="A18" s="22"/>
      <c r="B18" s="25"/>
      <c r="C18" s="25"/>
      <c r="D18" s="25"/>
      <c r="E18" s="25"/>
      <c r="F18" s="25"/>
      <c r="G18" s="25"/>
      <c r="H18" s="25"/>
      <c r="I18" s="25"/>
      <c r="J18" s="26"/>
      <c r="L18" s="22"/>
      <c r="M18" s="25"/>
      <c r="N18" s="25"/>
      <c r="O18" s="25"/>
      <c r="P18" s="25"/>
      <c r="Q18" s="25"/>
      <c r="R18" s="25"/>
      <c r="S18" s="25"/>
      <c r="T18" s="25"/>
      <c r="U18" s="26"/>
    </row>
    <row r="19" spans="1:23" ht="15" customHeight="1" x14ac:dyDescent="0.25">
      <c r="A19" s="22"/>
      <c r="B19" s="772" t="s">
        <v>32</v>
      </c>
      <c r="C19" s="772"/>
      <c r="D19" s="772"/>
      <c r="E19" s="772"/>
      <c r="F19" s="772"/>
      <c r="G19" s="772"/>
      <c r="H19" s="772"/>
      <c r="I19" s="772"/>
      <c r="J19" s="772"/>
      <c r="L19" s="22"/>
      <c r="M19" s="772" t="s">
        <v>32</v>
      </c>
      <c r="N19" s="772"/>
      <c r="O19" s="772"/>
      <c r="P19" s="772"/>
      <c r="Q19" s="772"/>
      <c r="R19" s="772"/>
      <c r="S19" s="772"/>
      <c r="T19" s="772"/>
      <c r="U19" s="772"/>
    </row>
    <row r="20" spans="1:23" ht="26.4" x14ac:dyDescent="0.25">
      <c r="A20" s="22"/>
      <c r="B20" s="774" t="s">
        <v>33</v>
      </c>
      <c r="C20" s="774"/>
      <c r="D20" s="774"/>
      <c r="E20" s="774"/>
      <c r="F20" s="205" t="s">
        <v>19</v>
      </c>
      <c r="G20" s="206" t="s">
        <v>34</v>
      </c>
      <c r="H20" s="207" t="s">
        <v>35</v>
      </c>
      <c r="I20" s="207" t="s">
        <v>36</v>
      </c>
      <c r="J20" s="207" t="s">
        <v>29</v>
      </c>
      <c r="L20" s="22"/>
      <c r="M20" s="774" t="s">
        <v>33</v>
      </c>
      <c r="N20" s="774"/>
      <c r="O20" s="774"/>
      <c r="P20" s="774"/>
      <c r="Q20" s="205" t="s">
        <v>19</v>
      </c>
      <c r="R20" s="206" t="s">
        <v>34</v>
      </c>
      <c r="S20" s="207" t="s">
        <v>35</v>
      </c>
      <c r="T20" s="207" t="s">
        <v>36</v>
      </c>
      <c r="U20" s="207" t="s">
        <v>29</v>
      </c>
    </row>
    <row r="21" spans="1:23" ht="39.6" customHeight="1" x14ac:dyDescent="0.25">
      <c r="A21" s="22"/>
      <c r="B21" s="815" t="s">
        <v>483</v>
      </c>
      <c r="C21" s="816"/>
      <c r="D21" s="816"/>
      <c r="E21" s="817"/>
      <c r="F21" s="245">
        <v>1</v>
      </c>
      <c r="G21" s="246" t="s">
        <v>9</v>
      </c>
      <c r="H21" s="247"/>
      <c r="I21" s="248">
        <v>467500</v>
      </c>
      <c r="J21" s="248">
        <f>IF(I21="",0,ROUND((+F21*I21*(1+H21)),0))</f>
        <v>467500</v>
      </c>
      <c r="L21" s="22"/>
      <c r="M21" s="791" t="s">
        <v>483</v>
      </c>
      <c r="N21" s="792"/>
      <c r="O21" s="792"/>
      <c r="P21" s="793"/>
      <c r="Q21" s="180">
        <v>1</v>
      </c>
      <c r="R21" s="206" t="s">
        <v>9</v>
      </c>
      <c r="S21" s="213"/>
      <c r="T21" s="181">
        <v>467500</v>
      </c>
      <c r="U21" s="181">
        <f>+T21</f>
        <v>467500</v>
      </c>
      <c r="V21" s="240" t="s">
        <v>478</v>
      </c>
      <c r="W21" s="261" t="s">
        <v>479</v>
      </c>
    </row>
    <row r="22" spans="1:23" ht="15" customHeight="1" x14ac:dyDescent="0.25">
      <c r="A22" s="22"/>
      <c r="B22" s="791"/>
      <c r="C22" s="792"/>
      <c r="D22" s="792"/>
      <c r="E22" s="793"/>
      <c r="F22" s="180"/>
      <c r="G22" s="206" t="s">
        <v>501</v>
      </c>
      <c r="H22" s="209"/>
      <c r="I22" s="181" t="s">
        <v>501</v>
      </c>
      <c r="J22" s="181">
        <f t="shared" ref="J22:J27" si="3">IF(I22="",0,ROUND((+F22*I22*(1+H22)),0))</f>
        <v>0</v>
      </c>
      <c r="K22" s="117"/>
      <c r="L22" s="22"/>
      <c r="M22" s="791"/>
      <c r="N22" s="792"/>
      <c r="O22" s="792"/>
      <c r="P22" s="793"/>
      <c r="Q22" s="180"/>
      <c r="R22" s="206" t="s">
        <v>501</v>
      </c>
      <c r="S22" s="209"/>
      <c r="T22" s="181" t="s">
        <v>501</v>
      </c>
      <c r="U22" s="181">
        <f t="shared" ref="U22:U27" si="4">IF(T22="",0,ROUND((+Q22*T22*(1+S22)),0))</f>
        <v>0</v>
      </c>
    </row>
    <row r="23" spans="1:23" ht="15" customHeight="1" x14ac:dyDescent="0.25">
      <c r="A23" s="22"/>
      <c r="B23" s="791"/>
      <c r="C23" s="792"/>
      <c r="D23" s="792"/>
      <c r="E23" s="793"/>
      <c r="F23" s="180"/>
      <c r="G23" s="206" t="s">
        <v>501</v>
      </c>
      <c r="H23" s="209"/>
      <c r="I23" s="181" t="s">
        <v>501</v>
      </c>
      <c r="J23" s="181">
        <f t="shared" si="3"/>
        <v>0</v>
      </c>
      <c r="K23" s="117"/>
      <c r="L23" s="22"/>
      <c r="M23" s="791"/>
      <c r="N23" s="792"/>
      <c r="O23" s="792"/>
      <c r="P23" s="793"/>
      <c r="Q23" s="180"/>
      <c r="R23" s="206" t="s">
        <v>501</v>
      </c>
      <c r="S23" s="209"/>
      <c r="T23" s="181" t="s">
        <v>501</v>
      </c>
      <c r="U23" s="181">
        <f t="shared" si="4"/>
        <v>0</v>
      </c>
    </row>
    <row r="24" spans="1:23" ht="15" customHeight="1" x14ac:dyDescent="0.25">
      <c r="A24" s="22"/>
      <c r="B24" s="791"/>
      <c r="C24" s="792"/>
      <c r="D24" s="792"/>
      <c r="E24" s="793"/>
      <c r="F24" s="180"/>
      <c r="G24" s="206" t="s">
        <v>501</v>
      </c>
      <c r="H24" s="209"/>
      <c r="I24" s="181" t="s">
        <v>501</v>
      </c>
      <c r="J24" s="181">
        <f t="shared" si="3"/>
        <v>0</v>
      </c>
      <c r="L24" s="22"/>
      <c r="M24" s="791"/>
      <c r="N24" s="792"/>
      <c r="O24" s="792"/>
      <c r="P24" s="793"/>
      <c r="Q24" s="180"/>
      <c r="R24" s="206" t="s">
        <v>501</v>
      </c>
      <c r="S24" s="209"/>
      <c r="T24" s="181" t="s">
        <v>501</v>
      </c>
      <c r="U24" s="181">
        <f t="shared" si="4"/>
        <v>0</v>
      </c>
    </row>
    <row r="25" spans="1:23" ht="15" customHeight="1" x14ac:dyDescent="0.25">
      <c r="A25" s="22"/>
      <c r="B25" s="791"/>
      <c r="C25" s="792"/>
      <c r="D25" s="792"/>
      <c r="E25" s="793"/>
      <c r="F25" s="180"/>
      <c r="G25" s="206" t="s">
        <v>501</v>
      </c>
      <c r="H25" s="209"/>
      <c r="I25" s="181" t="s">
        <v>501</v>
      </c>
      <c r="J25" s="181">
        <f t="shared" si="3"/>
        <v>0</v>
      </c>
      <c r="L25" s="22"/>
      <c r="M25" s="791"/>
      <c r="N25" s="792"/>
      <c r="O25" s="792"/>
      <c r="P25" s="793"/>
      <c r="Q25" s="180"/>
      <c r="R25" s="206" t="s">
        <v>501</v>
      </c>
      <c r="S25" s="209"/>
      <c r="T25" s="181" t="s">
        <v>501</v>
      </c>
      <c r="U25" s="181">
        <f t="shared" si="4"/>
        <v>0</v>
      </c>
    </row>
    <row r="26" spans="1:23" ht="15" customHeight="1" x14ac:dyDescent="0.25">
      <c r="A26" s="22"/>
      <c r="B26" s="791"/>
      <c r="C26" s="792"/>
      <c r="D26" s="792"/>
      <c r="E26" s="793"/>
      <c r="F26" s="180"/>
      <c r="G26" s="206" t="s">
        <v>501</v>
      </c>
      <c r="H26" s="209"/>
      <c r="I26" s="181" t="s">
        <v>501</v>
      </c>
      <c r="J26" s="181">
        <f t="shared" si="3"/>
        <v>0</v>
      </c>
      <c r="L26" s="22"/>
      <c r="M26" s="791"/>
      <c r="N26" s="792"/>
      <c r="O26" s="792"/>
      <c r="P26" s="793"/>
      <c r="Q26" s="180"/>
      <c r="R26" s="206" t="s">
        <v>501</v>
      </c>
      <c r="S26" s="209"/>
      <c r="T26" s="181" t="s">
        <v>501</v>
      </c>
      <c r="U26" s="181">
        <f t="shared" si="4"/>
        <v>0</v>
      </c>
    </row>
    <row r="27" spans="1:23" ht="15" customHeight="1" x14ac:dyDescent="0.25">
      <c r="A27" s="22"/>
      <c r="B27" s="791"/>
      <c r="C27" s="792"/>
      <c r="D27" s="792"/>
      <c r="E27" s="793"/>
      <c r="F27" s="180"/>
      <c r="G27" s="206" t="s">
        <v>501</v>
      </c>
      <c r="H27" s="209"/>
      <c r="I27" s="181" t="s">
        <v>501</v>
      </c>
      <c r="J27" s="181">
        <f t="shared" si="3"/>
        <v>0</v>
      </c>
      <c r="L27" s="22"/>
      <c r="M27" s="791"/>
      <c r="N27" s="792"/>
      <c r="O27" s="792"/>
      <c r="P27" s="793"/>
      <c r="Q27" s="180"/>
      <c r="R27" s="206" t="s">
        <v>501</v>
      </c>
      <c r="S27" s="209"/>
      <c r="T27" s="181" t="s">
        <v>501</v>
      </c>
      <c r="U27" s="181">
        <f t="shared" si="4"/>
        <v>0</v>
      </c>
    </row>
    <row r="28" spans="1:23" ht="15" customHeight="1" x14ac:dyDescent="0.25">
      <c r="A28" s="22"/>
      <c r="B28" s="785"/>
      <c r="C28" s="786"/>
      <c r="D28" s="786"/>
      <c r="E28" s="787"/>
      <c r="F28" s="180"/>
      <c r="G28" s="206" t="s">
        <v>501</v>
      </c>
      <c r="H28" s="209"/>
      <c r="I28" s="181" t="s">
        <v>501</v>
      </c>
      <c r="J28" s="181"/>
      <c r="L28" s="22"/>
      <c r="M28" s="785"/>
      <c r="N28" s="786"/>
      <c r="O28" s="786"/>
      <c r="P28" s="787"/>
      <c r="Q28" s="180"/>
      <c r="R28" s="206" t="s">
        <v>501</v>
      </c>
      <c r="S28" s="209"/>
      <c r="T28" s="181" t="s">
        <v>501</v>
      </c>
      <c r="U28" s="181"/>
    </row>
    <row r="29" spans="1:23" ht="15" customHeight="1" x14ac:dyDescent="0.25">
      <c r="A29" s="22"/>
      <c r="B29" s="772" t="s">
        <v>37</v>
      </c>
      <c r="C29" s="772"/>
      <c r="D29" s="772"/>
      <c r="E29" s="772"/>
      <c r="F29" s="772"/>
      <c r="G29" s="772"/>
      <c r="H29" s="772"/>
      <c r="I29" s="772"/>
      <c r="J29" s="181">
        <f>SUM(J21:J28)</f>
        <v>467500</v>
      </c>
      <c r="L29" s="22"/>
      <c r="M29" s="772" t="s">
        <v>37</v>
      </c>
      <c r="N29" s="772"/>
      <c r="O29" s="772"/>
      <c r="P29" s="772"/>
      <c r="Q29" s="772"/>
      <c r="R29" s="772"/>
      <c r="S29" s="772"/>
      <c r="T29" s="772"/>
      <c r="U29" s="181">
        <f>SUM(U21:U28)</f>
        <v>467500</v>
      </c>
    </row>
    <row r="30" spans="1:23" ht="7.5" customHeight="1" x14ac:dyDescent="0.25">
      <c r="A30" s="22"/>
      <c r="B30" s="25"/>
      <c r="C30" s="25"/>
      <c r="D30" s="25"/>
      <c r="E30" s="25"/>
      <c r="F30" s="25"/>
      <c r="G30" s="25"/>
      <c r="H30" s="25"/>
      <c r="I30" s="25"/>
      <c r="J30" s="26"/>
      <c r="L30" s="22"/>
      <c r="M30" s="25"/>
      <c r="N30" s="25"/>
      <c r="O30" s="25"/>
      <c r="P30" s="25"/>
      <c r="Q30" s="25"/>
      <c r="R30" s="25"/>
      <c r="S30" s="25"/>
      <c r="T30" s="25"/>
      <c r="U30" s="26"/>
    </row>
    <row r="31" spans="1:23" ht="15" customHeight="1" x14ac:dyDescent="0.25">
      <c r="A31" s="22"/>
      <c r="B31" s="772" t="s">
        <v>38</v>
      </c>
      <c r="C31" s="772"/>
      <c r="D31" s="772"/>
      <c r="E31" s="772"/>
      <c r="F31" s="772"/>
      <c r="G31" s="772"/>
      <c r="H31" s="772"/>
      <c r="I31" s="772"/>
      <c r="J31" s="772"/>
      <c r="L31" s="22"/>
      <c r="M31" s="772" t="s">
        <v>38</v>
      </c>
      <c r="N31" s="772"/>
      <c r="O31" s="772"/>
      <c r="P31" s="772"/>
      <c r="Q31" s="772"/>
      <c r="R31" s="772"/>
      <c r="S31" s="772"/>
      <c r="T31" s="772"/>
      <c r="U31" s="772"/>
    </row>
    <row r="32" spans="1:23" x14ac:dyDescent="0.25">
      <c r="A32" s="22"/>
      <c r="B32" s="774" t="s">
        <v>33</v>
      </c>
      <c r="C32" s="774"/>
      <c r="D32" s="774"/>
      <c r="E32" s="774"/>
      <c r="F32" s="774"/>
      <c r="G32" s="206" t="s">
        <v>133</v>
      </c>
      <c r="H32" s="206" t="s">
        <v>132</v>
      </c>
      <c r="I32" s="206" t="s">
        <v>39</v>
      </c>
      <c r="J32" s="207" t="s">
        <v>29</v>
      </c>
      <c r="L32" s="22"/>
      <c r="M32" s="774" t="s">
        <v>33</v>
      </c>
      <c r="N32" s="774"/>
      <c r="O32" s="774"/>
      <c r="P32" s="774"/>
      <c r="Q32" s="774"/>
      <c r="R32" s="206" t="s">
        <v>133</v>
      </c>
      <c r="S32" s="206" t="s">
        <v>132</v>
      </c>
      <c r="T32" s="206" t="s">
        <v>39</v>
      </c>
      <c r="U32" s="207" t="s">
        <v>29</v>
      </c>
    </row>
    <row r="33" spans="1:22" ht="15" customHeight="1" x14ac:dyDescent="0.25">
      <c r="A33" s="22"/>
      <c r="B33" s="771"/>
      <c r="C33" s="771"/>
      <c r="D33" s="771"/>
      <c r="E33" s="771"/>
      <c r="F33" s="771"/>
      <c r="G33" s="206"/>
      <c r="H33" s="180"/>
      <c r="I33" s="181"/>
      <c r="J33" s="181">
        <f>ROUND(I33*H33,0)</f>
        <v>0</v>
      </c>
      <c r="L33" s="22"/>
      <c r="M33" s="771"/>
      <c r="N33" s="771"/>
      <c r="O33" s="771"/>
      <c r="P33" s="771"/>
      <c r="Q33" s="771"/>
      <c r="R33" s="206"/>
      <c r="S33" s="180"/>
      <c r="T33" s="181"/>
      <c r="U33" s="181">
        <f>ROUND(T33*S33,0)</f>
        <v>0</v>
      </c>
    </row>
    <row r="34" spans="1:22" ht="15" customHeight="1" x14ac:dyDescent="0.25">
      <c r="A34" s="22"/>
      <c r="B34" s="771"/>
      <c r="C34" s="771"/>
      <c r="D34" s="771"/>
      <c r="E34" s="771"/>
      <c r="F34" s="771"/>
      <c r="G34" s="206"/>
      <c r="H34" s="180"/>
      <c r="I34" s="181"/>
      <c r="J34" s="181">
        <v>0</v>
      </c>
      <c r="L34" s="22"/>
      <c r="M34" s="771"/>
      <c r="N34" s="771"/>
      <c r="O34" s="771"/>
      <c r="P34" s="771"/>
      <c r="Q34" s="771"/>
      <c r="R34" s="206"/>
      <c r="S34" s="180"/>
      <c r="T34" s="181"/>
      <c r="U34" s="181">
        <v>0</v>
      </c>
    </row>
    <row r="35" spans="1:22" ht="15" customHeight="1" x14ac:dyDescent="0.25">
      <c r="A35" s="22"/>
      <c r="B35" s="771"/>
      <c r="C35" s="771"/>
      <c r="D35" s="771"/>
      <c r="E35" s="771"/>
      <c r="F35" s="771"/>
      <c r="G35" s="206"/>
      <c r="H35" s="180"/>
      <c r="I35" s="181"/>
      <c r="J35" s="181">
        <v>0</v>
      </c>
      <c r="L35" s="22"/>
      <c r="M35" s="771"/>
      <c r="N35" s="771"/>
      <c r="O35" s="771"/>
      <c r="P35" s="771"/>
      <c r="Q35" s="771"/>
      <c r="R35" s="206"/>
      <c r="S35" s="180"/>
      <c r="T35" s="181"/>
      <c r="U35" s="181">
        <v>0</v>
      </c>
    </row>
    <row r="36" spans="1:22" ht="15" customHeight="1" x14ac:dyDescent="0.25">
      <c r="A36" s="22"/>
      <c r="B36" s="771"/>
      <c r="C36" s="771"/>
      <c r="D36" s="771"/>
      <c r="E36" s="771"/>
      <c r="F36" s="771"/>
      <c r="G36" s="206"/>
      <c r="H36" s="206"/>
      <c r="I36" s="181"/>
      <c r="J36" s="181">
        <v>0</v>
      </c>
      <c r="L36" s="22"/>
      <c r="M36" s="771"/>
      <c r="N36" s="771"/>
      <c r="O36" s="771"/>
      <c r="P36" s="771"/>
      <c r="Q36" s="771"/>
      <c r="R36" s="206"/>
      <c r="S36" s="206"/>
      <c r="T36" s="181"/>
      <c r="U36" s="181">
        <v>0</v>
      </c>
    </row>
    <row r="37" spans="1:22" ht="15" customHeight="1" x14ac:dyDescent="0.25">
      <c r="A37" s="22"/>
      <c r="B37" s="772" t="s">
        <v>40</v>
      </c>
      <c r="C37" s="772"/>
      <c r="D37" s="772"/>
      <c r="E37" s="772"/>
      <c r="F37" s="772"/>
      <c r="G37" s="772"/>
      <c r="H37" s="772"/>
      <c r="I37" s="772"/>
      <c r="J37" s="181">
        <f>SUM(J33:J36)</f>
        <v>0</v>
      </c>
      <c r="L37" s="22"/>
      <c r="M37" s="772" t="s">
        <v>40</v>
      </c>
      <c r="N37" s="772"/>
      <c r="O37" s="772"/>
      <c r="P37" s="772"/>
      <c r="Q37" s="772"/>
      <c r="R37" s="772"/>
      <c r="S37" s="772"/>
      <c r="T37" s="772"/>
      <c r="U37" s="181">
        <f>SUM(U33:U36)</f>
        <v>0</v>
      </c>
    </row>
    <row r="38" spans="1:22" ht="7.5" customHeight="1" x14ac:dyDescent="0.25">
      <c r="A38" s="22"/>
      <c r="B38" s="25"/>
      <c r="C38" s="25"/>
      <c r="D38" s="25"/>
      <c r="E38" s="25"/>
      <c r="F38" s="25"/>
      <c r="G38" s="25"/>
      <c r="H38" s="25"/>
      <c r="I38" s="25"/>
      <c r="J38" s="26"/>
      <c r="L38" s="22"/>
      <c r="M38" s="25"/>
      <c r="N38" s="25"/>
      <c r="O38" s="25"/>
      <c r="P38" s="25"/>
      <c r="Q38" s="25"/>
      <c r="R38" s="25"/>
      <c r="S38" s="25"/>
      <c r="T38" s="25"/>
      <c r="U38" s="26"/>
    </row>
    <row r="39" spans="1:22" ht="15" customHeight="1" x14ac:dyDescent="0.25">
      <c r="A39" s="22"/>
      <c r="B39" s="772" t="s">
        <v>41</v>
      </c>
      <c r="C39" s="772"/>
      <c r="D39" s="772"/>
      <c r="E39" s="772"/>
      <c r="F39" s="772"/>
      <c r="G39" s="772"/>
      <c r="H39" s="772"/>
      <c r="I39" s="772"/>
      <c r="J39" s="772"/>
      <c r="L39" s="22"/>
      <c r="M39" s="772" t="s">
        <v>41</v>
      </c>
      <c r="N39" s="772"/>
      <c r="O39" s="772"/>
      <c r="P39" s="772"/>
      <c r="Q39" s="772"/>
      <c r="R39" s="772"/>
      <c r="S39" s="772"/>
      <c r="T39" s="772"/>
      <c r="U39" s="772"/>
    </row>
    <row r="40" spans="1:22" ht="26.4" x14ac:dyDescent="0.25">
      <c r="A40" s="22"/>
      <c r="B40" s="774" t="s">
        <v>4</v>
      </c>
      <c r="C40" s="774"/>
      <c r="D40" s="774"/>
      <c r="E40" s="774"/>
      <c r="F40" s="774"/>
      <c r="G40" s="207" t="s">
        <v>51</v>
      </c>
      <c r="H40" s="207" t="s">
        <v>19</v>
      </c>
      <c r="I40" s="207" t="s">
        <v>28</v>
      </c>
      <c r="J40" s="207" t="s">
        <v>29</v>
      </c>
      <c r="L40" s="22"/>
      <c r="M40" s="774" t="s">
        <v>4</v>
      </c>
      <c r="N40" s="774"/>
      <c r="O40" s="774"/>
      <c r="P40" s="774"/>
      <c r="Q40" s="774"/>
      <c r="R40" s="207" t="s">
        <v>51</v>
      </c>
      <c r="S40" s="207" t="s">
        <v>19</v>
      </c>
      <c r="T40" s="207" t="s">
        <v>28</v>
      </c>
      <c r="U40" s="207" t="s">
        <v>29</v>
      </c>
    </row>
    <row r="41" spans="1:22" ht="15" customHeight="1" x14ac:dyDescent="0.25">
      <c r="A41" s="22"/>
      <c r="B41" s="814" t="s">
        <v>480</v>
      </c>
      <c r="C41" s="814"/>
      <c r="D41" s="814"/>
      <c r="E41" s="814"/>
      <c r="F41" s="814"/>
      <c r="G41" s="248">
        <v>259402.66</v>
      </c>
      <c r="H41" s="246">
        <v>1</v>
      </c>
      <c r="I41" s="245">
        <v>0.7</v>
      </c>
      <c r="J41" s="248">
        <f>ROUND(+IF(I41=0,0,G41*H41/I41),0)</f>
        <v>370575</v>
      </c>
      <c r="L41" s="22"/>
      <c r="M41" s="771" t="s">
        <v>480</v>
      </c>
      <c r="N41" s="771"/>
      <c r="O41" s="771"/>
      <c r="P41" s="771"/>
      <c r="Q41" s="771"/>
      <c r="R41" s="181">
        <v>259402.66</v>
      </c>
      <c r="S41" s="206">
        <v>1</v>
      </c>
      <c r="T41" s="180">
        <v>0.7</v>
      </c>
      <c r="U41" s="181">
        <f>ROUND(+IF(T41=0,0,R41*S41/T41),0)</f>
        <v>370575</v>
      </c>
      <c r="V41" s="239" t="s">
        <v>461</v>
      </c>
    </row>
    <row r="42" spans="1:22" ht="15" customHeight="1" x14ac:dyDescent="0.25">
      <c r="A42" s="22"/>
      <c r="B42" s="814" t="s">
        <v>386</v>
      </c>
      <c r="C42" s="814"/>
      <c r="D42" s="814"/>
      <c r="E42" s="814"/>
      <c r="F42" s="814"/>
      <c r="G42" s="248">
        <v>78606.866666666669</v>
      </c>
      <c r="H42" s="246">
        <v>1</v>
      </c>
      <c r="I42" s="245">
        <v>0.7</v>
      </c>
      <c r="J42" s="248">
        <f>ROUND(+IF(I42=0,0,G42*H42/I42),0)</f>
        <v>112296</v>
      </c>
      <c r="L42" s="22"/>
      <c r="M42" s="771" t="s">
        <v>386</v>
      </c>
      <c r="N42" s="771"/>
      <c r="O42" s="771"/>
      <c r="P42" s="771"/>
      <c r="Q42" s="771"/>
      <c r="R42" s="181">
        <v>78606.866666666669</v>
      </c>
      <c r="S42" s="206">
        <v>1</v>
      </c>
      <c r="T42" s="180">
        <v>0.7</v>
      </c>
      <c r="U42" s="181">
        <f>ROUND(+IF(T42=0,0,R42*S42/T42),0)</f>
        <v>112296</v>
      </c>
      <c r="V42" s="239" t="s">
        <v>481</v>
      </c>
    </row>
    <row r="43" spans="1:22" ht="15" customHeight="1" x14ac:dyDescent="0.25">
      <c r="A43" s="22"/>
      <c r="B43" s="771"/>
      <c r="C43" s="771"/>
      <c r="D43" s="771"/>
      <c r="E43" s="771"/>
      <c r="F43" s="771"/>
      <c r="G43" s="181" t="s">
        <v>501</v>
      </c>
      <c r="H43" s="206"/>
      <c r="I43" s="180"/>
      <c r="J43" s="181">
        <f t="shared" ref="J43" si="5">+IF(I43=0,0,G43*H43/I43)</f>
        <v>0</v>
      </c>
      <c r="L43" s="22"/>
      <c r="M43" s="771"/>
      <c r="N43" s="771"/>
      <c r="O43" s="771"/>
      <c r="P43" s="771"/>
      <c r="Q43" s="771"/>
      <c r="R43" s="181"/>
      <c r="S43" s="206"/>
      <c r="T43" s="180"/>
      <c r="U43" s="181"/>
    </row>
    <row r="44" spans="1:22" ht="15" customHeight="1" x14ac:dyDescent="0.25">
      <c r="A44" s="22"/>
      <c r="B44" s="772" t="s">
        <v>42</v>
      </c>
      <c r="C44" s="772"/>
      <c r="D44" s="772"/>
      <c r="E44" s="772"/>
      <c r="F44" s="772"/>
      <c r="G44" s="772"/>
      <c r="H44" s="772"/>
      <c r="I44" s="772"/>
      <c r="J44" s="181">
        <f>SUM(J41:J43)</f>
        <v>482871</v>
      </c>
      <c r="L44" s="22"/>
      <c r="M44" s="771"/>
      <c r="N44" s="771"/>
      <c r="O44" s="771"/>
      <c r="P44" s="771"/>
      <c r="Q44" s="771"/>
      <c r="R44" s="181" t="s">
        <v>501</v>
      </c>
      <c r="S44" s="206"/>
      <c r="T44" s="180"/>
      <c r="U44" s="181">
        <f t="shared" ref="U44" si="6">+IF(T44=0,0,R44*S44/T44)</f>
        <v>0</v>
      </c>
    </row>
    <row r="45" spans="1:22" ht="16.95" customHeight="1" x14ac:dyDescent="0.25">
      <c r="A45" s="22"/>
      <c r="B45" s="25"/>
      <c r="C45" s="25"/>
      <c r="D45" s="25"/>
      <c r="E45" s="25"/>
      <c r="F45" s="25"/>
      <c r="G45" s="25"/>
      <c r="H45" s="25"/>
      <c r="I45" s="25"/>
      <c r="J45" s="26"/>
      <c r="L45" s="22"/>
      <c r="M45" s="772" t="s">
        <v>42</v>
      </c>
      <c r="N45" s="772"/>
      <c r="O45" s="772"/>
      <c r="P45" s="772"/>
      <c r="Q45" s="772"/>
      <c r="R45" s="772"/>
      <c r="S45" s="772"/>
      <c r="T45" s="772"/>
      <c r="U45" s="181">
        <f>SUM(U41:U44)</f>
        <v>482871</v>
      </c>
    </row>
    <row r="46" spans="1:22" ht="15.75" customHeight="1" x14ac:dyDescent="0.25">
      <c r="A46" s="27"/>
      <c r="B46" s="773" t="s">
        <v>43</v>
      </c>
      <c r="C46" s="773"/>
      <c r="D46" s="773"/>
      <c r="E46" s="773"/>
      <c r="F46" s="773"/>
      <c r="G46" s="773"/>
      <c r="H46" s="773"/>
      <c r="I46" s="773"/>
      <c r="J46" s="210">
        <f>+J44+J37+J17+J29</f>
        <v>974515</v>
      </c>
      <c r="L46" s="22"/>
      <c r="M46" s="25"/>
      <c r="N46" s="25"/>
      <c r="O46" s="25"/>
      <c r="P46" s="25"/>
      <c r="Q46" s="25"/>
      <c r="R46" s="25"/>
      <c r="S46" s="25"/>
      <c r="T46" s="25"/>
      <c r="U46" s="26"/>
    </row>
    <row r="47" spans="1:22" x14ac:dyDescent="0.25">
      <c r="B47" s="21"/>
      <c r="C47" s="21"/>
      <c r="D47" s="21"/>
      <c r="E47" s="21"/>
      <c r="F47" s="21"/>
      <c r="G47" s="21"/>
      <c r="H47" s="21"/>
      <c r="I47" s="21"/>
      <c r="J47" s="21"/>
      <c r="L47" s="27"/>
      <c r="M47" s="773" t="s">
        <v>43</v>
      </c>
      <c r="N47" s="773"/>
      <c r="O47" s="773"/>
      <c r="P47" s="773"/>
      <c r="Q47" s="773"/>
      <c r="R47" s="773"/>
      <c r="S47" s="773"/>
      <c r="T47" s="773"/>
      <c r="U47" s="210">
        <f>+U45+U37+U17+U29</f>
        <v>974515</v>
      </c>
    </row>
    <row r="49" spans="8:10" ht="13.8" thickBot="1" x14ac:dyDescent="0.3"/>
    <row r="50" spans="8:10" x14ac:dyDescent="0.25">
      <c r="H50" s="251" t="s">
        <v>477</v>
      </c>
      <c r="I50" s="252"/>
      <c r="J50" s="253">
        <v>876059</v>
      </c>
    </row>
    <row r="51" spans="8:10" x14ac:dyDescent="0.25">
      <c r="H51" s="254" t="s">
        <v>469</v>
      </c>
      <c r="I51" s="239"/>
      <c r="J51" s="255">
        <v>830664</v>
      </c>
    </row>
    <row r="52" spans="8:10" ht="13.8" thickBot="1" x14ac:dyDescent="0.3">
      <c r="H52" s="256" t="s">
        <v>470</v>
      </c>
      <c r="I52" s="257"/>
      <c r="J52" s="258">
        <f>J46</f>
        <v>974515</v>
      </c>
    </row>
  </sheetData>
  <mergeCells count="85">
    <mergeCell ref="A1:C4"/>
    <mergeCell ref="D1:J1"/>
    <mergeCell ref="L1:N4"/>
    <mergeCell ref="O1:U1"/>
    <mergeCell ref="D2:J2"/>
    <mergeCell ref="O2:U2"/>
    <mergeCell ref="D3:J3"/>
    <mergeCell ref="O3:U3"/>
    <mergeCell ref="D4:J4"/>
    <mergeCell ref="O4:U4"/>
    <mergeCell ref="E6:H6"/>
    <mergeCell ref="P6:S6"/>
    <mergeCell ref="B7:J7"/>
    <mergeCell ref="M7:U7"/>
    <mergeCell ref="B8:F8"/>
    <mergeCell ref="M8:Q8"/>
    <mergeCell ref="B9:F9"/>
    <mergeCell ref="M9:Q9"/>
    <mergeCell ref="B10:F10"/>
    <mergeCell ref="M10:Q10"/>
    <mergeCell ref="B11:F11"/>
    <mergeCell ref="M11:Q11"/>
    <mergeCell ref="B12:F12"/>
    <mergeCell ref="M12:Q12"/>
    <mergeCell ref="B13:F13"/>
    <mergeCell ref="M13:Q13"/>
    <mergeCell ref="B14:F14"/>
    <mergeCell ref="M14:Q14"/>
    <mergeCell ref="B15:F15"/>
    <mergeCell ref="M15:Q15"/>
    <mergeCell ref="B16:F16"/>
    <mergeCell ref="M16:Q16"/>
    <mergeCell ref="B17:I17"/>
    <mergeCell ref="M17:T17"/>
    <mergeCell ref="B19:J19"/>
    <mergeCell ref="M19:U19"/>
    <mergeCell ref="B20:E20"/>
    <mergeCell ref="M20:P20"/>
    <mergeCell ref="B21:E21"/>
    <mergeCell ref="M21:P21"/>
    <mergeCell ref="B22:E22"/>
    <mergeCell ref="M22:P22"/>
    <mergeCell ref="B23:E23"/>
    <mergeCell ref="M23:P23"/>
    <mergeCell ref="B24:E24"/>
    <mergeCell ref="M24:P24"/>
    <mergeCell ref="B25:E25"/>
    <mergeCell ref="M25:P25"/>
    <mergeCell ref="B26:E26"/>
    <mergeCell ref="M26:P26"/>
    <mergeCell ref="B27:E27"/>
    <mergeCell ref="M27:P27"/>
    <mergeCell ref="B28:E28"/>
    <mergeCell ref="M28:P28"/>
    <mergeCell ref="B29:I29"/>
    <mergeCell ref="M29:T29"/>
    <mergeCell ref="B31:J31"/>
    <mergeCell ref="M31:U31"/>
    <mergeCell ref="B32:F32"/>
    <mergeCell ref="M32:Q32"/>
    <mergeCell ref="B33:F33"/>
    <mergeCell ref="M33:Q33"/>
    <mergeCell ref="B34:F34"/>
    <mergeCell ref="M34:Q34"/>
    <mergeCell ref="B35:F35"/>
    <mergeCell ref="M35:Q35"/>
    <mergeCell ref="B36:F36"/>
    <mergeCell ref="M36:Q36"/>
    <mergeCell ref="B37:I37"/>
    <mergeCell ref="M37:T37"/>
    <mergeCell ref="B39:J39"/>
    <mergeCell ref="M39:U39"/>
    <mergeCell ref="B40:F40"/>
    <mergeCell ref="M40:Q40"/>
    <mergeCell ref="B41:F41"/>
    <mergeCell ref="M41:Q41"/>
    <mergeCell ref="M45:T45"/>
    <mergeCell ref="B46:I46"/>
    <mergeCell ref="M47:T47"/>
    <mergeCell ref="B42:F42"/>
    <mergeCell ref="M42:Q42"/>
    <mergeCell ref="B43:F43"/>
    <mergeCell ref="M43:Q43"/>
    <mergeCell ref="B44:I44"/>
    <mergeCell ref="M44:Q44"/>
  </mergeCells>
  <hyperlinks>
    <hyperlink ref="C6" location="'PPTO HOJA'!A124" display="'PPTO HOJA'!A124" xr:uid="{00000000-0004-0000-3A00-000000000000}"/>
    <hyperlink ref="N6" location="'PPTO HOJA'!A124" display="'PPTO HOJA'!A124" xr:uid="{00000000-0004-0000-3A00-000001000000}"/>
  </hyperlinks>
  <pageMargins left="0.7" right="0.7" top="0.75" bottom="0.75" header="0.3" footer="0.3"/>
  <pageSetup paperSize="9" scale="28" orientation="portrait"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theme="5" tint="0.59999389629810485"/>
  </sheetPr>
  <dimension ref="A1:V52"/>
  <sheetViews>
    <sheetView zoomScale="85" zoomScaleNormal="85" zoomScaleSheetLayoutView="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9.88671875" style="20" customWidth="1"/>
    <col min="11" max="17" width="11.44140625" style="20"/>
    <col min="18" max="18" width="15.109375" style="20" customWidth="1"/>
    <col min="19" max="19" width="11.44140625" style="20"/>
    <col min="20" max="20" width="15" style="20" customWidth="1"/>
    <col min="21" max="21" width="17" style="20" bestFit="1" customWidth="1"/>
    <col min="22" max="22" width="22.88671875" style="20" customWidth="1"/>
    <col min="23" max="16384" width="11.44140625" style="20"/>
  </cols>
  <sheetData>
    <row r="1" spans="1:22" x14ac:dyDescent="0.25">
      <c r="A1" s="768"/>
      <c r="B1" s="768"/>
      <c r="C1" s="768"/>
      <c r="D1" s="769" t="s">
        <v>1</v>
      </c>
      <c r="E1" s="769"/>
      <c r="F1" s="769"/>
      <c r="G1" s="769"/>
      <c r="H1" s="769"/>
      <c r="I1" s="769"/>
      <c r="J1" s="769"/>
      <c r="L1" s="821" t="s">
        <v>469</v>
      </c>
      <c r="M1" s="821"/>
      <c r="N1" s="821"/>
      <c r="O1" s="769" t="str">
        <f>D1</f>
        <v>DEPARTAMENTO DE ANTIOQUIA</v>
      </c>
      <c r="P1" s="769"/>
      <c r="Q1" s="769"/>
      <c r="R1" s="769"/>
      <c r="S1" s="769"/>
      <c r="T1" s="769"/>
      <c r="U1" s="769"/>
    </row>
    <row r="2" spans="1:22" x14ac:dyDescent="0.25">
      <c r="A2" s="768"/>
      <c r="B2" s="768"/>
      <c r="C2" s="768"/>
      <c r="D2" s="769" t="s">
        <v>2</v>
      </c>
      <c r="E2" s="769"/>
      <c r="F2" s="769"/>
      <c r="G2" s="769"/>
      <c r="H2" s="769"/>
      <c r="I2" s="769"/>
      <c r="J2" s="769"/>
      <c r="L2" s="821"/>
      <c r="M2" s="821"/>
      <c r="N2" s="821"/>
      <c r="O2" s="769" t="str">
        <f t="shared" ref="O2:O3" si="0">D2</f>
        <v>MUNICIPIO DE ARBOLETES</v>
      </c>
      <c r="P2" s="769"/>
      <c r="Q2" s="769"/>
      <c r="R2" s="769"/>
      <c r="S2" s="769"/>
      <c r="T2" s="769"/>
      <c r="U2" s="769"/>
    </row>
    <row r="3" spans="1:22" ht="46.5" customHeight="1" x14ac:dyDescent="0.25">
      <c r="A3" s="768"/>
      <c r="B3" s="768"/>
      <c r="C3" s="768"/>
      <c r="D3" s="770" t="s">
        <v>328</v>
      </c>
      <c r="E3" s="770"/>
      <c r="F3" s="770"/>
      <c r="G3" s="770"/>
      <c r="H3" s="770"/>
      <c r="I3" s="770"/>
      <c r="J3" s="770"/>
      <c r="L3" s="821"/>
      <c r="M3" s="821"/>
      <c r="N3" s="821"/>
      <c r="O3" s="770" t="str">
        <f t="shared" si="0"/>
        <v>CONSTRUCCION DE OBRAS CIVILES COMPLEMENTARIAS PARA EL CORRECTO FUNCIONAMIENTO DEL PROYECTO DENOMINADO “PARQUE GEOLÓGICO, NATURAL, AMBIENTAL, CULTURAL Y TURÍSTICO, VOLCÁN DE LODO DE ARBOLETES”, QUE SE LLEVARÁ A CABO EN EL MUNICIPIO DE ARBOLETES-ANTIOQUIA</v>
      </c>
      <c r="P3" s="770"/>
      <c r="Q3" s="770"/>
      <c r="R3" s="770"/>
      <c r="S3" s="770"/>
      <c r="T3" s="770"/>
      <c r="U3" s="770"/>
    </row>
    <row r="4" spans="1:22" x14ac:dyDescent="0.25">
      <c r="A4" s="768"/>
      <c r="B4" s="768"/>
      <c r="C4" s="768"/>
      <c r="D4" s="769" t="s">
        <v>20</v>
      </c>
      <c r="E4" s="769"/>
      <c r="F4" s="769"/>
      <c r="G4" s="769"/>
      <c r="H4" s="769"/>
      <c r="I4" s="769"/>
      <c r="J4" s="769"/>
      <c r="L4" s="821"/>
      <c r="M4" s="821"/>
      <c r="N4" s="821"/>
      <c r="O4" s="769" t="s">
        <v>20</v>
      </c>
      <c r="P4" s="769"/>
      <c r="Q4" s="769"/>
      <c r="R4" s="769"/>
      <c r="S4" s="769"/>
      <c r="T4" s="769"/>
      <c r="U4" s="769"/>
    </row>
    <row r="5" spans="1:22" ht="9.75" customHeight="1" x14ac:dyDescent="0.25">
      <c r="A5" s="22"/>
      <c r="J5" s="23"/>
      <c r="L5" s="22"/>
      <c r="U5" s="23"/>
    </row>
    <row r="6" spans="1:22" s="21" customFormat="1" ht="45" customHeight="1" x14ac:dyDescent="0.3">
      <c r="A6" s="202" t="s">
        <v>460</v>
      </c>
      <c r="B6" s="203" t="s">
        <v>22</v>
      </c>
      <c r="C6" s="204">
        <v>7.0699999999999985</v>
      </c>
      <c r="D6" s="205"/>
      <c r="E6" s="777" t="s">
        <v>417</v>
      </c>
      <c r="F6" s="777"/>
      <c r="G6" s="777"/>
      <c r="H6" s="777"/>
      <c r="I6" s="202" t="s">
        <v>23</v>
      </c>
      <c r="J6" s="206" t="s">
        <v>9</v>
      </c>
      <c r="L6" s="202" t="s">
        <v>460</v>
      </c>
      <c r="M6" s="203" t="s">
        <v>22</v>
      </c>
      <c r="N6" s="204">
        <f>C6</f>
        <v>7.0699999999999985</v>
      </c>
      <c r="O6" s="205"/>
      <c r="P6" s="791" t="str">
        <f>E6</f>
        <v xml:space="preserve">Suministro e Instalación breakers enchufables monopolares de 1x20 amp </v>
      </c>
      <c r="Q6" s="792"/>
      <c r="R6" s="792"/>
      <c r="S6" s="793"/>
      <c r="T6" s="202" t="s">
        <v>23</v>
      </c>
      <c r="U6" s="206" t="str">
        <f>J6</f>
        <v>und</v>
      </c>
    </row>
    <row r="7" spans="1:22" ht="15" customHeight="1" x14ac:dyDescent="0.25">
      <c r="A7" s="22"/>
      <c r="B7" s="772" t="s">
        <v>24</v>
      </c>
      <c r="C7" s="772"/>
      <c r="D7" s="772"/>
      <c r="E7" s="772"/>
      <c r="F7" s="772"/>
      <c r="G7" s="772"/>
      <c r="H7" s="772"/>
      <c r="I7" s="772"/>
      <c r="J7" s="772"/>
      <c r="L7" s="22"/>
      <c r="M7" s="772" t="s">
        <v>24</v>
      </c>
      <c r="N7" s="772"/>
      <c r="O7" s="772"/>
      <c r="P7" s="772"/>
      <c r="Q7" s="772"/>
      <c r="R7" s="772"/>
      <c r="S7" s="772"/>
      <c r="T7" s="772"/>
      <c r="U7" s="772"/>
    </row>
    <row r="8" spans="1:22" ht="26.4" customHeight="1"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2" ht="15" customHeight="1" x14ac:dyDescent="0.25">
      <c r="A9" s="22"/>
      <c r="B9" s="771" t="s">
        <v>30</v>
      </c>
      <c r="C9" s="771"/>
      <c r="D9" s="771"/>
      <c r="E9" s="771"/>
      <c r="F9" s="771"/>
      <c r="G9" s="206"/>
      <c r="H9" s="181"/>
      <c r="I9" s="208">
        <v>0.05</v>
      </c>
      <c r="J9" s="181">
        <f>ROUND(I9*J44,0)</f>
        <v>314</v>
      </c>
      <c r="L9" s="22"/>
      <c r="M9" s="771" t="s">
        <v>30</v>
      </c>
      <c r="N9" s="771"/>
      <c r="O9" s="771"/>
      <c r="P9" s="771"/>
      <c r="Q9" s="771"/>
      <c r="R9" s="206"/>
      <c r="S9" s="181"/>
      <c r="T9" s="208">
        <v>0.05</v>
      </c>
      <c r="U9" s="181">
        <f>ROUND(T9*U44,0)</f>
        <v>314</v>
      </c>
      <c r="V9" s="239" t="s">
        <v>461</v>
      </c>
    </row>
    <row r="10" spans="1:22" ht="15" customHeight="1" x14ac:dyDescent="0.25">
      <c r="A10" s="22"/>
      <c r="B10" s="777"/>
      <c r="C10" s="777"/>
      <c r="D10" s="777"/>
      <c r="E10" s="777"/>
      <c r="F10" s="777"/>
      <c r="G10" s="206"/>
      <c r="H10" s="181" t="s">
        <v>501</v>
      </c>
      <c r="I10" s="180"/>
      <c r="J10" s="181">
        <f>IF(B10="",0,ROUND(H10/I10,0))</f>
        <v>0</v>
      </c>
      <c r="L10" s="22"/>
      <c r="M10" s="777"/>
      <c r="N10" s="777"/>
      <c r="O10" s="777"/>
      <c r="P10" s="777"/>
      <c r="Q10" s="777"/>
      <c r="R10" s="206"/>
      <c r="S10" s="181" t="s">
        <v>501</v>
      </c>
      <c r="T10" s="180"/>
      <c r="U10" s="181">
        <f>IF(M10="",0,ROUND(S10/T10,0))</f>
        <v>0</v>
      </c>
    </row>
    <row r="11" spans="1:22" ht="15" customHeight="1" x14ac:dyDescent="0.25">
      <c r="A11" s="22"/>
      <c r="B11" s="771"/>
      <c r="C11" s="771"/>
      <c r="D11" s="771"/>
      <c r="E11" s="771"/>
      <c r="F11" s="771"/>
      <c r="G11" s="206"/>
      <c r="H11" s="181"/>
      <c r="I11" s="180"/>
      <c r="J11" s="181">
        <f t="shared" ref="J11:J15" si="1">IF(B11="",0,ROUND(H11/I11,0))</f>
        <v>0</v>
      </c>
      <c r="L11" s="22"/>
      <c r="M11" s="771"/>
      <c r="N11" s="771"/>
      <c r="O11" s="771"/>
      <c r="P11" s="771"/>
      <c r="Q11" s="771"/>
      <c r="R11" s="206"/>
      <c r="S11" s="181"/>
      <c r="T11" s="180"/>
      <c r="U11" s="181">
        <f t="shared" ref="U11:U15" si="2">IF(M11="",0,ROUND(S11/T11,0))</f>
        <v>0</v>
      </c>
    </row>
    <row r="12" spans="1:22" ht="15" customHeight="1" x14ac:dyDescent="0.25">
      <c r="A12" s="22"/>
      <c r="B12" s="771"/>
      <c r="C12" s="771"/>
      <c r="D12" s="771"/>
      <c r="E12" s="771"/>
      <c r="F12" s="771"/>
      <c r="G12" s="206" t="s">
        <v>501</v>
      </c>
      <c r="H12" s="181" t="s">
        <v>501</v>
      </c>
      <c r="I12" s="180"/>
      <c r="J12" s="181">
        <f t="shared" si="1"/>
        <v>0</v>
      </c>
      <c r="L12" s="22"/>
      <c r="M12" s="771"/>
      <c r="N12" s="771"/>
      <c r="O12" s="771"/>
      <c r="P12" s="771"/>
      <c r="Q12" s="771"/>
      <c r="R12" s="206" t="s">
        <v>501</v>
      </c>
      <c r="S12" s="181" t="s">
        <v>501</v>
      </c>
      <c r="T12" s="180"/>
      <c r="U12" s="181">
        <f t="shared" si="2"/>
        <v>0</v>
      </c>
    </row>
    <row r="13" spans="1:22" ht="15" customHeight="1" x14ac:dyDescent="0.25">
      <c r="A13" s="22"/>
      <c r="B13" s="771"/>
      <c r="C13" s="771"/>
      <c r="D13" s="771"/>
      <c r="E13" s="771"/>
      <c r="F13" s="771"/>
      <c r="G13" s="206" t="s">
        <v>501</v>
      </c>
      <c r="H13" s="181" t="s">
        <v>501</v>
      </c>
      <c r="I13" s="180"/>
      <c r="J13" s="181">
        <f t="shared" si="1"/>
        <v>0</v>
      </c>
      <c r="L13" s="22"/>
      <c r="M13" s="771"/>
      <c r="N13" s="771"/>
      <c r="O13" s="771"/>
      <c r="P13" s="771"/>
      <c r="Q13" s="771"/>
      <c r="R13" s="206" t="s">
        <v>501</v>
      </c>
      <c r="S13" s="181" t="s">
        <v>501</v>
      </c>
      <c r="T13" s="180"/>
      <c r="U13" s="181">
        <f t="shared" si="2"/>
        <v>0</v>
      </c>
    </row>
    <row r="14" spans="1:22" ht="15" customHeight="1" x14ac:dyDescent="0.25">
      <c r="A14" s="22"/>
      <c r="B14" s="771"/>
      <c r="C14" s="771"/>
      <c r="D14" s="771"/>
      <c r="E14" s="771"/>
      <c r="F14" s="771"/>
      <c r="G14" s="206" t="s">
        <v>501</v>
      </c>
      <c r="H14" s="181" t="s">
        <v>501</v>
      </c>
      <c r="I14" s="180"/>
      <c r="J14" s="181">
        <f t="shared" si="1"/>
        <v>0</v>
      </c>
      <c r="L14" s="22"/>
      <c r="M14" s="771"/>
      <c r="N14" s="771"/>
      <c r="O14" s="771"/>
      <c r="P14" s="771"/>
      <c r="Q14" s="771"/>
      <c r="R14" s="206" t="s">
        <v>501</v>
      </c>
      <c r="S14" s="181" t="s">
        <v>501</v>
      </c>
      <c r="T14" s="180"/>
      <c r="U14" s="181">
        <f t="shared" si="2"/>
        <v>0</v>
      </c>
    </row>
    <row r="15" spans="1:22" ht="15" customHeight="1" x14ac:dyDescent="0.25">
      <c r="A15" s="22"/>
      <c r="B15" s="771"/>
      <c r="C15" s="771"/>
      <c r="D15" s="771"/>
      <c r="E15" s="771"/>
      <c r="F15" s="771"/>
      <c r="G15" s="206" t="s">
        <v>501</v>
      </c>
      <c r="H15" s="181" t="s">
        <v>501</v>
      </c>
      <c r="I15" s="180"/>
      <c r="J15" s="181">
        <f t="shared" si="1"/>
        <v>0</v>
      </c>
      <c r="L15" s="22"/>
      <c r="M15" s="771"/>
      <c r="N15" s="771"/>
      <c r="O15" s="771"/>
      <c r="P15" s="771"/>
      <c r="Q15" s="771"/>
      <c r="R15" s="206" t="s">
        <v>501</v>
      </c>
      <c r="S15" s="181" t="s">
        <v>501</v>
      </c>
      <c r="T15" s="180"/>
      <c r="U15" s="181">
        <f t="shared" si="2"/>
        <v>0</v>
      </c>
    </row>
    <row r="16" spans="1:22" ht="15" customHeight="1" x14ac:dyDescent="0.25">
      <c r="A16" s="22"/>
      <c r="B16" s="771"/>
      <c r="C16" s="771"/>
      <c r="D16" s="771"/>
      <c r="E16" s="771"/>
      <c r="F16" s="771"/>
      <c r="G16" s="206" t="s">
        <v>501</v>
      </c>
      <c r="H16" s="181" t="s">
        <v>501</v>
      </c>
      <c r="I16" s="180"/>
      <c r="J16" s="181"/>
      <c r="L16" s="22"/>
      <c r="M16" s="771"/>
      <c r="N16" s="771"/>
      <c r="O16" s="771"/>
      <c r="P16" s="771"/>
      <c r="Q16" s="771"/>
      <c r="R16" s="206" t="s">
        <v>501</v>
      </c>
      <c r="S16" s="181" t="s">
        <v>501</v>
      </c>
      <c r="T16" s="180"/>
      <c r="U16" s="181"/>
    </row>
    <row r="17" spans="1:22" ht="15" customHeight="1" x14ac:dyDescent="0.25">
      <c r="A17" s="22"/>
      <c r="B17" s="772" t="s">
        <v>31</v>
      </c>
      <c r="C17" s="772"/>
      <c r="D17" s="772"/>
      <c r="E17" s="772"/>
      <c r="F17" s="772"/>
      <c r="G17" s="772"/>
      <c r="H17" s="772"/>
      <c r="I17" s="772"/>
      <c r="J17" s="181">
        <f>SUM(J9:J16)</f>
        <v>314</v>
      </c>
      <c r="L17" s="22"/>
      <c r="M17" s="772" t="s">
        <v>31</v>
      </c>
      <c r="N17" s="772"/>
      <c r="O17" s="772"/>
      <c r="P17" s="772"/>
      <c r="Q17" s="772"/>
      <c r="R17" s="772"/>
      <c r="S17" s="772"/>
      <c r="T17" s="772"/>
      <c r="U17" s="181">
        <f>SUM(U9:U16)</f>
        <v>314</v>
      </c>
    </row>
    <row r="18" spans="1:22" ht="7.5" customHeight="1" x14ac:dyDescent="0.25">
      <c r="A18" s="22"/>
      <c r="B18" s="25"/>
      <c r="C18" s="25"/>
      <c r="D18" s="25"/>
      <c r="E18" s="25"/>
      <c r="F18" s="25"/>
      <c r="G18" s="25"/>
      <c r="H18" s="25"/>
      <c r="I18" s="25"/>
      <c r="J18" s="26"/>
      <c r="L18" s="22"/>
      <c r="M18" s="25"/>
      <c r="N18" s="25"/>
      <c r="O18" s="25"/>
      <c r="P18" s="25"/>
      <c r="Q18" s="25"/>
      <c r="R18" s="25"/>
      <c r="S18" s="25"/>
      <c r="T18" s="25"/>
      <c r="U18" s="26"/>
    </row>
    <row r="19" spans="1:22" ht="15" customHeight="1" x14ac:dyDescent="0.25">
      <c r="A19" s="22"/>
      <c r="B19" s="772" t="s">
        <v>32</v>
      </c>
      <c r="C19" s="772"/>
      <c r="D19" s="772"/>
      <c r="E19" s="772"/>
      <c r="F19" s="772"/>
      <c r="G19" s="772"/>
      <c r="H19" s="772"/>
      <c r="I19" s="772"/>
      <c r="J19" s="772"/>
      <c r="L19" s="22"/>
      <c r="M19" s="772" t="s">
        <v>32</v>
      </c>
      <c r="N19" s="772"/>
      <c r="O19" s="772"/>
      <c r="P19" s="772"/>
      <c r="Q19" s="772"/>
      <c r="R19" s="772"/>
      <c r="S19" s="772"/>
      <c r="T19" s="772"/>
      <c r="U19" s="772"/>
    </row>
    <row r="20" spans="1:22" ht="26.4" x14ac:dyDescent="0.25">
      <c r="A20" s="22"/>
      <c r="B20" s="774" t="s">
        <v>33</v>
      </c>
      <c r="C20" s="774"/>
      <c r="D20" s="774"/>
      <c r="E20" s="774"/>
      <c r="F20" s="205" t="s">
        <v>19</v>
      </c>
      <c r="G20" s="206" t="s">
        <v>34</v>
      </c>
      <c r="H20" s="207" t="s">
        <v>35</v>
      </c>
      <c r="I20" s="207" t="s">
        <v>36</v>
      </c>
      <c r="J20" s="207" t="s">
        <v>29</v>
      </c>
      <c r="L20" s="22"/>
      <c r="M20" s="774" t="s">
        <v>33</v>
      </c>
      <c r="N20" s="774"/>
      <c r="O20" s="774"/>
      <c r="P20" s="774"/>
      <c r="Q20" s="205" t="s">
        <v>19</v>
      </c>
      <c r="R20" s="206" t="s">
        <v>34</v>
      </c>
      <c r="S20" s="207" t="s">
        <v>35</v>
      </c>
      <c r="T20" s="207" t="s">
        <v>36</v>
      </c>
      <c r="U20" s="207" t="s">
        <v>29</v>
      </c>
    </row>
    <row r="21" spans="1:22" ht="15" customHeight="1" x14ac:dyDescent="0.25">
      <c r="A21" s="22"/>
      <c r="B21" s="791" t="s">
        <v>424</v>
      </c>
      <c r="C21" s="792"/>
      <c r="D21" s="792"/>
      <c r="E21" s="793"/>
      <c r="F21" s="180">
        <v>1</v>
      </c>
      <c r="G21" s="206" t="s">
        <v>9</v>
      </c>
      <c r="H21" s="209"/>
      <c r="I21" s="181">
        <v>21105</v>
      </c>
      <c r="J21" s="181">
        <f>IF(I21="",0,ROUND((+F21*I21*(1+H21)),0))</f>
        <v>21105</v>
      </c>
      <c r="L21" s="22"/>
      <c r="M21" s="791" t="s">
        <v>424</v>
      </c>
      <c r="N21" s="792"/>
      <c r="O21" s="792"/>
      <c r="P21" s="793"/>
      <c r="Q21" s="180">
        <v>1</v>
      </c>
      <c r="R21" s="206" t="s">
        <v>9</v>
      </c>
      <c r="S21" s="209"/>
      <c r="T21" s="181">
        <v>21105</v>
      </c>
      <c r="U21" s="181">
        <f>IF(T21="",0,ROUND((+Q21*T21*(1+S21)),0))</f>
        <v>21105</v>
      </c>
      <c r="V21" s="239" t="s">
        <v>461</v>
      </c>
    </row>
    <row r="22" spans="1:22" ht="15" customHeight="1" x14ac:dyDescent="0.25">
      <c r="A22" s="22"/>
      <c r="B22" s="791"/>
      <c r="C22" s="792"/>
      <c r="D22" s="792"/>
      <c r="E22" s="793"/>
      <c r="F22" s="180"/>
      <c r="G22" s="206" t="s">
        <v>501</v>
      </c>
      <c r="H22" s="209"/>
      <c r="I22" s="181" t="s">
        <v>501</v>
      </c>
      <c r="J22" s="181">
        <f t="shared" ref="J22:J27" si="3">IF(I22="",0,ROUND((+F22*I22*(1+H22)),0))</f>
        <v>0</v>
      </c>
      <c r="K22" s="117"/>
      <c r="L22" s="22"/>
      <c r="M22" s="791"/>
      <c r="N22" s="792"/>
      <c r="O22" s="792"/>
      <c r="P22" s="793"/>
      <c r="Q22" s="180"/>
      <c r="R22" s="206" t="s">
        <v>501</v>
      </c>
      <c r="S22" s="209"/>
      <c r="T22" s="181" t="s">
        <v>501</v>
      </c>
      <c r="U22" s="181">
        <f t="shared" ref="U22:U27" si="4">IF(T22="",0,ROUND((+Q22*T22*(1+S22)),0))</f>
        <v>0</v>
      </c>
    </row>
    <row r="23" spans="1:22" ht="15" customHeight="1" x14ac:dyDescent="0.25">
      <c r="A23" s="22"/>
      <c r="B23" s="791"/>
      <c r="C23" s="792"/>
      <c r="D23" s="792"/>
      <c r="E23" s="793"/>
      <c r="F23" s="180"/>
      <c r="G23" s="206" t="s">
        <v>501</v>
      </c>
      <c r="H23" s="209"/>
      <c r="I23" s="181" t="s">
        <v>501</v>
      </c>
      <c r="J23" s="181">
        <f t="shared" si="3"/>
        <v>0</v>
      </c>
      <c r="K23" s="117"/>
      <c r="L23" s="22"/>
      <c r="M23" s="791"/>
      <c r="N23" s="792"/>
      <c r="O23" s="792"/>
      <c r="P23" s="793"/>
      <c r="Q23" s="180"/>
      <c r="R23" s="206" t="s">
        <v>501</v>
      </c>
      <c r="S23" s="209"/>
      <c r="T23" s="181" t="s">
        <v>501</v>
      </c>
      <c r="U23" s="181">
        <f t="shared" si="4"/>
        <v>0</v>
      </c>
    </row>
    <row r="24" spans="1:22" ht="15" customHeight="1" x14ac:dyDescent="0.25">
      <c r="A24" s="22"/>
      <c r="B24" s="791"/>
      <c r="C24" s="792"/>
      <c r="D24" s="792"/>
      <c r="E24" s="793"/>
      <c r="F24" s="180"/>
      <c r="G24" s="206" t="s">
        <v>501</v>
      </c>
      <c r="H24" s="209"/>
      <c r="I24" s="181" t="s">
        <v>501</v>
      </c>
      <c r="J24" s="181">
        <f t="shared" si="3"/>
        <v>0</v>
      </c>
      <c r="L24" s="22"/>
      <c r="M24" s="791"/>
      <c r="N24" s="792"/>
      <c r="O24" s="792"/>
      <c r="P24" s="793"/>
      <c r="Q24" s="180"/>
      <c r="R24" s="206" t="s">
        <v>501</v>
      </c>
      <c r="S24" s="209"/>
      <c r="T24" s="181" t="s">
        <v>501</v>
      </c>
      <c r="U24" s="181">
        <f t="shared" si="4"/>
        <v>0</v>
      </c>
    </row>
    <row r="25" spans="1:22" ht="15" customHeight="1" x14ac:dyDescent="0.25">
      <c r="A25" s="22"/>
      <c r="B25" s="791"/>
      <c r="C25" s="792"/>
      <c r="D25" s="792"/>
      <c r="E25" s="793"/>
      <c r="F25" s="180"/>
      <c r="G25" s="206" t="s">
        <v>501</v>
      </c>
      <c r="H25" s="209"/>
      <c r="I25" s="181" t="s">
        <v>501</v>
      </c>
      <c r="J25" s="181">
        <f t="shared" si="3"/>
        <v>0</v>
      </c>
      <c r="L25" s="22"/>
      <c r="M25" s="791"/>
      <c r="N25" s="792"/>
      <c r="O25" s="792"/>
      <c r="P25" s="793"/>
      <c r="Q25" s="180"/>
      <c r="R25" s="206" t="s">
        <v>501</v>
      </c>
      <c r="S25" s="209"/>
      <c r="T25" s="181" t="s">
        <v>501</v>
      </c>
      <c r="U25" s="181">
        <f t="shared" si="4"/>
        <v>0</v>
      </c>
    </row>
    <row r="26" spans="1:22" ht="15" customHeight="1" x14ac:dyDescent="0.25">
      <c r="A26" s="22"/>
      <c r="B26" s="791"/>
      <c r="C26" s="792"/>
      <c r="D26" s="792"/>
      <c r="E26" s="793"/>
      <c r="F26" s="180"/>
      <c r="G26" s="206" t="s">
        <v>501</v>
      </c>
      <c r="H26" s="209"/>
      <c r="I26" s="181" t="s">
        <v>501</v>
      </c>
      <c r="J26" s="181">
        <f t="shared" si="3"/>
        <v>0</v>
      </c>
      <c r="L26" s="22"/>
      <c r="M26" s="791"/>
      <c r="N26" s="792"/>
      <c r="O26" s="792"/>
      <c r="P26" s="793"/>
      <c r="Q26" s="180"/>
      <c r="R26" s="206" t="s">
        <v>501</v>
      </c>
      <c r="S26" s="209"/>
      <c r="T26" s="181" t="s">
        <v>501</v>
      </c>
      <c r="U26" s="181">
        <f t="shared" si="4"/>
        <v>0</v>
      </c>
    </row>
    <row r="27" spans="1:22" ht="15" customHeight="1" x14ac:dyDescent="0.25">
      <c r="A27" s="22"/>
      <c r="B27" s="791"/>
      <c r="C27" s="792"/>
      <c r="D27" s="792"/>
      <c r="E27" s="793"/>
      <c r="F27" s="180"/>
      <c r="G27" s="206" t="s">
        <v>501</v>
      </c>
      <c r="H27" s="209"/>
      <c r="I27" s="181" t="s">
        <v>501</v>
      </c>
      <c r="J27" s="181">
        <f t="shared" si="3"/>
        <v>0</v>
      </c>
      <c r="L27" s="22"/>
      <c r="M27" s="791"/>
      <c r="N27" s="792"/>
      <c r="O27" s="792"/>
      <c r="P27" s="793"/>
      <c r="Q27" s="180"/>
      <c r="R27" s="206" t="s">
        <v>501</v>
      </c>
      <c r="S27" s="209"/>
      <c r="T27" s="181" t="s">
        <v>501</v>
      </c>
      <c r="U27" s="181">
        <f t="shared" si="4"/>
        <v>0</v>
      </c>
    </row>
    <row r="28" spans="1:22" ht="15" customHeight="1" x14ac:dyDescent="0.25">
      <c r="A28" s="22"/>
      <c r="B28" s="785"/>
      <c r="C28" s="786"/>
      <c r="D28" s="786"/>
      <c r="E28" s="787"/>
      <c r="F28" s="180"/>
      <c r="G28" s="206" t="s">
        <v>501</v>
      </c>
      <c r="H28" s="209"/>
      <c r="I28" s="181" t="s">
        <v>501</v>
      </c>
      <c r="J28" s="181"/>
      <c r="L28" s="22"/>
      <c r="M28" s="785"/>
      <c r="N28" s="786"/>
      <c r="O28" s="786"/>
      <c r="P28" s="787"/>
      <c r="Q28" s="180"/>
      <c r="R28" s="206" t="s">
        <v>501</v>
      </c>
      <c r="S28" s="209"/>
      <c r="T28" s="181" t="s">
        <v>501</v>
      </c>
      <c r="U28" s="181"/>
    </row>
    <row r="29" spans="1:22" ht="15" customHeight="1" x14ac:dyDescent="0.25">
      <c r="A29" s="22"/>
      <c r="B29" s="772" t="s">
        <v>37</v>
      </c>
      <c r="C29" s="772"/>
      <c r="D29" s="772"/>
      <c r="E29" s="772"/>
      <c r="F29" s="772"/>
      <c r="G29" s="772"/>
      <c r="H29" s="772"/>
      <c r="I29" s="772"/>
      <c r="J29" s="181">
        <f>SUM(J21:J28)</f>
        <v>21105</v>
      </c>
      <c r="L29" s="22"/>
      <c r="M29" s="772" t="s">
        <v>37</v>
      </c>
      <c r="N29" s="772"/>
      <c r="O29" s="772"/>
      <c r="P29" s="772"/>
      <c r="Q29" s="772"/>
      <c r="R29" s="772"/>
      <c r="S29" s="772"/>
      <c r="T29" s="772"/>
      <c r="U29" s="181">
        <f>SUM(U21:U28)</f>
        <v>21105</v>
      </c>
    </row>
    <row r="30" spans="1:22" ht="7.5" customHeight="1" x14ac:dyDescent="0.25">
      <c r="A30" s="22"/>
      <c r="B30" s="25"/>
      <c r="C30" s="25"/>
      <c r="D30" s="25"/>
      <c r="E30" s="25"/>
      <c r="F30" s="25"/>
      <c r="G30" s="25"/>
      <c r="H30" s="25"/>
      <c r="I30" s="25"/>
      <c r="J30" s="26"/>
      <c r="L30" s="22"/>
      <c r="M30" s="25"/>
      <c r="N30" s="25"/>
      <c r="O30" s="25"/>
      <c r="P30" s="25"/>
      <c r="Q30" s="25"/>
      <c r="R30" s="25"/>
      <c r="S30" s="25"/>
      <c r="T30" s="25"/>
      <c r="U30" s="26"/>
    </row>
    <row r="31" spans="1:22" ht="15" customHeight="1" x14ac:dyDescent="0.25">
      <c r="A31" s="22"/>
      <c r="B31" s="772" t="s">
        <v>38</v>
      </c>
      <c r="C31" s="772"/>
      <c r="D31" s="772"/>
      <c r="E31" s="772"/>
      <c r="F31" s="772"/>
      <c r="G31" s="772"/>
      <c r="H31" s="772"/>
      <c r="I31" s="772"/>
      <c r="J31" s="772"/>
      <c r="L31" s="22"/>
      <c r="M31" s="772" t="s">
        <v>38</v>
      </c>
      <c r="N31" s="772"/>
      <c r="O31" s="772"/>
      <c r="P31" s="772"/>
      <c r="Q31" s="772"/>
      <c r="R31" s="772"/>
      <c r="S31" s="772"/>
      <c r="T31" s="772"/>
      <c r="U31" s="772"/>
    </row>
    <row r="32" spans="1:22" ht="26.4" customHeight="1" x14ac:dyDescent="0.25">
      <c r="A32" s="22"/>
      <c r="B32" s="774" t="s">
        <v>33</v>
      </c>
      <c r="C32" s="774"/>
      <c r="D32" s="774"/>
      <c r="E32" s="774"/>
      <c r="F32" s="774"/>
      <c r="G32" s="206" t="s">
        <v>133</v>
      </c>
      <c r="H32" s="206" t="s">
        <v>132</v>
      </c>
      <c r="I32" s="206" t="s">
        <v>39</v>
      </c>
      <c r="J32" s="207" t="s">
        <v>29</v>
      </c>
      <c r="L32" s="22"/>
      <c r="M32" s="774" t="s">
        <v>33</v>
      </c>
      <c r="N32" s="774"/>
      <c r="O32" s="774"/>
      <c r="P32" s="774"/>
      <c r="Q32" s="774"/>
      <c r="R32" s="206" t="s">
        <v>133</v>
      </c>
      <c r="S32" s="206" t="s">
        <v>132</v>
      </c>
      <c r="T32" s="206" t="s">
        <v>39</v>
      </c>
      <c r="U32" s="207" t="s">
        <v>29</v>
      </c>
    </row>
    <row r="33" spans="1:22" ht="15" customHeight="1" x14ac:dyDescent="0.25">
      <c r="A33" s="22"/>
      <c r="B33" s="771"/>
      <c r="C33" s="771"/>
      <c r="D33" s="771"/>
      <c r="E33" s="771"/>
      <c r="F33" s="771"/>
      <c r="G33" s="206"/>
      <c r="H33" s="180"/>
      <c r="I33" s="181"/>
      <c r="J33" s="181">
        <f>ROUND(I33*H33,0)</f>
        <v>0</v>
      </c>
      <c r="L33" s="22"/>
      <c r="M33" s="771"/>
      <c r="N33" s="771"/>
      <c r="O33" s="771"/>
      <c r="P33" s="771"/>
      <c r="Q33" s="771"/>
      <c r="R33" s="206"/>
      <c r="S33" s="180"/>
      <c r="T33" s="181"/>
      <c r="U33" s="181">
        <f>ROUND(T33*S33,0)</f>
        <v>0</v>
      </c>
    </row>
    <row r="34" spans="1:22" ht="15" customHeight="1" x14ac:dyDescent="0.25">
      <c r="A34" s="22"/>
      <c r="B34" s="771"/>
      <c r="C34" s="771"/>
      <c r="D34" s="771"/>
      <c r="E34" s="771"/>
      <c r="F34" s="771"/>
      <c r="G34" s="206"/>
      <c r="H34" s="180"/>
      <c r="I34" s="181"/>
      <c r="J34" s="181">
        <v>0</v>
      </c>
      <c r="L34" s="22"/>
      <c r="M34" s="771"/>
      <c r="N34" s="771"/>
      <c r="O34" s="771"/>
      <c r="P34" s="771"/>
      <c r="Q34" s="771"/>
      <c r="R34" s="206"/>
      <c r="S34" s="180"/>
      <c r="T34" s="181"/>
      <c r="U34" s="181">
        <v>0</v>
      </c>
    </row>
    <row r="35" spans="1:22" ht="15" customHeight="1" x14ac:dyDescent="0.25">
      <c r="A35" s="22"/>
      <c r="B35" s="771"/>
      <c r="C35" s="771"/>
      <c r="D35" s="771"/>
      <c r="E35" s="771"/>
      <c r="F35" s="771"/>
      <c r="G35" s="206"/>
      <c r="H35" s="180"/>
      <c r="I35" s="181"/>
      <c r="J35" s="181">
        <v>0</v>
      </c>
      <c r="L35" s="22"/>
      <c r="M35" s="771"/>
      <c r="N35" s="771"/>
      <c r="O35" s="771"/>
      <c r="P35" s="771"/>
      <c r="Q35" s="771"/>
      <c r="R35" s="206"/>
      <c r="S35" s="180"/>
      <c r="T35" s="181"/>
      <c r="U35" s="181">
        <v>0</v>
      </c>
    </row>
    <row r="36" spans="1:22" ht="15" customHeight="1" x14ac:dyDescent="0.25">
      <c r="A36" s="22"/>
      <c r="B36" s="771"/>
      <c r="C36" s="771"/>
      <c r="D36" s="771"/>
      <c r="E36" s="771"/>
      <c r="F36" s="771"/>
      <c r="G36" s="206"/>
      <c r="H36" s="206"/>
      <c r="I36" s="181"/>
      <c r="J36" s="181">
        <v>0</v>
      </c>
      <c r="L36" s="22"/>
      <c r="M36" s="771"/>
      <c r="N36" s="771"/>
      <c r="O36" s="771"/>
      <c r="P36" s="771"/>
      <c r="Q36" s="771"/>
      <c r="R36" s="206"/>
      <c r="S36" s="206"/>
      <c r="T36" s="181"/>
      <c r="U36" s="181">
        <v>0</v>
      </c>
    </row>
    <row r="37" spans="1:22" ht="15" customHeight="1" x14ac:dyDescent="0.25">
      <c r="A37" s="22"/>
      <c r="B37" s="772" t="s">
        <v>40</v>
      </c>
      <c r="C37" s="772"/>
      <c r="D37" s="772"/>
      <c r="E37" s="772"/>
      <c r="F37" s="772"/>
      <c r="G37" s="772"/>
      <c r="H37" s="772"/>
      <c r="I37" s="772"/>
      <c r="J37" s="181">
        <f>SUM(J33:J36)</f>
        <v>0</v>
      </c>
      <c r="L37" s="22"/>
      <c r="M37" s="772" t="s">
        <v>40</v>
      </c>
      <c r="N37" s="772"/>
      <c r="O37" s="772"/>
      <c r="P37" s="772"/>
      <c r="Q37" s="772"/>
      <c r="R37" s="772"/>
      <c r="S37" s="772"/>
      <c r="T37" s="772"/>
      <c r="U37" s="181">
        <f>SUM(U33:U36)</f>
        <v>0</v>
      </c>
    </row>
    <row r="38" spans="1:22" ht="7.5" customHeight="1" x14ac:dyDescent="0.25">
      <c r="A38" s="22"/>
      <c r="B38" s="25"/>
      <c r="C38" s="25"/>
      <c r="D38" s="25"/>
      <c r="E38" s="25"/>
      <c r="F38" s="25"/>
      <c r="G38" s="25"/>
      <c r="H38" s="25"/>
      <c r="I38" s="25"/>
      <c r="J38" s="26"/>
      <c r="L38" s="22"/>
      <c r="M38" s="25"/>
      <c r="N38" s="25"/>
      <c r="O38" s="25"/>
      <c r="P38" s="25"/>
      <c r="Q38" s="25"/>
      <c r="R38" s="25"/>
      <c r="S38" s="25"/>
      <c r="T38" s="25"/>
      <c r="U38" s="26"/>
    </row>
    <row r="39" spans="1:22" ht="15" customHeight="1" x14ac:dyDescent="0.25">
      <c r="A39" s="22"/>
      <c r="B39" s="772" t="s">
        <v>41</v>
      </c>
      <c r="C39" s="772"/>
      <c r="D39" s="772"/>
      <c r="E39" s="772"/>
      <c r="F39" s="772"/>
      <c r="G39" s="772"/>
      <c r="H39" s="772"/>
      <c r="I39" s="772"/>
      <c r="J39" s="772"/>
      <c r="L39" s="22"/>
      <c r="M39" s="772" t="s">
        <v>41</v>
      </c>
      <c r="N39" s="772"/>
      <c r="O39" s="772"/>
      <c r="P39" s="772"/>
      <c r="Q39" s="772"/>
      <c r="R39" s="772"/>
      <c r="S39" s="772"/>
      <c r="T39" s="772"/>
      <c r="U39" s="772"/>
    </row>
    <row r="40" spans="1:22" ht="26.4" x14ac:dyDescent="0.25">
      <c r="A40" s="22"/>
      <c r="B40" s="774" t="s">
        <v>4</v>
      </c>
      <c r="C40" s="774"/>
      <c r="D40" s="774"/>
      <c r="E40" s="774"/>
      <c r="F40" s="774"/>
      <c r="G40" s="207" t="s">
        <v>51</v>
      </c>
      <c r="H40" s="207" t="s">
        <v>19</v>
      </c>
      <c r="I40" s="207" t="s">
        <v>28</v>
      </c>
      <c r="J40" s="207" t="s">
        <v>29</v>
      </c>
      <c r="L40" s="22"/>
      <c r="M40" s="774" t="s">
        <v>4</v>
      </c>
      <c r="N40" s="774"/>
      <c r="O40" s="774"/>
      <c r="P40" s="774"/>
      <c r="Q40" s="774"/>
      <c r="R40" s="207" t="s">
        <v>51</v>
      </c>
      <c r="S40" s="207" t="s">
        <v>19</v>
      </c>
      <c r="T40" s="207" t="s">
        <v>28</v>
      </c>
      <c r="U40" s="207" t="s">
        <v>29</v>
      </c>
    </row>
    <row r="41" spans="1:22" ht="15" customHeight="1" x14ac:dyDescent="0.25">
      <c r="A41" s="22"/>
      <c r="B41" s="814" t="s">
        <v>467</v>
      </c>
      <c r="C41" s="814"/>
      <c r="D41" s="814"/>
      <c r="E41" s="814"/>
      <c r="F41" s="814"/>
      <c r="G41" s="248">
        <v>172935.10666666669</v>
      </c>
      <c r="H41" s="246">
        <v>1</v>
      </c>
      <c r="I41" s="245">
        <v>40</v>
      </c>
      <c r="J41" s="248">
        <f>ROUND(+IF(I41=0,0,G41*H41/I41),0)</f>
        <v>4323</v>
      </c>
      <c r="L41" s="22"/>
      <c r="M41" s="814" t="s">
        <v>467</v>
      </c>
      <c r="N41" s="814"/>
      <c r="O41" s="814"/>
      <c r="P41" s="814"/>
      <c r="Q41" s="814"/>
      <c r="R41" s="248">
        <v>172935.10666666669</v>
      </c>
      <c r="S41" s="246">
        <v>1</v>
      </c>
      <c r="T41" s="245">
        <v>40</v>
      </c>
      <c r="U41" s="248">
        <f>ROUND(+IF(T41=0,0,R41*S41/T41),0)</f>
        <v>4323</v>
      </c>
      <c r="V41" s="239" t="s">
        <v>449</v>
      </c>
    </row>
    <row r="42" spans="1:22" ht="15" customHeight="1" x14ac:dyDescent="0.25">
      <c r="A42" s="22"/>
      <c r="B42" s="814" t="s">
        <v>386</v>
      </c>
      <c r="C42" s="814"/>
      <c r="D42" s="814"/>
      <c r="E42" s="814"/>
      <c r="F42" s="814"/>
      <c r="G42" s="248">
        <v>78606.866666666669</v>
      </c>
      <c r="H42" s="246">
        <v>1</v>
      </c>
      <c r="I42" s="245">
        <f>I41</f>
        <v>40</v>
      </c>
      <c r="J42" s="248">
        <f>ROUND(+IF(I42=0,0,G42*H42/I42),0)</f>
        <v>1965</v>
      </c>
      <c r="L42" s="22"/>
      <c r="M42" s="814" t="s">
        <v>386</v>
      </c>
      <c r="N42" s="814"/>
      <c r="O42" s="814"/>
      <c r="P42" s="814"/>
      <c r="Q42" s="814"/>
      <c r="R42" s="248">
        <v>78606.866666666669</v>
      </c>
      <c r="S42" s="246">
        <v>1</v>
      </c>
      <c r="T42" s="245">
        <f>T41</f>
        <v>40</v>
      </c>
      <c r="U42" s="248">
        <f>ROUND(+IF(T42=0,0,R42*S42/T42),0)</f>
        <v>1965</v>
      </c>
      <c r="V42" s="239" t="s">
        <v>484</v>
      </c>
    </row>
    <row r="43" spans="1:22" ht="15" customHeight="1" x14ac:dyDescent="0.25">
      <c r="A43" s="22"/>
      <c r="B43" s="771"/>
      <c r="C43" s="771"/>
      <c r="D43" s="771"/>
      <c r="E43" s="771"/>
      <c r="F43" s="771"/>
      <c r="G43" s="181" t="s">
        <v>501</v>
      </c>
      <c r="H43" s="206"/>
      <c r="I43" s="180"/>
      <c r="J43" s="181">
        <f t="shared" ref="J43" si="5">+IF(I43=0,0,G43*H43/I43)</f>
        <v>0</v>
      </c>
      <c r="L43" s="22"/>
      <c r="M43" s="771"/>
      <c r="N43" s="771"/>
      <c r="O43" s="771"/>
      <c r="P43" s="771"/>
      <c r="Q43" s="771"/>
      <c r="R43" s="181" t="s">
        <v>501</v>
      </c>
      <c r="S43" s="206"/>
      <c r="T43" s="180"/>
      <c r="U43" s="181">
        <f t="shared" ref="U43" si="6">+IF(T43=0,0,R43*S43/T43)</f>
        <v>0</v>
      </c>
    </row>
    <row r="44" spans="1:22" ht="15" customHeight="1" x14ac:dyDescent="0.25">
      <c r="A44" s="22"/>
      <c r="B44" s="772" t="s">
        <v>42</v>
      </c>
      <c r="C44" s="772"/>
      <c r="D44" s="772"/>
      <c r="E44" s="772"/>
      <c r="F44" s="772"/>
      <c r="G44" s="772"/>
      <c r="H44" s="772"/>
      <c r="I44" s="772"/>
      <c r="J44" s="181">
        <f>SUM(J41:J43)</f>
        <v>6288</v>
      </c>
      <c r="L44" s="22"/>
      <c r="M44" s="772" t="s">
        <v>42</v>
      </c>
      <c r="N44" s="772"/>
      <c r="O44" s="772"/>
      <c r="P44" s="772"/>
      <c r="Q44" s="772"/>
      <c r="R44" s="772"/>
      <c r="S44" s="772"/>
      <c r="T44" s="772"/>
      <c r="U44" s="181">
        <f>SUM(U41:U43)</f>
        <v>6288</v>
      </c>
    </row>
    <row r="45" spans="1:22" ht="7.5" customHeight="1" x14ac:dyDescent="0.25">
      <c r="A45" s="22"/>
      <c r="B45" s="25"/>
      <c r="C45" s="25"/>
      <c r="D45" s="25"/>
      <c r="E45" s="25"/>
      <c r="F45" s="25"/>
      <c r="G45" s="25"/>
      <c r="H45" s="25"/>
      <c r="I45" s="25"/>
      <c r="J45" s="26"/>
      <c r="L45" s="22"/>
      <c r="M45" s="25"/>
      <c r="N45" s="25"/>
      <c r="O45" s="25"/>
      <c r="P45" s="25"/>
      <c r="Q45" s="25"/>
      <c r="R45" s="25"/>
      <c r="S45" s="25"/>
      <c r="T45" s="25"/>
      <c r="U45" s="26"/>
    </row>
    <row r="46" spans="1:22" ht="15.75" customHeight="1" x14ac:dyDescent="0.25">
      <c r="A46" s="27"/>
      <c r="B46" s="773" t="s">
        <v>43</v>
      </c>
      <c r="C46" s="773"/>
      <c r="D46" s="773"/>
      <c r="E46" s="773"/>
      <c r="F46" s="773"/>
      <c r="G46" s="773"/>
      <c r="H46" s="773"/>
      <c r="I46" s="773"/>
      <c r="J46" s="210">
        <f>+J44+J37+J17+J29</f>
        <v>27707</v>
      </c>
      <c r="L46" s="27"/>
      <c r="M46" s="773" t="s">
        <v>43</v>
      </c>
      <c r="N46" s="773"/>
      <c r="O46" s="773"/>
      <c r="P46" s="773"/>
      <c r="Q46" s="773"/>
      <c r="R46" s="773"/>
      <c r="S46" s="773"/>
      <c r="T46" s="773"/>
      <c r="U46" s="210">
        <f>+U44+U37+U17+U29</f>
        <v>27707</v>
      </c>
    </row>
    <row r="47" spans="1:22" x14ac:dyDescent="0.25">
      <c r="B47" s="21"/>
      <c r="C47" s="21"/>
      <c r="D47" s="21"/>
      <c r="E47" s="21"/>
      <c r="F47" s="21"/>
      <c r="G47" s="21"/>
      <c r="H47" s="21"/>
      <c r="I47" s="21"/>
      <c r="J47" s="21"/>
    </row>
    <row r="49" spans="8:10" ht="13.8" thickBot="1" x14ac:dyDescent="0.3"/>
    <row r="50" spans="8:10" x14ac:dyDescent="0.25">
      <c r="H50" s="251" t="s">
        <v>477</v>
      </c>
      <c r="I50" s="252"/>
      <c r="J50" s="253">
        <v>27914</v>
      </c>
    </row>
    <row r="51" spans="8:10" x14ac:dyDescent="0.25">
      <c r="H51" s="254" t="s">
        <v>469</v>
      </c>
      <c r="I51" s="239"/>
      <c r="J51" s="255">
        <v>24131</v>
      </c>
    </row>
    <row r="52" spans="8:10" ht="13.8" thickBot="1" x14ac:dyDescent="0.3">
      <c r="H52" s="256" t="s">
        <v>470</v>
      </c>
      <c r="I52" s="257"/>
      <c r="J52" s="258">
        <f>J46</f>
        <v>27707</v>
      </c>
    </row>
  </sheetData>
  <mergeCells count="84">
    <mergeCell ref="A1:C4"/>
    <mergeCell ref="D1:J1"/>
    <mergeCell ref="L1:N4"/>
    <mergeCell ref="O1:U1"/>
    <mergeCell ref="D2:J2"/>
    <mergeCell ref="O2:U2"/>
    <mergeCell ref="D3:J3"/>
    <mergeCell ref="O3:U3"/>
    <mergeCell ref="D4:J4"/>
    <mergeCell ref="O4:U4"/>
    <mergeCell ref="E6:H6"/>
    <mergeCell ref="P6:S6"/>
    <mergeCell ref="B7:J7"/>
    <mergeCell ref="M7:U7"/>
    <mergeCell ref="B8:F8"/>
    <mergeCell ref="M8:Q8"/>
    <mergeCell ref="B9:F9"/>
    <mergeCell ref="M9:Q9"/>
    <mergeCell ref="B10:F10"/>
    <mergeCell ref="M10:Q10"/>
    <mergeCell ref="B11:F11"/>
    <mergeCell ref="M11:Q11"/>
    <mergeCell ref="B12:F12"/>
    <mergeCell ref="M12:Q12"/>
    <mergeCell ref="B13:F13"/>
    <mergeCell ref="M13:Q13"/>
    <mergeCell ref="B14:F14"/>
    <mergeCell ref="M14:Q14"/>
    <mergeCell ref="B15:F15"/>
    <mergeCell ref="M15:Q15"/>
    <mergeCell ref="B16:F16"/>
    <mergeCell ref="M16:Q16"/>
    <mergeCell ref="B17:I17"/>
    <mergeCell ref="M17:T17"/>
    <mergeCell ref="B19:J19"/>
    <mergeCell ref="M19:U19"/>
    <mergeCell ref="B20:E20"/>
    <mergeCell ref="M20:P20"/>
    <mergeCell ref="B21:E21"/>
    <mergeCell ref="M21:P21"/>
    <mergeCell ref="B22:E22"/>
    <mergeCell ref="M22:P22"/>
    <mergeCell ref="B23:E23"/>
    <mergeCell ref="M23:P23"/>
    <mergeCell ref="B24:E24"/>
    <mergeCell ref="M24:P24"/>
    <mergeCell ref="B25:E25"/>
    <mergeCell ref="M25:P25"/>
    <mergeCell ref="B26:E26"/>
    <mergeCell ref="M26:P26"/>
    <mergeCell ref="B27:E27"/>
    <mergeCell ref="M27:P27"/>
    <mergeCell ref="B28:E28"/>
    <mergeCell ref="M28:P28"/>
    <mergeCell ref="B29:I29"/>
    <mergeCell ref="M29:T29"/>
    <mergeCell ref="B31:J31"/>
    <mergeCell ref="M31:U31"/>
    <mergeCell ref="B32:F32"/>
    <mergeCell ref="M32:Q32"/>
    <mergeCell ref="B33:F33"/>
    <mergeCell ref="M33:Q33"/>
    <mergeCell ref="B34:F34"/>
    <mergeCell ref="M34:Q34"/>
    <mergeCell ref="B35:F35"/>
    <mergeCell ref="M35:Q35"/>
    <mergeCell ref="B36:F36"/>
    <mergeCell ref="M36:Q36"/>
    <mergeCell ref="B37:I37"/>
    <mergeCell ref="M37:T37"/>
    <mergeCell ref="B39:J39"/>
    <mergeCell ref="M39:U39"/>
    <mergeCell ref="B40:F40"/>
    <mergeCell ref="M40:Q40"/>
    <mergeCell ref="B41:F41"/>
    <mergeCell ref="M41:Q41"/>
    <mergeCell ref="B46:I46"/>
    <mergeCell ref="M46:T46"/>
    <mergeCell ref="B42:F42"/>
    <mergeCell ref="M42:Q42"/>
    <mergeCell ref="B43:F43"/>
    <mergeCell ref="M43:Q43"/>
    <mergeCell ref="B44:I44"/>
    <mergeCell ref="M44:T44"/>
  </mergeCells>
  <hyperlinks>
    <hyperlink ref="C6" location="'PPTO HOJA'!A124" display="'PPTO HOJA'!A124" xr:uid="{00000000-0004-0000-3B00-000000000000}"/>
    <hyperlink ref="N6" location="'PPTO HOJA'!A124" display="'PPTO HOJA'!A124" xr:uid="{00000000-0004-0000-3B00-000001000000}"/>
  </hyperlinks>
  <pageMargins left="0.7" right="0.7" top="0.75" bottom="0.75" header="0.3" footer="0.3"/>
  <pageSetup paperSize="9" scale="31" orientation="portrait"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theme="5" tint="0.59999389629810485"/>
  </sheetPr>
  <dimension ref="A1:W52"/>
  <sheetViews>
    <sheetView zoomScale="85" zoomScaleNormal="85" zoomScaleSheetLayoutView="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8" width="14.6640625" style="20" bestFit="1" customWidth="1"/>
    <col min="9" max="9" width="15.109375" style="20" bestFit="1" customWidth="1"/>
    <col min="10" max="10" width="19" style="20" bestFit="1" customWidth="1"/>
    <col min="11" max="11" width="4.5546875" style="20" customWidth="1"/>
    <col min="12" max="17" width="11.44140625" style="20"/>
    <col min="18" max="18" width="13.44140625" style="20" bestFit="1" customWidth="1"/>
    <col min="19" max="19" width="14.6640625" style="20" bestFit="1" customWidth="1"/>
    <col min="20" max="20" width="15.109375" style="20" bestFit="1" customWidth="1"/>
    <col min="21" max="21" width="19" style="20" bestFit="1" customWidth="1"/>
    <col min="22" max="22" width="11.109375" style="20" customWidth="1"/>
    <col min="23" max="23" width="45.44140625" style="20" customWidth="1"/>
    <col min="24" max="16384" width="11.44140625" style="20"/>
  </cols>
  <sheetData>
    <row r="1" spans="1:23" x14ac:dyDescent="0.25">
      <c r="A1" s="768"/>
      <c r="B1" s="768"/>
      <c r="C1" s="768"/>
      <c r="D1" s="769" t="s">
        <v>1</v>
      </c>
      <c r="E1" s="769"/>
      <c r="F1" s="769"/>
      <c r="G1" s="769"/>
      <c r="H1" s="769"/>
      <c r="I1" s="769"/>
      <c r="J1" s="769"/>
      <c r="L1" s="821" t="s">
        <v>469</v>
      </c>
      <c r="M1" s="821"/>
      <c r="N1" s="821"/>
      <c r="O1" s="769" t="str">
        <f>D1</f>
        <v>DEPARTAMENTO DE ANTIOQUIA</v>
      </c>
      <c r="P1" s="769"/>
      <c r="Q1" s="769"/>
      <c r="R1" s="769"/>
      <c r="S1" s="769"/>
      <c r="T1" s="769"/>
      <c r="U1" s="769"/>
    </row>
    <row r="2" spans="1:23" x14ac:dyDescent="0.25">
      <c r="A2" s="768"/>
      <c r="B2" s="768"/>
      <c r="C2" s="768"/>
      <c r="D2" s="769" t="s">
        <v>2</v>
      </c>
      <c r="E2" s="769"/>
      <c r="F2" s="769"/>
      <c r="G2" s="769"/>
      <c r="H2" s="769"/>
      <c r="I2" s="769"/>
      <c r="J2" s="769"/>
      <c r="L2" s="821"/>
      <c r="M2" s="821"/>
      <c r="N2" s="821"/>
      <c r="O2" s="769" t="str">
        <f t="shared" ref="O2:O3" si="0">D2</f>
        <v>MUNICIPIO DE ARBOLETES</v>
      </c>
      <c r="P2" s="769"/>
      <c r="Q2" s="769"/>
      <c r="R2" s="769"/>
      <c r="S2" s="769"/>
      <c r="T2" s="769"/>
      <c r="U2" s="769"/>
    </row>
    <row r="3" spans="1:23" ht="59.4" customHeight="1" x14ac:dyDescent="0.25">
      <c r="A3" s="768"/>
      <c r="B3" s="768"/>
      <c r="C3" s="768"/>
      <c r="D3" s="770" t="s">
        <v>328</v>
      </c>
      <c r="E3" s="770"/>
      <c r="F3" s="770"/>
      <c r="G3" s="770"/>
      <c r="H3" s="770"/>
      <c r="I3" s="770"/>
      <c r="J3" s="770"/>
      <c r="L3" s="821"/>
      <c r="M3" s="821"/>
      <c r="N3" s="821"/>
      <c r="O3" s="770" t="str">
        <f t="shared" si="0"/>
        <v>CONSTRUCCION DE OBRAS CIVILES COMPLEMENTARIAS PARA EL CORRECTO FUNCIONAMIENTO DEL PROYECTO DENOMINADO “PARQUE GEOLÓGICO, NATURAL, AMBIENTAL, CULTURAL Y TURÍSTICO, VOLCÁN DE LODO DE ARBOLETES”, QUE SE LLEVARÁ A CABO EN EL MUNICIPIO DE ARBOLETES-ANTIOQUIA</v>
      </c>
      <c r="P3" s="770"/>
      <c r="Q3" s="770"/>
      <c r="R3" s="770"/>
      <c r="S3" s="770"/>
      <c r="T3" s="770"/>
      <c r="U3" s="770"/>
    </row>
    <row r="4" spans="1:23" x14ac:dyDescent="0.25">
      <c r="A4" s="768"/>
      <c r="B4" s="768"/>
      <c r="C4" s="768"/>
      <c r="D4" s="769" t="s">
        <v>20</v>
      </c>
      <c r="E4" s="769"/>
      <c r="F4" s="769"/>
      <c r="G4" s="769"/>
      <c r="H4" s="769"/>
      <c r="I4" s="769"/>
      <c r="J4" s="769"/>
      <c r="L4" s="821"/>
      <c r="M4" s="821"/>
      <c r="N4" s="821"/>
      <c r="O4" s="769" t="s">
        <v>20</v>
      </c>
      <c r="P4" s="769"/>
      <c r="Q4" s="769"/>
      <c r="R4" s="769"/>
      <c r="S4" s="769"/>
      <c r="T4" s="769"/>
      <c r="U4" s="769"/>
    </row>
    <row r="5" spans="1:23" ht="9.75" customHeight="1" x14ac:dyDescent="0.25">
      <c r="A5" s="22"/>
      <c r="J5" s="23"/>
      <c r="L5" s="22"/>
      <c r="U5" s="23"/>
    </row>
    <row r="6" spans="1:23" s="21" customFormat="1" ht="45" customHeight="1" x14ac:dyDescent="0.3">
      <c r="A6" s="202" t="s">
        <v>460</v>
      </c>
      <c r="B6" s="203" t="s">
        <v>22</v>
      </c>
      <c r="C6" s="204">
        <v>7.0799999999999983</v>
      </c>
      <c r="D6" s="205"/>
      <c r="E6" s="777" t="s">
        <v>368</v>
      </c>
      <c r="F6" s="777"/>
      <c r="G6" s="777"/>
      <c r="H6" s="777"/>
      <c r="I6" s="202" t="s">
        <v>23</v>
      </c>
      <c r="J6" s="206" t="s">
        <v>9</v>
      </c>
      <c r="L6" s="202" t="s">
        <v>460</v>
      </c>
      <c r="M6" s="203" t="s">
        <v>22</v>
      </c>
      <c r="N6" s="204">
        <f>C6</f>
        <v>7.0799999999999983</v>
      </c>
      <c r="O6" s="205"/>
      <c r="P6" s="777" t="str">
        <f>E6</f>
        <v xml:space="preserve">Suministro, Transporte e Instalacion de postes de concreto de 12 metros x 750 kgf para iluminacion exterior  </v>
      </c>
      <c r="Q6" s="777"/>
      <c r="R6" s="777"/>
      <c r="S6" s="777"/>
      <c r="T6" s="202" t="s">
        <v>23</v>
      </c>
      <c r="U6" s="206" t="str">
        <f>J6</f>
        <v>und</v>
      </c>
    </row>
    <row r="7" spans="1:23" ht="15" customHeight="1" x14ac:dyDescent="0.25">
      <c r="A7" s="22"/>
      <c r="B7" s="772" t="s">
        <v>24</v>
      </c>
      <c r="C7" s="772"/>
      <c r="D7" s="772"/>
      <c r="E7" s="772"/>
      <c r="F7" s="772"/>
      <c r="G7" s="772"/>
      <c r="H7" s="772"/>
      <c r="I7" s="772"/>
      <c r="J7" s="772"/>
      <c r="L7" s="22"/>
      <c r="M7" s="772" t="s">
        <v>24</v>
      </c>
      <c r="N7" s="772"/>
      <c r="O7" s="772"/>
      <c r="P7" s="772"/>
      <c r="Q7" s="772"/>
      <c r="R7" s="772"/>
      <c r="S7" s="772"/>
      <c r="T7" s="772"/>
      <c r="U7" s="772"/>
      <c r="W7" s="259" t="s">
        <v>471</v>
      </c>
    </row>
    <row r="8" spans="1:23"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3" ht="15" customHeight="1" x14ac:dyDescent="0.25">
      <c r="A9" s="22"/>
      <c r="B9" s="771" t="s">
        <v>30</v>
      </c>
      <c r="C9" s="771"/>
      <c r="D9" s="771"/>
      <c r="E9" s="771"/>
      <c r="F9" s="771"/>
      <c r="G9" s="206"/>
      <c r="H9" s="181"/>
      <c r="I9" s="208">
        <v>0.05</v>
      </c>
      <c r="J9" s="181">
        <f>ROUND(I9*J44,0)</f>
        <v>5031</v>
      </c>
      <c r="L9" s="22"/>
      <c r="M9" s="771" t="s">
        <v>30</v>
      </c>
      <c r="N9" s="771"/>
      <c r="O9" s="771"/>
      <c r="P9" s="771"/>
      <c r="Q9" s="771"/>
      <c r="R9" s="206"/>
      <c r="S9" s="181"/>
      <c r="T9" s="208">
        <v>0.05</v>
      </c>
      <c r="U9" s="181">
        <f>ROUND(T9*U44,0)</f>
        <v>5031</v>
      </c>
      <c r="V9" s="239" t="s">
        <v>461</v>
      </c>
    </row>
    <row r="10" spans="1:23" ht="15" customHeight="1" x14ac:dyDescent="0.25">
      <c r="A10" s="22"/>
      <c r="B10" s="777" t="s">
        <v>405</v>
      </c>
      <c r="C10" s="777"/>
      <c r="D10" s="777"/>
      <c r="E10" s="777"/>
      <c r="F10" s="777"/>
      <c r="G10" s="206"/>
      <c r="H10" s="181">
        <v>1750000</v>
      </c>
      <c r="I10" s="180">
        <f>I41*3</f>
        <v>7.5</v>
      </c>
      <c r="J10" s="181">
        <f>IF(B10="",0,ROUND(H10/I10,0))</f>
        <v>233333</v>
      </c>
      <c r="L10" s="22"/>
      <c r="M10" s="777" t="s">
        <v>405</v>
      </c>
      <c r="N10" s="777"/>
      <c r="O10" s="777"/>
      <c r="P10" s="777"/>
      <c r="Q10" s="777"/>
      <c r="R10" s="206"/>
      <c r="S10" s="181">
        <v>1750000</v>
      </c>
      <c r="T10" s="180">
        <f>T41*3</f>
        <v>7.5</v>
      </c>
      <c r="U10" s="181">
        <f>IF(M10="",0,ROUND(S10/T10,0))</f>
        <v>233333</v>
      </c>
      <c r="V10" s="239" t="s">
        <v>461</v>
      </c>
    </row>
    <row r="11" spans="1:23" ht="15" customHeight="1" x14ac:dyDescent="0.25">
      <c r="A11" s="22"/>
      <c r="B11" s="771"/>
      <c r="C11" s="771"/>
      <c r="D11" s="771"/>
      <c r="E11" s="771"/>
      <c r="F11" s="771"/>
      <c r="G11" s="206"/>
      <c r="H11" s="181"/>
      <c r="I11" s="180"/>
      <c r="J11" s="181">
        <f t="shared" ref="J11:J15" si="1">IF(B11="",0,ROUND(H11/I11,0))</f>
        <v>0</v>
      </c>
      <c r="L11" s="22"/>
      <c r="M11" s="771"/>
      <c r="N11" s="771"/>
      <c r="O11" s="771"/>
      <c r="P11" s="771"/>
      <c r="Q11" s="771"/>
      <c r="R11" s="206"/>
      <c r="S11" s="181"/>
      <c r="T11" s="180"/>
      <c r="U11" s="181">
        <f t="shared" ref="U11:U15" si="2">IF(M11="",0,ROUND(S11/T11,0))</f>
        <v>0</v>
      </c>
    </row>
    <row r="12" spans="1:23" ht="15" customHeight="1" x14ac:dyDescent="0.25">
      <c r="A12" s="22"/>
      <c r="B12" s="771"/>
      <c r="C12" s="771"/>
      <c r="D12" s="771"/>
      <c r="E12" s="771"/>
      <c r="F12" s="771"/>
      <c r="G12" s="206" t="s">
        <v>501</v>
      </c>
      <c r="H12" s="181" t="s">
        <v>501</v>
      </c>
      <c r="I12" s="180"/>
      <c r="J12" s="181">
        <f t="shared" si="1"/>
        <v>0</v>
      </c>
      <c r="L12" s="22"/>
      <c r="M12" s="771"/>
      <c r="N12" s="771"/>
      <c r="O12" s="771"/>
      <c r="P12" s="771"/>
      <c r="Q12" s="771"/>
      <c r="R12" s="206" t="s">
        <v>501</v>
      </c>
      <c r="S12" s="181" t="s">
        <v>501</v>
      </c>
      <c r="T12" s="180"/>
      <c r="U12" s="181">
        <f t="shared" si="2"/>
        <v>0</v>
      </c>
    </row>
    <row r="13" spans="1:23" ht="15" customHeight="1" x14ac:dyDescent="0.25">
      <c r="A13" s="22"/>
      <c r="B13" s="771"/>
      <c r="C13" s="771"/>
      <c r="D13" s="771"/>
      <c r="E13" s="771"/>
      <c r="F13" s="771"/>
      <c r="G13" s="206" t="s">
        <v>501</v>
      </c>
      <c r="H13" s="181" t="s">
        <v>501</v>
      </c>
      <c r="I13" s="180"/>
      <c r="J13" s="181">
        <f t="shared" si="1"/>
        <v>0</v>
      </c>
      <c r="L13" s="22"/>
      <c r="M13" s="771"/>
      <c r="N13" s="771"/>
      <c r="O13" s="771"/>
      <c r="P13" s="771"/>
      <c r="Q13" s="771"/>
      <c r="R13" s="206" t="s">
        <v>501</v>
      </c>
      <c r="S13" s="181" t="s">
        <v>501</v>
      </c>
      <c r="T13" s="180"/>
      <c r="U13" s="181">
        <f t="shared" si="2"/>
        <v>0</v>
      </c>
    </row>
    <row r="14" spans="1:23" ht="15" customHeight="1" x14ac:dyDescent="0.25">
      <c r="A14" s="22"/>
      <c r="B14" s="771"/>
      <c r="C14" s="771"/>
      <c r="D14" s="771"/>
      <c r="E14" s="771"/>
      <c r="F14" s="771"/>
      <c r="G14" s="206" t="s">
        <v>501</v>
      </c>
      <c r="H14" s="181" t="s">
        <v>501</v>
      </c>
      <c r="I14" s="180"/>
      <c r="J14" s="181">
        <f t="shared" si="1"/>
        <v>0</v>
      </c>
      <c r="L14" s="22"/>
      <c r="M14" s="771"/>
      <c r="N14" s="771"/>
      <c r="O14" s="771"/>
      <c r="P14" s="771"/>
      <c r="Q14" s="771"/>
      <c r="R14" s="206" t="s">
        <v>501</v>
      </c>
      <c r="S14" s="181" t="s">
        <v>501</v>
      </c>
      <c r="T14" s="180"/>
      <c r="U14" s="181">
        <f t="shared" si="2"/>
        <v>0</v>
      </c>
    </row>
    <row r="15" spans="1:23" ht="15" customHeight="1" x14ac:dyDescent="0.25">
      <c r="A15" s="22"/>
      <c r="B15" s="771"/>
      <c r="C15" s="771"/>
      <c r="D15" s="771"/>
      <c r="E15" s="771"/>
      <c r="F15" s="771"/>
      <c r="G15" s="206" t="s">
        <v>501</v>
      </c>
      <c r="H15" s="181" t="s">
        <v>501</v>
      </c>
      <c r="I15" s="180"/>
      <c r="J15" s="181">
        <f t="shared" si="1"/>
        <v>0</v>
      </c>
      <c r="L15" s="22"/>
      <c r="M15" s="771"/>
      <c r="N15" s="771"/>
      <c r="O15" s="771"/>
      <c r="P15" s="771"/>
      <c r="Q15" s="771"/>
      <c r="R15" s="206" t="s">
        <v>501</v>
      </c>
      <c r="S15" s="181" t="s">
        <v>501</v>
      </c>
      <c r="T15" s="180"/>
      <c r="U15" s="181">
        <f t="shared" si="2"/>
        <v>0</v>
      </c>
    </row>
    <row r="16" spans="1:23" ht="15" customHeight="1" x14ac:dyDescent="0.25">
      <c r="A16" s="22"/>
      <c r="B16" s="771"/>
      <c r="C16" s="771"/>
      <c r="D16" s="771"/>
      <c r="E16" s="771"/>
      <c r="F16" s="771"/>
      <c r="G16" s="206" t="s">
        <v>501</v>
      </c>
      <c r="H16" s="181" t="s">
        <v>501</v>
      </c>
      <c r="I16" s="180"/>
      <c r="J16" s="181"/>
      <c r="L16" s="22"/>
      <c r="M16" s="771"/>
      <c r="N16" s="771"/>
      <c r="O16" s="771"/>
      <c r="P16" s="771"/>
      <c r="Q16" s="771"/>
      <c r="R16" s="206" t="s">
        <v>501</v>
      </c>
      <c r="S16" s="181" t="s">
        <v>501</v>
      </c>
      <c r="T16" s="180"/>
      <c r="U16" s="181"/>
    </row>
    <row r="17" spans="1:23" ht="15" customHeight="1" x14ac:dyDescent="0.25">
      <c r="A17" s="22"/>
      <c r="B17" s="772" t="s">
        <v>31</v>
      </c>
      <c r="C17" s="772"/>
      <c r="D17" s="772"/>
      <c r="E17" s="772"/>
      <c r="F17" s="772"/>
      <c r="G17" s="772"/>
      <c r="H17" s="772"/>
      <c r="I17" s="772"/>
      <c r="J17" s="181">
        <f>SUM(J9:J16)</f>
        <v>238364</v>
      </c>
      <c r="L17" s="22"/>
      <c r="M17" s="772" t="s">
        <v>31</v>
      </c>
      <c r="N17" s="772"/>
      <c r="O17" s="772"/>
      <c r="P17" s="772"/>
      <c r="Q17" s="772"/>
      <c r="R17" s="772"/>
      <c r="S17" s="772"/>
      <c r="T17" s="772"/>
      <c r="U17" s="181">
        <f>SUM(U9:U16)</f>
        <v>238364</v>
      </c>
    </row>
    <row r="18" spans="1:23" ht="7.5" customHeight="1" x14ac:dyDescent="0.25">
      <c r="A18" s="22"/>
      <c r="B18" s="25"/>
      <c r="C18" s="25"/>
      <c r="D18" s="25"/>
      <c r="E18" s="25"/>
      <c r="F18" s="25"/>
      <c r="G18" s="25"/>
      <c r="H18" s="25"/>
      <c r="I18" s="25"/>
      <c r="J18" s="26"/>
      <c r="L18" s="22"/>
      <c r="M18" s="25"/>
      <c r="N18" s="25"/>
      <c r="O18" s="25"/>
      <c r="P18" s="25"/>
      <c r="Q18" s="25"/>
      <c r="R18" s="25"/>
      <c r="S18" s="25"/>
      <c r="T18" s="25"/>
      <c r="U18" s="26"/>
    </row>
    <row r="19" spans="1:23" ht="15" customHeight="1" x14ac:dyDescent="0.25">
      <c r="A19" s="22"/>
      <c r="B19" s="772" t="s">
        <v>32</v>
      </c>
      <c r="C19" s="772"/>
      <c r="D19" s="772"/>
      <c r="E19" s="772"/>
      <c r="F19" s="772"/>
      <c r="G19" s="772"/>
      <c r="H19" s="772"/>
      <c r="I19" s="772"/>
      <c r="J19" s="772"/>
      <c r="L19" s="22"/>
      <c r="M19" s="772" t="s">
        <v>32</v>
      </c>
      <c r="N19" s="772"/>
      <c r="O19" s="772"/>
      <c r="P19" s="772"/>
      <c r="Q19" s="772"/>
      <c r="R19" s="772"/>
      <c r="S19" s="772"/>
      <c r="T19" s="772"/>
      <c r="U19" s="772"/>
    </row>
    <row r="20" spans="1:23" ht="26.4" x14ac:dyDescent="0.25">
      <c r="A20" s="22"/>
      <c r="B20" s="774" t="s">
        <v>33</v>
      </c>
      <c r="C20" s="774"/>
      <c r="D20" s="774"/>
      <c r="E20" s="774"/>
      <c r="F20" s="205" t="s">
        <v>19</v>
      </c>
      <c r="G20" s="206" t="s">
        <v>34</v>
      </c>
      <c r="H20" s="207" t="s">
        <v>35</v>
      </c>
      <c r="I20" s="207" t="s">
        <v>36</v>
      </c>
      <c r="J20" s="207" t="s">
        <v>29</v>
      </c>
      <c r="L20" s="22"/>
      <c r="M20" s="774" t="s">
        <v>33</v>
      </c>
      <c r="N20" s="774"/>
      <c r="O20" s="774"/>
      <c r="P20" s="774"/>
      <c r="Q20" s="205" t="s">
        <v>19</v>
      </c>
      <c r="R20" s="206" t="s">
        <v>34</v>
      </c>
      <c r="S20" s="207" t="s">
        <v>35</v>
      </c>
      <c r="T20" s="207" t="s">
        <v>36</v>
      </c>
      <c r="U20" s="207" t="s">
        <v>29</v>
      </c>
    </row>
    <row r="21" spans="1:23" ht="36" customHeight="1" x14ac:dyDescent="0.25">
      <c r="A21" s="22"/>
      <c r="B21" s="815" t="s">
        <v>485</v>
      </c>
      <c r="C21" s="816"/>
      <c r="D21" s="816"/>
      <c r="E21" s="817"/>
      <c r="F21" s="245">
        <v>1</v>
      </c>
      <c r="G21" s="246" t="s">
        <v>9</v>
      </c>
      <c r="H21" s="247"/>
      <c r="I21" s="248">
        <v>1665000</v>
      </c>
      <c r="J21" s="248">
        <f>IF(I21="",0,ROUND((+F21*I21*(1+H21)),0))</f>
        <v>1665000</v>
      </c>
      <c r="K21" s="163"/>
      <c r="L21" s="22"/>
      <c r="M21" s="791" t="s">
        <v>485</v>
      </c>
      <c r="N21" s="792"/>
      <c r="O21" s="792"/>
      <c r="P21" s="793"/>
      <c r="Q21" s="180">
        <v>1</v>
      </c>
      <c r="R21" s="206" t="s">
        <v>9</v>
      </c>
      <c r="S21" s="213"/>
      <c r="T21" s="181">
        <v>1665000</v>
      </c>
      <c r="U21" s="181">
        <f>IF(T21="",0,ROUND((+Q21*T21*(1+S21)),0))</f>
        <v>1665000</v>
      </c>
      <c r="V21" s="264" t="s">
        <v>448</v>
      </c>
      <c r="W21" s="265" t="s">
        <v>486</v>
      </c>
    </row>
    <row r="22" spans="1:23" ht="15" customHeight="1" x14ac:dyDescent="0.25">
      <c r="A22" s="22"/>
      <c r="B22" s="791"/>
      <c r="C22" s="792"/>
      <c r="D22" s="792"/>
      <c r="E22" s="793"/>
      <c r="F22" s="180"/>
      <c r="G22" s="206" t="s">
        <v>501</v>
      </c>
      <c r="H22" s="209"/>
      <c r="I22" s="181" t="s">
        <v>501</v>
      </c>
      <c r="J22" s="181">
        <f t="shared" ref="J22:J27" si="3">IF(I22="",0,ROUND((+F22*I22*(1+H22)),0))</f>
        <v>0</v>
      </c>
      <c r="K22" s="117"/>
      <c r="L22" s="22"/>
      <c r="M22" s="791"/>
      <c r="N22" s="792"/>
      <c r="O22" s="792"/>
      <c r="P22" s="793"/>
      <c r="Q22" s="180"/>
      <c r="R22" s="206" t="s">
        <v>501</v>
      </c>
      <c r="S22" s="213"/>
      <c r="T22" s="181" t="s">
        <v>501</v>
      </c>
      <c r="U22" s="181">
        <f t="shared" ref="U22:U27" si="4">IF(T22="",0,ROUND((+Q22*T22*(1+S22)),0))</f>
        <v>0</v>
      </c>
    </row>
    <row r="23" spans="1:23" ht="15" customHeight="1" x14ac:dyDescent="0.25">
      <c r="A23" s="22"/>
      <c r="B23" s="791"/>
      <c r="C23" s="792"/>
      <c r="D23" s="792"/>
      <c r="E23" s="793"/>
      <c r="F23" s="180"/>
      <c r="G23" s="206" t="s">
        <v>501</v>
      </c>
      <c r="H23" s="209"/>
      <c r="I23" s="181" t="s">
        <v>501</v>
      </c>
      <c r="J23" s="181">
        <f t="shared" si="3"/>
        <v>0</v>
      </c>
      <c r="K23" s="117"/>
      <c r="L23" s="22"/>
      <c r="M23" s="791"/>
      <c r="N23" s="792"/>
      <c r="O23" s="792"/>
      <c r="P23" s="793"/>
      <c r="Q23" s="180"/>
      <c r="R23" s="206" t="s">
        <v>501</v>
      </c>
      <c r="S23" s="213"/>
      <c r="T23" s="181" t="s">
        <v>501</v>
      </c>
      <c r="U23" s="181">
        <f t="shared" si="4"/>
        <v>0</v>
      </c>
    </row>
    <row r="24" spans="1:23" ht="15" customHeight="1" x14ac:dyDescent="0.25">
      <c r="A24" s="22"/>
      <c r="B24" s="791"/>
      <c r="C24" s="792"/>
      <c r="D24" s="792"/>
      <c r="E24" s="793"/>
      <c r="F24" s="180"/>
      <c r="G24" s="206" t="s">
        <v>501</v>
      </c>
      <c r="H24" s="209"/>
      <c r="I24" s="181" t="s">
        <v>501</v>
      </c>
      <c r="J24" s="181">
        <f t="shared" si="3"/>
        <v>0</v>
      </c>
      <c r="L24" s="22"/>
      <c r="M24" s="791"/>
      <c r="N24" s="792"/>
      <c r="O24" s="792"/>
      <c r="P24" s="793"/>
      <c r="Q24" s="180"/>
      <c r="R24" s="206" t="s">
        <v>501</v>
      </c>
      <c r="S24" s="213"/>
      <c r="T24" s="181" t="s">
        <v>501</v>
      </c>
      <c r="U24" s="181">
        <f t="shared" si="4"/>
        <v>0</v>
      </c>
    </row>
    <row r="25" spans="1:23" ht="15" customHeight="1" x14ac:dyDescent="0.25">
      <c r="A25" s="22"/>
      <c r="B25" s="791"/>
      <c r="C25" s="792"/>
      <c r="D25" s="792"/>
      <c r="E25" s="793"/>
      <c r="F25" s="180"/>
      <c r="G25" s="206" t="s">
        <v>501</v>
      </c>
      <c r="H25" s="209"/>
      <c r="I25" s="181" t="s">
        <v>501</v>
      </c>
      <c r="J25" s="181">
        <f t="shared" si="3"/>
        <v>0</v>
      </c>
      <c r="L25" s="22"/>
      <c r="M25" s="791"/>
      <c r="N25" s="792"/>
      <c r="O25" s="792"/>
      <c r="P25" s="793"/>
      <c r="Q25" s="180"/>
      <c r="R25" s="206" t="s">
        <v>501</v>
      </c>
      <c r="S25" s="213"/>
      <c r="T25" s="181" t="s">
        <v>501</v>
      </c>
      <c r="U25" s="181">
        <f t="shared" si="4"/>
        <v>0</v>
      </c>
    </row>
    <row r="26" spans="1:23" ht="15" customHeight="1" x14ac:dyDescent="0.25">
      <c r="A26" s="22"/>
      <c r="B26" s="791"/>
      <c r="C26" s="792"/>
      <c r="D26" s="792"/>
      <c r="E26" s="793"/>
      <c r="F26" s="180"/>
      <c r="G26" s="206" t="s">
        <v>501</v>
      </c>
      <c r="H26" s="209"/>
      <c r="I26" s="181" t="s">
        <v>501</v>
      </c>
      <c r="J26" s="181">
        <f t="shared" si="3"/>
        <v>0</v>
      </c>
      <c r="L26" s="22"/>
      <c r="M26" s="791"/>
      <c r="N26" s="792"/>
      <c r="O26" s="792"/>
      <c r="P26" s="793"/>
      <c r="Q26" s="180"/>
      <c r="R26" s="206" t="s">
        <v>501</v>
      </c>
      <c r="S26" s="213"/>
      <c r="T26" s="181" t="s">
        <v>501</v>
      </c>
      <c r="U26" s="181">
        <f t="shared" si="4"/>
        <v>0</v>
      </c>
    </row>
    <row r="27" spans="1:23" ht="15" customHeight="1" x14ac:dyDescent="0.25">
      <c r="A27" s="22"/>
      <c r="B27" s="791"/>
      <c r="C27" s="792"/>
      <c r="D27" s="792"/>
      <c r="E27" s="793"/>
      <c r="F27" s="180"/>
      <c r="G27" s="206" t="s">
        <v>501</v>
      </c>
      <c r="H27" s="209"/>
      <c r="I27" s="181" t="s">
        <v>501</v>
      </c>
      <c r="J27" s="181">
        <f t="shared" si="3"/>
        <v>0</v>
      </c>
      <c r="L27" s="22"/>
      <c r="M27" s="791"/>
      <c r="N27" s="792"/>
      <c r="O27" s="792"/>
      <c r="P27" s="793"/>
      <c r="Q27" s="180"/>
      <c r="R27" s="206" t="s">
        <v>501</v>
      </c>
      <c r="S27" s="213"/>
      <c r="T27" s="181" t="s">
        <v>501</v>
      </c>
      <c r="U27" s="181">
        <f t="shared" si="4"/>
        <v>0</v>
      </c>
    </row>
    <row r="28" spans="1:23" ht="15" customHeight="1" x14ac:dyDescent="0.25">
      <c r="A28" s="22"/>
      <c r="B28" s="785"/>
      <c r="C28" s="786"/>
      <c r="D28" s="786"/>
      <c r="E28" s="787"/>
      <c r="F28" s="180"/>
      <c r="G28" s="206" t="s">
        <v>501</v>
      </c>
      <c r="H28" s="209"/>
      <c r="I28" s="181" t="s">
        <v>501</v>
      </c>
      <c r="J28" s="181"/>
      <c r="L28" s="22"/>
      <c r="M28" s="785"/>
      <c r="N28" s="786"/>
      <c r="O28" s="786"/>
      <c r="P28" s="787"/>
      <c r="Q28" s="180"/>
      <c r="R28" s="206" t="s">
        <v>501</v>
      </c>
      <c r="S28" s="213"/>
      <c r="T28" s="181" t="s">
        <v>501</v>
      </c>
      <c r="U28" s="181"/>
    </row>
    <row r="29" spans="1:23" ht="15" customHeight="1" x14ac:dyDescent="0.25">
      <c r="A29" s="22"/>
      <c r="B29" s="772" t="s">
        <v>37</v>
      </c>
      <c r="C29" s="772"/>
      <c r="D29" s="772"/>
      <c r="E29" s="772"/>
      <c r="F29" s="772"/>
      <c r="G29" s="772"/>
      <c r="H29" s="772"/>
      <c r="I29" s="772"/>
      <c r="J29" s="181">
        <f>SUM(J21:J28)</f>
        <v>1665000</v>
      </c>
      <c r="L29" s="22"/>
      <c r="M29" s="772" t="s">
        <v>37</v>
      </c>
      <c r="N29" s="772"/>
      <c r="O29" s="772"/>
      <c r="P29" s="772"/>
      <c r="Q29" s="772"/>
      <c r="R29" s="772"/>
      <c r="S29" s="772"/>
      <c r="T29" s="772"/>
      <c r="U29" s="181">
        <f>SUM(U21:U28)</f>
        <v>1665000</v>
      </c>
    </row>
    <row r="30" spans="1:23" ht="7.5" customHeight="1" x14ac:dyDescent="0.25">
      <c r="A30" s="22"/>
      <c r="B30" s="25"/>
      <c r="C30" s="25"/>
      <c r="D30" s="25"/>
      <c r="E30" s="25"/>
      <c r="F30" s="25"/>
      <c r="G30" s="25"/>
      <c r="H30" s="25"/>
      <c r="I30" s="25"/>
      <c r="J30" s="26"/>
      <c r="L30" s="22"/>
      <c r="M30" s="25"/>
      <c r="N30" s="25"/>
      <c r="O30" s="25"/>
      <c r="P30" s="25"/>
      <c r="Q30" s="25"/>
      <c r="R30" s="25"/>
      <c r="S30" s="25"/>
      <c r="T30" s="25"/>
      <c r="U30" s="26"/>
    </row>
    <row r="31" spans="1:23" ht="15" customHeight="1" x14ac:dyDescent="0.25">
      <c r="A31" s="22"/>
      <c r="B31" s="772" t="s">
        <v>38</v>
      </c>
      <c r="C31" s="772"/>
      <c r="D31" s="772"/>
      <c r="E31" s="772"/>
      <c r="F31" s="772"/>
      <c r="G31" s="772"/>
      <c r="H31" s="772"/>
      <c r="I31" s="772"/>
      <c r="J31" s="772"/>
      <c r="L31" s="22"/>
      <c r="M31" s="772" t="s">
        <v>38</v>
      </c>
      <c r="N31" s="772"/>
      <c r="O31" s="772"/>
      <c r="P31" s="772"/>
      <c r="Q31" s="772"/>
      <c r="R31" s="772"/>
      <c r="S31" s="772"/>
      <c r="T31" s="772"/>
      <c r="U31" s="772"/>
    </row>
    <row r="32" spans="1:23" x14ac:dyDescent="0.25">
      <c r="A32" s="22"/>
      <c r="B32" s="774" t="s">
        <v>33</v>
      </c>
      <c r="C32" s="774"/>
      <c r="D32" s="774"/>
      <c r="E32" s="774"/>
      <c r="F32" s="774"/>
      <c r="G32" s="206" t="s">
        <v>133</v>
      </c>
      <c r="H32" s="206" t="s">
        <v>132</v>
      </c>
      <c r="I32" s="206" t="s">
        <v>39</v>
      </c>
      <c r="J32" s="207" t="s">
        <v>29</v>
      </c>
      <c r="L32" s="22"/>
      <c r="M32" s="774" t="s">
        <v>33</v>
      </c>
      <c r="N32" s="774"/>
      <c r="O32" s="774"/>
      <c r="P32" s="774"/>
      <c r="Q32" s="774"/>
      <c r="R32" s="206" t="s">
        <v>133</v>
      </c>
      <c r="S32" s="206" t="s">
        <v>132</v>
      </c>
      <c r="T32" s="206" t="s">
        <v>39</v>
      </c>
      <c r="U32" s="207" t="s">
        <v>29</v>
      </c>
    </row>
    <row r="33" spans="1:23" ht="15" customHeight="1" x14ac:dyDescent="0.25">
      <c r="A33" s="22"/>
      <c r="B33" s="814" t="s">
        <v>487</v>
      </c>
      <c r="C33" s="814"/>
      <c r="D33" s="814"/>
      <c r="E33" s="814"/>
      <c r="F33" s="814"/>
      <c r="G33" s="246"/>
      <c r="H33" s="245"/>
      <c r="I33" s="248">
        <v>940000</v>
      </c>
      <c r="J33" s="248">
        <f>I33</f>
        <v>940000</v>
      </c>
      <c r="L33" s="22"/>
      <c r="M33" s="771" t="s">
        <v>487</v>
      </c>
      <c r="N33" s="771"/>
      <c r="O33" s="771"/>
      <c r="P33" s="771"/>
      <c r="Q33" s="771"/>
      <c r="R33" s="206"/>
      <c r="S33" s="180"/>
      <c r="T33" s="181">
        <v>940000</v>
      </c>
      <c r="U33" s="181">
        <f>T33</f>
        <v>940000</v>
      </c>
      <c r="W33" s="262" t="s">
        <v>475</v>
      </c>
    </row>
    <row r="34" spans="1:23" ht="15" customHeight="1" x14ac:dyDescent="0.25">
      <c r="A34" s="22"/>
      <c r="B34" s="771"/>
      <c r="C34" s="771"/>
      <c r="D34" s="771"/>
      <c r="E34" s="771"/>
      <c r="F34" s="771"/>
      <c r="G34" s="206"/>
      <c r="H34" s="180"/>
      <c r="I34" s="181"/>
      <c r="J34" s="181">
        <v>0</v>
      </c>
      <c r="L34" s="22"/>
      <c r="M34" s="771"/>
      <c r="N34" s="771"/>
      <c r="O34" s="771"/>
      <c r="P34" s="771"/>
      <c r="Q34" s="771"/>
      <c r="R34" s="206"/>
      <c r="S34" s="180"/>
      <c r="T34" s="181"/>
      <c r="U34" s="181">
        <v>0</v>
      </c>
    </row>
    <row r="35" spans="1:23" ht="15" customHeight="1" x14ac:dyDescent="0.25">
      <c r="A35" s="22"/>
      <c r="B35" s="771"/>
      <c r="C35" s="771"/>
      <c r="D35" s="771"/>
      <c r="E35" s="771"/>
      <c r="F35" s="771"/>
      <c r="G35" s="206"/>
      <c r="H35" s="180"/>
      <c r="I35" s="181"/>
      <c r="J35" s="181">
        <v>0</v>
      </c>
      <c r="L35" s="22"/>
      <c r="M35" s="771"/>
      <c r="N35" s="771"/>
      <c r="O35" s="771"/>
      <c r="P35" s="771"/>
      <c r="Q35" s="771"/>
      <c r="R35" s="206"/>
      <c r="S35" s="180"/>
      <c r="T35" s="181"/>
      <c r="U35" s="181">
        <v>0</v>
      </c>
    </row>
    <row r="36" spans="1:23" ht="15" customHeight="1" x14ac:dyDescent="0.25">
      <c r="A36" s="22"/>
      <c r="B36" s="771"/>
      <c r="C36" s="771"/>
      <c r="D36" s="771"/>
      <c r="E36" s="771"/>
      <c r="F36" s="771"/>
      <c r="G36" s="206"/>
      <c r="H36" s="206"/>
      <c r="I36" s="181"/>
      <c r="J36" s="181">
        <v>0</v>
      </c>
      <c r="L36" s="22"/>
      <c r="M36" s="771"/>
      <c r="N36" s="771"/>
      <c r="O36" s="771"/>
      <c r="P36" s="771"/>
      <c r="Q36" s="771"/>
      <c r="R36" s="206"/>
      <c r="S36" s="206"/>
      <c r="T36" s="181"/>
      <c r="U36" s="181">
        <v>0</v>
      </c>
    </row>
    <row r="37" spans="1:23" ht="15" customHeight="1" x14ac:dyDescent="0.25">
      <c r="A37" s="22"/>
      <c r="B37" s="772" t="s">
        <v>40</v>
      </c>
      <c r="C37" s="772"/>
      <c r="D37" s="772"/>
      <c r="E37" s="772"/>
      <c r="F37" s="772"/>
      <c r="G37" s="772"/>
      <c r="H37" s="772"/>
      <c r="I37" s="772"/>
      <c r="J37" s="181">
        <f>SUM(J33:J36)</f>
        <v>940000</v>
      </c>
      <c r="L37" s="22"/>
      <c r="M37" s="772" t="s">
        <v>40</v>
      </c>
      <c r="N37" s="772"/>
      <c r="O37" s="772"/>
      <c r="P37" s="772"/>
      <c r="Q37" s="772"/>
      <c r="R37" s="772"/>
      <c r="S37" s="772"/>
      <c r="T37" s="772"/>
      <c r="U37" s="181">
        <f>SUM(U33:U36)</f>
        <v>940000</v>
      </c>
    </row>
    <row r="38" spans="1:23" ht="7.5" customHeight="1" x14ac:dyDescent="0.25">
      <c r="A38" s="22"/>
      <c r="B38" s="25"/>
      <c r="C38" s="25"/>
      <c r="D38" s="25"/>
      <c r="E38" s="25"/>
      <c r="F38" s="25"/>
      <c r="G38" s="25"/>
      <c r="H38" s="25"/>
      <c r="I38" s="25"/>
      <c r="J38" s="26"/>
      <c r="L38" s="22"/>
      <c r="M38" s="25"/>
      <c r="N38" s="25"/>
      <c r="O38" s="25"/>
      <c r="P38" s="25"/>
      <c r="Q38" s="25"/>
      <c r="R38" s="25"/>
      <c r="S38" s="25"/>
      <c r="T38" s="25"/>
      <c r="U38" s="26"/>
    </row>
    <row r="39" spans="1:23" ht="15" customHeight="1" x14ac:dyDescent="0.25">
      <c r="A39" s="22"/>
      <c r="B39" s="772" t="s">
        <v>41</v>
      </c>
      <c r="C39" s="772"/>
      <c r="D39" s="772"/>
      <c r="E39" s="772"/>
      <c r="F39" s="772"/>
      <c r="G39" s="772"/>
      <c r="H39" s="772"/>
      <c r="I39" s="772"/>
      <c r="J39" s="772"/>
      <c r="L39" s="22"/>
      <c r="M39" s="772" t="s">
        <v>41</v>
      </c>
      <c r="N39" s="772"/>
      <c r="O39" s="772"/>
      <c r="P39" s="772"/>
      <c r="Q39" s="772"/>
      <c r="R39" s="772"/>
      <c r="S39" s="772"/>
      <c r="T39" s="772"/>
      <c r="U39" s="772"/>
    </row>
    <row r="40" spans="1:23" ht="39.6" x14ac:dyDescent="0.25">
      <c r="A40" s="22"/>
      <c r="B40" s="774" t="s">
        <v>4</v>
      </c>
      <c r="C40" s="774"/>
      <c r="D40" s="774"/>
      <c r="E40" s="774"/>
      <c r="F40" s="774"/>
      <c r="G40" s="207" t="s">
        <v>51</v>
      </c>
      <c r="H40" s="207" t="s">
        <v>19</v>
      </c>
      <c r="I40" s="207" t="s">
        <v>28</v>
      </c>
      <c r="J40" s="207" t="s">
        <v>29</v>
      </c>
      <c r="L40" s="22"/>
      <c r="M40" s="774" t="s">
        <v>4</v>
      </c>
      <c r="N40" s="774"/>
      <c r="O40" s="774"/>
      <c r="P40" s="774"/>
      <c r="Q40" s="774"/>
      <c r="R40" s="207" t="s">
        <v>51</v>
      </c>
      <c r="S40" s="207" t="s">
        <v>19</v>
      </c>
      <c r="T40" s="207" t="s">
        <v>28</v>
      </c>
      <c r="U40" s="207" t="s">
        <v>29</v>
      </c>
    </row>
    <row r="41" spans="1:23" ht="15" customHeight="1" x14ac:dyDescent="0.25">
      <c r="A41" s="22"/>
      <c r="B41" s="814" t="s">
        <v>467</v>
      </c>
      <c r="C41" s="814"/>
      <c r="D41" s="814"/>
      <c r="E41" s="814"/>
      <c r="F41" s="814"/>
      <c r="G41" s="248">
        <v>172935.10666666669</v>
      </c>
      <c r="H41" s="246">
        <v>1</v>
      </c>
      <c r="I41" s="245">
        <v>2.5</v>
      </c>
      <c r="J41" s="248">
        <f>ROUND(+IF(I41=0,0,G41*H41/I41),0)</f>
        <v>69174</v>
      </c>
      <c r="L41" s="22"/>
      <c r="M41" s="771" t="s">
        <v>467</v>
      </c>
      <c r="N41" s="771"/>
      <c r="O41" s="771"/>
      <c r="P41" s="771"/>
      <c r="Q41" s="771"/>
      <c r="R41" s="181">
        <v>172935.10666666669</v>
      </c>
      <c r="S41" s="206">
        <v>1</v>
      </c>
      <c r="T41" s="180">
        <v>2.5</v>
      </c>
      <c r="U41" s="181">
        <f>ROUND(+IF(T41=0,0,R41*S41/T41),0)</f>
        <v>69174</v>
      </c>
      <c r="V41" s="239" t="s">
        <v>461</v>
      </c>
    </row>
    <row r="42" spans="1:23" ht="15" customHeight="1" x14ac:dyDescent="0.25">
      <c r="A42" s="22"/>
      <c r="B42" s="814" t="s">
        <v>386</v>
      </c>
      <c r="C42" s="814"/>
      <c r="D42" s="814"/>
      <c r="E42" s="814"/>
      <c r="F42" s="814"/>
      <c r="G42" s="248">
        <v>78606.866666666669</v>
      </c>
      <c r="H42" s="246">
        <v>1</v>
      </c>
      <c r="I42" s="245">
        <f>I41</f>
        <v>2.5</v>
      </c>
      <c r="J42" s="248">
        <f>ROUND(+IF(I42=0,0,G42*H42/I42),0)</f>
        <v>31443</v>
      </c>
      <c r="L42" s="22"/>
      <c r="M42" s="771" t="s">
        <v>386</v>
      </c>
      <c r="N42" s="771"/>
      <c r="O42" s="771"/>
      <c r="P42" s="771"/>
      <c r="Q42" s="771"/>
      <c r="R42" s="181">
        <v>78606.866666666669</v>
      </c>
      <c r="S42" s="206">
        <v>1</v>
      </c>
      <c r="T42" s="180">
        <f>T41</f>
        <v>2.5</v>
      </c>
      <c r="U42" s="181">
        <f>ROUND(+IF(T42=0,0,R42*S42/T42),0)</f>
        <v>31443</v>
      </c>
      <c r="V42" s="239" t="s">
        <v>461</v>
      </c>
    </row>
    <row r="43" spans="1:23" ht="15" customHeight="1" x14ac:dyDescent="0.25">
      <c r="A43" s="22"/>
      <c r="B43" s="771"/>
      <c r="C43" s="771"/>
      <c r="D43" s="771"/>
      <c r="E43" s="771"/>
      <c r="F43" s="771"/>
      <c r="G43" s="181" t="s">
        <v>501</v>
      </c>
      <c r="H43" s="206"/>
      <c r="I43" s="180"/>
      <c r="J43" s="181">
        <f t="shared" ref="J43" si="5">+IF(I43=0,0,G43*H43/I43)</f>
        <v>0</v>
      </c>
      <c r="L43" s="22"/>
      <c r="M43" s="771"/>
      <c r="N43" s="771"/>
      <c r="O43" s="771"/>
      <c r="P43" s="771"/>
      <c r="Q43" s="771"/>
      <c r="R43" s="181" t="s">
        <v>501</v>
      </c>
      <c r="S43" s="206"/>
      <c r="T43" s="180"/>
      <c r="U43" s="181">
        <f t="shared" ref="U43" si="6">+IF(T43=0,0,R43*S43/T43)</f>
        <v>0</v>
      </c>
    </row>
    <row r="44" spans="1:23" ht="15" customHeight="1" x14ac:dyDescent="0.25">
      <c r="A44" s="22"/>
      <c r="B44" s="772" t="s">
        <v>42</v>
      </c>
      <c r="C44" s="772"/>
      <c r="D44" s="772"/>
      <c r="E44" s="772"/>
      <c r="F44" s="772"/>
      <c r="G44" s="772"/>
      <c r="H44" s="772"/>
      <c r="I44" s="772"/>
      <c r="J44" s="181">
        <f>SUM(J41:J43)</f>
        <v>100617</v>
      </c>
      <c r="L44" s="22"/>
      <c r="M44" s="772" t="s">
        <v>42</v>
      </c>
      <c r="N44" s="772"/>
      <c r="O44" s="772"/>
      <c r="P44" s="772"/>
      <c r="Q44" s="772"/>
      <c r="R44" s="772"/>
      <c r="S44" s="772"/>
      <c r="T44" s="772"/>
      <c r="U44" s="181">
        <f>SUM(U41:U43)</f>
        <v>100617</v>
      </c>
    </row>
    <row r="45" spans="1:23" ht="7.5" customHeight="1" x14ac:dyDescent="0.25">
      <c r="A45" s="22"/>
      <c r="B45" s="25"/>
      <c r="C45" s="25"/>
      <c r="D45" s="25"/>
      <c r="E45" s="25"/>
      <c r="F45" s="25"/>
      <c r="G45" s="25"/>
      <c r="H45" s="25"/>
      <c r="I45" s="25"/>
      <c r="J45" s="26"/>
      <c r="L45" s="22"/>
      <c r="M45" s="25"/>
      <c r="N45" s="25"/>
      <c r="O45" s="25"/>
      <c r="P45" s="25"/>
      <c r="Q45" s="25"/>
      <c r="R45" s="25"/>
      <c r="S45" s="25"/>
      <c r="T45" s="25"/>
      <c r="U45" s="26"/>
    </row>
    <row r="46" spans="1:23" ht="15.75" customHeight="1" x14ac:dyDescent="0.25">
      <c r="A46" s="27"/>
      <c r="B46" s="773" t="s">
        <v>43</v>
      </c>
      <c r="C46" s="773"/>
      <c r="D46" s="773"/>
      <c r="E46" s="773"/>
      <c r="F46" s="773"/>
      <c r="G46" s="773"/>
      <c r="H46" s="773"/>
      <c r="I46" s="773"/>
      <c r="J46" s="210">
        <f>+J44+J37+J17+J29</f>
        <v>2943981</v>
      </c>
      <c r="L46" s="27"/>
      <c r="M46" s="773" t="s">
        <v>43</v>
      </c>
      <c r="N46" s="773"/>
      <c r="O46" s="773"/>
      <c r="P46" s="773"/>
      <c r="Q46" s="773"/>
      <c r="R46" s="773"/>
      <c r="S46" s="773"/>
      <c r="T46" s="773"/>
      <c r="U46" s="210">
        <f>+U44+U37+U17+U29</f>
        <v>2943981</v>
      </c>
    </row>
    <row r="47" spans="1:23" x14ac:dyDescent="0.25">
      <c r="B47" s="21"/>
      <c r="C47" s="21"/>
      <c r="D47" s="21"/>
      <c r="E47" s="21"/>
      <c r="F47" s="21"/>
      <c r="G47" s="21"/>
      <c r="H47" s="21"/>
      <c r="I47" s="21"/>
      <c r="J47" s="21"/>
    </row>
    <row r="49" spans="8:10" ht="13.8" thickBot="1" x14ac:dyDescent="0.3"/>
    <row r="50" spans="8:10" x14ac:dyDescent="0.25">
      <c r="H50" s="251" t="s">
        <v>477</v>
      </c>
      <c r="I50" s="252"/>
      <c r="J50" s="253">
        <v>2971817</v>
      </c>
    </row>
    <row r="51" spans="8:10" x14ac:dyDescent="0.25">
      <c r="H51" s="254" t="s">
        <v>469</v>
      </c>
      <c r="I51" s="239"/>
      <c r="J51" s="255">
        <v>2056290</v>
      </c>
    </row>
    <row r="52" spans="8:10" ht="13.8" thickBot="1" x14ac:dyDescent="0.3">
      <c r="H52" s="256" t="s">
        <v>470</v>
      </c>
      <c r="I52" s="257"/>
      <c r="J52" s="258">
        <f>J46</f>
        <v>2943981</v>
      </c>
    </row>
  </sheetData>
  <mergeCells count="84">
    <mergeCell ref="A1:C4"/>
    <mergeCell ref="D1:J1"/>
    <mergeCell ref="L1:N4"/>
    <mergeCell ref="O1:U1"/>
    <mergeCell ref="D2:J2"/>
    <mergeCell ref="O2:U2"/>
    <mergeCell ref="D3:J3"/>
    <mergeCell ref="O3:U3"/>
    <mergeCell ref="D4:J4"/>
    <mergeCell ref="O4:U4"/>
    <mergeCell ref="E6:H6"/>
    <mergeCell ref="P6:S6"/>
    <mergeCell ref="B7:J7"/>
    <mergeCell ref="M7:U7"/>
    <mergeCell ref="B8:F8"/>
    <mergeCell ref="M8:Q8"/>
    <mergeCell ref="B9:F9"/>
    <mergeCell ref="M9:Q9"/>
    <mergeCell ref="B10:F10"/>
    <mergeCell ref="M10:Q10"/>
    <mergeCell ref="B11:F11"/>
    <mergeCell ref="M11:Q11"/>
    <mergeCell ref="B12:F12"/>
    <mergeCell ref="M12:Q12"/>
    <mergeCell ref="B13:F13"/>
    <mergeCell ref="M13:Q13"/>
    <mergeCell ref="B14:F14"/>
    <mergeCell ref="M14:Q14"/>
    <mergeCell ref="B15:F15"/>
    <mergeCell ref="M15:Q15"/>
    <mergeCell ref="B16:F16"/>
    <mergeCell ref="M16:Q16"/>
    <mergeCell ref="B17:I17"/>
    <mergeCell ref="M17:T17"/>
    <mergeCell ref="B19:J19"/>
    <mergeCell ref="M19:U19"/>
    <mergeCell ref="B20:E20"/>
    <mergeCell ref="M20:P20"/>
    <mergeCell ref="B21:E21"/>
    <mergeCell ref="M21:P21"/>
    <mergeCell ref="B22:E22"/>
    <mergeCell ref="M22:P22"/>
    <mergeCell ref="B23:E23"/>
    <mergeCell ref="M23:P23"/>
    <mergeCell ref="B24:E24"/>
    <mergeCell ref="M24:P24"/>
    <mergeCell ref="B25:E25"/>
    <mergeCell ref="M25:P25"/>
    <mergeCell ref="B26:E26"/>
    <mergeCell ref="M26:P26"/>
    <mergeCell ref="B27:E27"/>
    <mergeCell ref="M27:P27"/>
    <mergeCell ref="B28:E28"/>
    <mergeCell ref="M28:P28"/>
    <mergeCell ref="B29:I29"/>
    <mergeCell ref="M29:T29"/>
    <mergeCell ref="B31:J31"/>
    <mergeCell ref="M31:U31"/>
    <mergeCell ref="B32:F32"/>
    <mergeCell ref="M32:Q32"/>
    <mergeCell ref="B33:F33"/>
    <mergeCell ref="M33:Q33"/>
    <mergeCell ref="B34:F34"/>
    <mergeCell ref="M34:Q34"/>
    <mergeCell ref="B35:F35"/>
    <mergeCell ref="M35:Q35"/>
    <mergeCell ref="B36:F36"/>
    <mergeCell ref="M36:Q36"/>
    <mergeCell ref="B37:I37"/>
    <mergeCell ref="M37:T37"/>
    <mergeCell ref="B39:J39"/>
    <mergeCell ref="M39:U39"/>
    <mergeCell ref="B40:F40"/>
    <mergeCell ref="M40:Q40"/>
    <mergeCell ref="B41:F41"/>
    <mergeCell ref="M41:Q41"/>
    <mergeCell ref="B46:I46"/>
    <mergeCell ref="M46:T46"/>
    <mergeCell ref="B42:F42"/>
    <mergeCell ref="M42:Q42"/>
    <mergeCell ref="B43:F43"/>
    <mergeCell ref="M43:Q43"/>
    <mergeCell ref="B44:I44"/>
    <mergeCell ref="M44:T44"/>
  </mergeCells>
  <hyperlinks>
    <hyperlink ref="C6" location="'PPTO HOJA'!A124" display="'PPTO HOJA'!A124" xr:uid="{00000000-0004-0000-3C00-000000000000}"/>
    <hyperlink ref="N6" location="'PPTO HOJA'!A124" display="'PPTO HOJA'!A124" xr:uid="{00000000-0004-0000-3C00-000001000000}"/>
  </hyperlinks>
  <pageMargins left="0.7" right="0.7" top="0.75" bottom="0.75" header="0.3" footer="0.3"/>
  <pageSetup paperSize="9" scale="26" orientation="portrait"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tabColor theme="5" tint="0.59999389629810485"/>
  </sheetPr>
  <dimension ref="A1:W52"/>
  <sheetViews>
    <sheetView zoomScale="85" zoomScaleNormal="85" zoomScaleSheetLayoutView="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8.6640625" style="20" customWidth="1"/>
    <col min="11" max="11" width="6.6640625" style="20" customWidth="1"/>
    <col min="12" max="17" width="11.44140625" style="20"/>
    <col min="18" max="18" width="12.33203125" style="20" bestFit="1" customWidth="1"/>
    <col min="19" max="20" width="11.44140625" style="20"/>
    <col min="21" max="21" width="16.44140625" style="20" customWidth="1"/>
    <col min="22" max="22" width="9.88671875" style="20" customWidth="1"/>
    <col min="23" max="24" width="21.33203125" style="20" customWidth="1"/>
    <col min="25" max="16384" width="11.44140625" style="20"/>
  </cols>
  <sheetData>
    <row r="1" spans="1:22" x14ac:dyDescent="0.25">
      <c r="A1" s="768"/>
      <c r="B1" s="768"/>
      <c r="C1" s="768"/>
      <c r="D1" s="769" t="s">
        <v>1</v>
      </c>
      <c r="E1" s="769"/>
      <c r="F1" s="769"/>
      <c r="G1" s="769"/>
      <c r="H1" s="769"/>
      <c r="I1" s="769"/>
      <c r="J1" s="769"/>
      <c r="L1" s="821" t="s">
        <v>469</v>
      </c>
      <c r="M1" s="821"/>
      <c r="N1" s="821"/>
      <c r="O1" s="769" t="str">
        <f>D1</f>
        <v>DEPARTAMENTO DE ANTIOQUIA</v>
      </c>
      <c r="P1" s="769"/>
      <c r="Q1" s="769"/>
      <c r="R1" s="769"/>
      <c r="S1" s="769"/>
      <c r="T1" s="769"/>
      <c r="U1" s="769"/>
    </row>
    <row r="2" spans="1:22" x14ac:dyDescent="0.25">
      <c r="A2" s="768"/>
      <c r="B2" s="768"/>
      <c r="C2" s="768"/>
      <c r="D2" s="769" t="s">
        <v>2</v>
      </c>
      <c r="E2" s="769"/>
      <c r="F2" s="769"/>
      <c r="G2" s="769"/>
      <c r="H2" s="769"/>
      <c r="I2" s="769"/>
      <c r="J2" s="769"/>
      <c r="L2" s="821"/>
      <c r="M2" s="821"/>
      <c r="N2" s="821"/>
      <c r="O2" s="769" t="str">
        <f t="shared" ref="O2:O4" si="0">D2</f>
        <v>MUNICIPIO DE ARBOLETES</v>
      </c>
      <c r="P2" s="769"/>
      <c r="Q2" s="769"/>
      <c r="R2" s="769"/>
      <c r="S2" s="769"/>
      <c r="T2" s="769"/>
      <c r="U2" s="769"/>
    </row>
    <row r="3" spans="1:22" ht="46.5" customHeight="1" x14ac:dyDescent="0.25">
      <c r="A3" s="768"/>
      <c r="B3" s="768"/>
      <c r="C3" s="768"/>
      <c r="D3" s="770" t="s">
        <v>328</v>
      </c>
      <c r="E3" s="770"/>
      <c r="F3" s="770"/>
      <c r="G3" s="770"/>
      <c r="H3" s="770"/>
      <c r="I3" s="770"/>
      <c r="J3" s="770"/>
      <c r="L3" s="821"/>
      <c r="M3" s="821"/>
      <c r="N3" s="821"/>
      <c r="O3" s="770" t="str">
        <f t="shared" si="0"/>
        <v>CONSTRUCCION DE OBRAS CIVILES COMPLEMENTARIAS PARA EL CORRECTO FUNCIONAMIENTO DEL PROYECTO DENOMINADO “PARQUE GEOLÓGICO, NATURAL, AMBIENTAL, CULTURAL Y TURÍSTICO, VOLCÁN DE LODO DE ARBOLETES”, QUE SE LLEVARÁ A CABO EN EL MUNICIPIO DE ARBOLETES-ANTIOQUIA</v>
      </c>
      <c r="P3" s="770"/>
      <c r="Q3" s="770"/>
      <c r="R3" s="770"/>
      <c r="S3" s="770"/>
      <c r="T3" s="770"/>
      <c r="U3" s="770"/>
    </row>
    <row r="4" spans="1:22" x14ac:dyDescent="0.25">
      <c r="A4" s="768"/>
      <c r="B4" s="768"/>
      <c r="C4" s="768"/>
      <c r="D4" s="769" t="s">
        <v>20</v>
      </c>
      <c r="E4" s="769"/>
      <c r="F4" s="769"/>
      <c r="G4" s="769"/>
      <c r="H4" s="769"/>
      <c r="I4" s="769"/>
      <c r="J4" s="769"/>
      <c r="L4" s="821"/>
      <c r="M4" s="821"/>
      <c r="N4" s="821"/>
      <c r="O4" s="769" t="str">
        <f t="shared" si="0"/>
        <v>ANALISIS DE PRECIOS UNITARIOS</v>
      </c>
      <c r="P4" s="769"/>
      <c r="Q4" s="769"/>
      <c r="R4" s="769"/>
      <c r="S4" s="769"/>
      <c r="T4" s="769"/>
      <c r="U4" s="769"/>
    </row>
    <row r="5" spans="1:22" ht="9.75" customHeight="1" x14ac:dyDescent="0.25">
      <c r="A5" s="22"/>
      <c r="J5" s="23"/>
      <c r="L5" s="22"/>
      <c r="U5" s="23"/>
    </row>
    <row r="6" spans="1:22" s="21" customFormat="1" ht="42" customHeight="1" x14ac:dyDescent="0.3">
      <c r="A6" s="202" t="s">
        <v>460</v>
      </c>
      <c r="B6" s="203" t="s">
        <v>22</v>
      </c>
      <c r="C6" s="204">
        <v>7.0899999999999981</v>
      </c>
      <c r="D6" s="205"/>
      <c r="E6" s="777" t="s">
        <v>369</v>
      </c>
      <c r="F6" s="777"/>
      <c r="G6" s="777"/>
      <c r="H6" s="777"/>
      <c r="I6" s="202" t="s">
        <v>23</v>
      </c>
      <c r="J6" s="206" t="s">
        <v>190</v>
      </c>
      <c r="L6" s="202" t="s">
        <v>460</v>
      </c>
      <c r="M6" s="203" t="s">
        <v>22</v>
      </c>
      <c r="N6" s="204">
        <f>C6</f>
        <v>7.0899999999999981</v>
      </c>
      <c r="O6" s="205"/>
      <c r="P6" s="777" t="str">
        <f>E6</f>
        <v>Suministro e Instalacion de acometida para iluminación exterior en cable 2f#6 + 1n#6 +1t#8 aluminio serie 8 mil</v>
      </c>
      <c r="Q6" s="777"/>
      <c r="R6" s="777"/>
      <c r="S6" s="777"/>
      <c r="T6" s="202" t="s">
        <v>23</v>
      </c>
      <c r="U6" s="206" t="str">
        <f>J6</f>
        <v>m</v>
      </c>
    </row>
    <row r="7" spans="1:22" ht="15" customHeight="1" x14ac:dyDescent="0.25">
      <c r="A7" s="22"/>
      <c r="B7" s="772" t="s">
        <v>24</v>
      </c>
      <c r="C7" s="772"/>
      <c r="D7" s="772"/>
      <c r="E7" s="772"/>
      <c r="F7" s="772"/>
      <c r="G7" s="772"/>
      <c r="H7" s="772"/>
      <c r="I7" s="772"/>
      <c r="J7" s="772"/>
      <c r="L7" s="22"/>
      <c r="M7" s="772" t="s">
        <v>24</v>
      </c>
      <c r="N7" s="772"/>
      <c r="O7" s="772"/>
      <c r="P7" s="772"/>
      <c r="Q7" s="772"/>
      <c r="R7" s="772"/>
      <c r="S7" s="772"/>
      <c r="T7" s="772"/>
      <c r="U7" s="772"/>
    </row>
    <row r="8" spans="1:22"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2" ht="15" customHeight="1" x14ac:dyDescent="0.25">
      <c r="A9" s="22"/>
      <c r="B9" s="771" t="s">
        <v>30</v>
      </c>
      <c r="C9" s="771"/>
      <c r="D9" s="771"/>
      <c r="E9" s="771"/>
      <c r="F9" s="771"/>
      <c r="G9" s="206"/>
      <c r="H9" s="181"/>
      <c r="I9" s="208">
        <v>0.05</v>
      </c>
      <c r="J9" s="181">
        <f>ROUND(I9*J44,0)</f>
        <v>1942</v>
      </c>
      <c r="L9" s="22"/>
      <c r="M9" s="771" t="s">
        <v>30</v>
      </c>
      <c r="N9" s="771"/>
      <c r="O9" s="771"/>
      <c r="P9" s="771"/>
      <c r="Q9" s="771"/>
      <c r="R9" s="206"/>
      <c r="S9" s="181"/>
      <c r="T9" s="208">
        <v>0.05</v>
      </c>
      <c r="U9" s="181">
        <f>ROUND(T9*U44,0)</f>
        <v>1942</v>
      </c>
      <c r="V9" s="239" t="s">
        <v>461</v>
      </c>
    </row>
    <row r="10" spans="1:22" ht="15" customHeight="1" x14ac:dyDescent="0.25">
      <c r="A10" s="22"/>
      <c r="B10" s="777"/>
      <c r="C10" s="777"/>
      <c r="D10" s="777"/>
      <c r="E10" s="777"/>
      <c r="F10" s="777"/>
      <c r="G10" s="206"/>
      <c r="H10" s="181" t="s">
        <v>501</v>
      </c>
      <c r="I10" s="180"/>
      <c r="J10" s="181">
        <f>IF(B10="",0,ROUND(H10/I10,0))</f>
        <v>0</v>
      </c>
      <c r="L10" s="22"/>
      <c r="M10" s="777"/>
      <c r="N10" s="777"/>
      <c r="O10" s="777"/>
      <c r="P10" s="777"/>
      <c r="Q10" s="777"/>
      <c r="R10" s="206"/>
      <c r="S10" s="181" t="s">
        <v>501</v>
      </c>
      <c r="T10" s="180"/>
      <c r="U10" s="181">
        <f>IF(M10="",0,ROUND(S10/T10,0))</f>
        <v>0</v>
      </c>
    </row>
    <row r="11" spans="1:22" ht="15" customHeight="1" x14ac:dyDescent="0.25">
      <c r="A11" s="22"/>
      <c r="B11" s="771"/>
      <c r="C11" s="771"/>
      <c r="D11" s="771"/>
      <c r="E11" s="771"/>
      <c r="F11" s="771"/>
      <c r="G11" s="206"/>
      <c r="H11" s="181" t="s">
        <v>501</v>
      </c>
      <c r="I11" s="180"/>
      <c r="J11" s="181">
        <f t="shared" ref="J11:J15" si="1">IF(B11="",0,ROUND(H11/I11,0))</f>
        <v>0</v>
      </c>
      <c r="L11" s="22"/>
      <c r="M11" s="771"/>
      <c r="N11" s="771"/>
      <c r="O11" s="771"/>
      <c r="P11" s="771"/>
      <c r="Q11" s="771"/>
      <c r="R11" s="206"/>
      <c r="S11" s="181" t="s">
        <v>501</v>
      </c>
      <c r="T11" s="180"/>
      <c r="U11" s="181">
        <f t="shared" ref="U11:U15" si="2">IF(M11="",0,ROUND(S11/T11,0))</f>
        <v>0</v>
      </c>
    </row>
    <row r="12" spans="1:22" ht="15" customHeight="1" x14ac:dyDescent="0.25">
      <c r="A12" s="22"/>
      <c r="B12" s="771"/>
      <c r="C12" s="771"/>
      <c r="D12" s="771"/>
      <c r="E12" s="771"/>
      <c r="F12" s="771"/>
      <c r="G12" s="206" t="s">
        <v>501</v>
      </c>
      <c r="H12" s="181" t="s">
        <v>501</v>
      </c>
      <c r="I12" s="180"/>
      <c r="J12" s="181">
        <f t="shared" si="1"/>
        <v>0</v>
      </c>
      <c r="L12" s="22"/>
      <c r="M12" s="771"/>
      <c r="N12" s="771"/>
      <c r="O12" s="771"/>
      <c r="P12" s="771"/>
      <c r="Q12" s="771"/>
      <c r="R12" s="206" t="s">
        <v>501</v>
      </c>
      <c r="S12" s="181" t="s">
        <v>501</v>
      </c>
      <c r="T12" s="180"/>
      <c r="U12" s="181">
        <f t="shared" si="2"/>
        <v>0</v>
      </c>
    </row>
    <row r="13" spans="1:22" ht="15" customHeight="1" x14ac:dyDescent="0.25">
      <c r="A13" s="22"/>
      <c r="B13" s="771"/>
      <c r="C13" s="771"/>
      <c r="D13" s="771"/>
      <c r="E13" s="771"/>
      <c r="F13" s="771"/>
      <c r="G13" s="206" t="s">
        <v>501</v>
      </c>
      <c r="H13" s="181" t="s">
        <v>501</v>
      </c>
      <c r="I13" s="180"/>
      <c r="J13" s="181">
        <f t="shared" si="1"/>
        <v>0</v>
      </c>
      <c r="L13" s="22"/>
      <c r="M13" s="771"/>
      <c r="N13" s="771"/>
      <c r="O13" s="771"/>
      <c r="P13" s="771"/>
      <c r="Q13" s="771"/>
      <c r="R13" s="206" t="s">
        <v>501</v>
      </c>
      <c r="S13" s="181" t="s">
        <v>501</v>
      </c>
      <c r="T13" s="180"/>
      <c r="U13" s="181">
        <f t="shared" si="2"/>
        <v>0</v>
      </c>
    </row>
    <row r="14" spans="1:22" ht="15" customHeight="1" x14ac:dyDescent="0.25">
      <c r="A14" s="22"/>
      <c r="B14" s="771"/>
      <c r="C14" s="771"/>
      <c r="D14" s="771"/>
      <c r="E14" s="771"/>
      <c r="F14" s="771"/>
      <c r="G14" s="206" t="s">
        <v>501</v>
      </c>
      <c r="H14" s="181" t="s">
        <v>501</v>
      </c>
      <c r="I14" s="180"/>
      <c r="J14" s="181">
        <f t="shared" si="1"/>
        <v>0</v>
      </c>
      <c r="L14" s="22"/>
      <c r="M14" s="771"/>
      <c r="N14" s="771"/>
      <c r="O14" s="771"/>
      <c r="P14" s="771"/>
      <c r="Q14" s="771"/>
      <c r="R14" s="206" t="s">
        <v>501</v>
      </c>
      <c r="S14" s="181" t="s">
        <v>501</v>
      </c>
      <c r="T14" s="180"/>
      <c r="U14" s="181">
        <f t="shared" si="2"/>
        <v>0</v>
      </c>
    </row>
    <row r="15" spans="1:22" ht="15" customHeight="1" x14ac:dyDescent="0.25">
      <c r="A15" s="22"/>
      <c r="B15" s="771"/>
      <c r="C15" s="771"/>
      <c r="D15" s="771"/>
      <c r="E15" s="771"/>
      <c r="F15" s="771"/>
      <c r="G15" s="206" t="s">
        <v>501</v>
      </c>
      <c r="H15" s="181" t="s">
        <v>501</v>
      </c>
      <c r="I15" s="180"/>
      <c r="J15" s="181">
        <f t="shared" si="1"/>
        <v>0</v>
      </c>
      <c r="L15" s="22"/>
      <c r="M15" s="771"/>
      <c r="N15" s="771"/>
      <c r="O15" s="771"/>
      <c r="P15" s="771"/>
      <c r="Q15" s="771"/>
      <c r="R15" s="206" t="s">
        <v>501</v>
      </c>
      <c r="S15" s="181" t="s">
        <v>501</v>
      </c>
      <c r="T15" s="180"/>
      <c r="U15" s="181">
        <f t="shared" si="2"/>
        <v>0</v>
      </c>
    </row>
    <row r="16" spans="1:22" ht="15" customHeight="1" x14ac:dyDescent="0.25">
      <c r="A16" s="22"/>
      <c r="B16" s="771"/>
      <c r="C16" s="771"/>
      <c r="D16" s="771"/>
      <c r="E16" s="771"/>
      <c r="F16" s="771"/>
      <c r="G16" s="206" t="s">
        <v>501</v>
      </c>
      <c r="H16" s="181" t="s">
        <v>501</v>
      </c>
      <c r="I16" s="180"/>
      <c r="J16" s="181"/>
      <c r="L16" s="22"/>
      <c r="M16" s="771"/>
      <c r="N16" s="771"/>
      <c r="O16" s="771"/>
      <c r="P16" s="771"/>
      <c r="Q16" s="771"/>
      <c r="R16" s="206" t="s">
        <v>501</v>
      </c>
      <c r="S16" s="181" t="s">
        <v>501</v>
      </c>
      <c r="T16" s="180"/>
      <c r="U16" s="181"/>
    </row>
    <row r="17" spans="1:23" ht="15" customHeight="1" x14ac:dyDescent="0.25">
      <c r="A17" s="22"/>
      <c r="B17" s="772" t="s">
        <v>31</v>
      </c>
      <c r="C17" s="772"/>
      <c r="D17" s="772"/>
      <c r="E17" s="772"/>
      <c r="F17" s="772"/>
      <c r="G17" s="772"/>
      <c r="H17" s="772"/>
      <c r="I17" s="772"/>
      <c r="J17" s="181">
        <f>SUM(J9:J16)</f>
        <v>1942</v>
      </c>
      <c r="L17" s="22"/>
      <c r="M17" s="772" t="s">
        <v>31</v>
      </c>
      <c r="N17" s="772"/>
      <c r="O17" s="772"/>
      <c r="P17" s="772"/>
      <c r="Q17" s="772"/>
      <c r="R17" s="772"/>
      <c r="S17" s="772"/>
      <c r="T17" s="772"/>
      <c r="U17" s="181">
        <f>SUM(U9:U16)</f>
        <v>1942</v>
      </c>
    </row>
    <row r="18" spans="1:23" ht="7.5" customHeight="1" x14ac:dyDescent="0.25">
      <c r="A18" s="22"/>
      <c r="B18" s="25"/>
      <c r="C18" s="25"/>
      <c r="D18" s="25"/>
      <c r="E18" s="25"/>
      <c r="F18" s="25"/>
      <c r="G18" s="25"/>
      <c r="H18" s="25"/>
      <c r="I18" s="25"/>
      <c r="J18" s="26"/>
      <c r="L18" s="22"/>
      <c r="M18" s="25"/>
      <c r="N18" s="25"/>
      <c r="O18" s="25"/>
      <c r="P18" s="25"/>
      <c r="Q18" s="25"/>
      <c r="R18" s="25"/>
      <c r="S18" s="25"/>
      <c r="T18" s="25"/>
      <c r="U18" s="26"/>
    </row>
    <row r="19" spans="1:23" ht="15" customHeight="1" x14ac:dyDescent="0.25">
      <c r="A19" s="22"/>
      <c r="B19" s="772" t="s">
        <v>32</v>
      </c>
      <c r="C19" s="772"/>
      <c r="D19" s="772"/>
      <c r="E19" s="772"/>
      <c r="F19" s="772"/>
      <c r="G19" s="772"/>
      <c r="H19" s="772"/>
      <c r="I19" s="772"/>
      <c r="J19" s="772"/>
      <c r="L19" s="22"/>
      <c r="M19" s="772" t="s">
        <v>32</v>
      </c>
      <c r="N19" s="772"/>
      <c r="O19" s="772"/>
      <c r="P19" s="772"/>
      <c r="Q19" s="772"/>
      <c r="R19" s="772"/>
      <c r="S19" s="772"/>
      <c r="T19" s="772"/>
      <c r="U19" s="772"/>
    </row>
    <row r="20" spans="1:23" ht="26.4" x14ac:dyDescent="0.25">
      <c r="A20" s="22"/>
      <c r="B20" s="774" t="s">
        <v>33</v>
      </c>
      <c r="C20" s="774"/>
      <c r="D20" s="774"/>
      <c r="E20" s="774"/>
      <c r="F20" s="205" t="s">
        <v>19</v>
      </c>
      <c r="G20" s="206" t="s">
        <v>34</v>
      </c>
      <c r="H20" s="207" t="s">
        <v>35</v>
      </c>
      <c r="I20" s="207" t="s">
        <v>36</v>
      </c>
      <c r="J20" s="207" t="s">
        <v>29</v>
      </c>
      <c r="L20" s="22"/>
      <c r="M20" s="774" t="s">
        <v>33</v>
      </c>
      <c r="N20" s="774"/>
      <c r="O20" s="774"/>
      <c r="P20" s="774"/>
      <c r="Q20" s="205" t="s">
        <v>19</v>
      </c>
      <c r="R20" s="206" t="s">
        <v>34</v>
      </c>
      <c r="S20" s="207" t="s">
        <v>35</v>
      </c>
      <c r="T20" s="207" t="s">
        <v>36</v>
      </c>
      <c r="U20" s="207" t="s">
        <v>29</v>
      </c>
    </row>
    <row r="21" spans="1:23" ht="15" customHeight="1" x14ac:dyDescent="0.25">
      <c r="A21" s="22"/>
      <c r="B21" s="791" t="s">
        <v>406</v>
      </c>
      <c r="C21" s="792"/>
      <c r="D21" s="792"/>
      <c r="E21" s="793"/>
      <c r="F21" s="180">
        <v>3</v>
      </c>
      <c r="G21" s="206" t="s">
        <v>190</v>
      </c>
      <c r="H21" s="209">
        <v>0.05</v>
      </c>
      <c r="I21" s="181">
        <v>6180</v>
      </c>
      <c r="J21" s="181">
        <f>IF(I21="",0,ROUND((+F21*I21*(1+H21)),0))</f>
        <v>19467</v>
      </c>
      <c r="L21" s="22"/>
      <c r="M21" s="791" t="s">
        <v>406</v>
      </c>
      <c r="N21" s="792"/>
      <c r="O21" s="792"/>
      <c r="P21" s="793"/>
      <c r="Q21" s="180">
        <v>3</v>
      </c>
      <c r="R21" s="206" t="s">
        <v>190</v>
      </c>
      <c r="S21" s="209">
        <v>0.05</v>
      </c>
      <c r="T21" s="181">
        <v>6180</v>
      </c>
      <c r="U21" s="181">
        <f>IF(T21="",0,ROUND((+Q21*T21*(1+S21)),0))</f>
        <v>19467</v>
      </c>
      <c r="V21" s="239" t="s">
        <v>461</v>
      </c>
    </row>
    <row r="22" spans="1:23" ht="15" customHeight="1" x14ac:dyDescent="0.25">
      <c r="A22" s="22"/>
      <c r="B22" s="791" t="s">
        <v>407</v>
      </c>
      <c r="C22" s="792"/>
      <c r="D22" s="792"/>
      <c r="E22" s="793"/>
      <c r="F22" s="180">
        <v>1</v>
      </c>
      <c r="G22" s="206" t="s">
        <v>190</v>
      </c>
      <c r="H22" s="209">
        <v>0.05</v>
      </c>
      <c r="I22" s="181">
        <v>4590</v>
      </c>
      <c r="J22" s="181">
        <f t="shared" ref="J22:J27" si="3">IF(I22="",0,ROUND((+F22*I22*(1+H22)),0))</f>
        <v>4820</v>
      </c>
      <c r="K22" s="117"/>
      <c r="L22" s="22"/>
      <c r="M22" s="791" t="s">
        <v>407</v>
      </c>
      <c r="N22" s="792"/>
      <c r="O22" s="792"/>
      <c r="P22" s="793"/>
      <c r="Q22" s="180">
        <v>1</v>
      </c>
      <c r="R22" s="206" t="s">
        <v>190</v>
      </c>
      <c r="S22" s="209">
        <v>0.05</v>
      </c>
      <c r="T22" s="181">
        <v>4590</v>
      </c>
      <c r="U22" s="181">
        <f t="shared" ref="U22" si="4">IF(T22="",0,ROUND((+Q22*T22*(1+S22)),0))</f>
        <v>4820</v>
      </c>
      <c r="V22" s="239" t="s">
        <v>461</v>
      </c>
    </row>
    <row r="23" spans="1:23" ht="15" customHeight="1" x14ac:dyDescent="0.25">
      <c r="A23" s="22"/>
      <c r="B23" s="815" t="s">
        <v>408</v>
      </c>
      <c r="C23" s="816"/>
      <c r="D23" s="816"/>
      <c r="E23" s="817"/>
      <c r="F23" s="245">
        <v>1</v>
      </c>
      <c r="G23" s="246" t="s">
        <v>9</v>
      </c>
      <c r="H23" s="247"/>
      <c r="I23" s="248">
        <v>800</v>
      </c>
      <c r="J23" s="248">
        <f>IF(I23="",0,ROUND((+F23*I23*(1+H23)),0))</f>
        <v>800</v>
      </c>
      <c r="K23" s="117"/>
      <c r="L23" s="22"/>
      <c r="M23" s="815" t="s">
        <v>408</v>
      </c>
      <c r="N23" s="816"/>
      <c r="O23" s="816"/>
      <c r="P23" s="817"/>
      <c r="Q23" s="245">
        <v>1</v>
      </c>
      <c r="R23" s="246" t="s">
        <v>9</v>
      </c>
      <c r="S23" s="247"/>
      <c r="T23" s="248">
        <v>800</v>
      </c>
      <c r="U23" s="248">
        <f>IF(T23="",0,ROUND((+Q23*T23*(1+S23)),0))</f>
        <v>800</v>
      </c>
      <c r="V23" s="239" t="s">
        <v>461</v>
      </c>
      <c r="W23" s="262" t="s">
        <v>484</v>
      </c>
    </row>
    <row r="24" spans="1:23" ht="15" customHeight="1" x14ac:dyDescent="0.25">
      <c r="A24" s="22"/>
      <c r="B24" s="815" t="s">
        <v>409</v>
      </c>
      <c r="C24" s="816"/>
      <c r="D24" s="816"/>
      <c r="E24" s="817"/>
      <c r="F24" s="245">
        <v>0.5</v>
      </c>
      <c r="G24" s="246" t="s">
        <v>9</v>
      </c>
      <c r="H24" s="247"/>
      <c r="I24" s="248">
        <v>5000</v>
      </c>
      <c r="J24" s="248">
        <f t="shared" si="3"/>
        <v>2500</v>
      </c>
      <c r="K24" s="117"/>
      <c r="L24" s="22"/>
      <c r="M24" s="815" t="s">
        <v>409</v>
      </c>
      <c r="N24" s="816"/>
      <c r="O24" s="816"/>
      <c r="P24" s="817"/>
      <c r="Q24" s="245">
        <v>0.5</v>
      </c>
      <c r="R24" s="246" t="s">
        <v>9</v>
      </c>
      <c r="S24" s="247"/>
      <c r="T24" s="248">
        <v>5000</v>
      </c>
      <c r="U24" s="248">
        <f t="shared" ref="U24:U27" si="5">IF(T24="",0,ROUND((+Q24*T24*(1+S24)),0))</f>
        <v>2500</v>
      </c>
      <c r="V24" s="239" t="s">
        <v>461</v>
      </c>
      <c r="W24" s="262" t="s">
        <v>484</v>
      </c>
    </row>
    <row r="25" spans="1:23" ht="15" customHeight="1" x14ac:dyDescent="0.25">
      <c r="A25" s="22"/>
      <c r="B25" s="791"/>
      <c r="C25" s="792"/>
      <c r="D25" s="792"/>
      <c r="E25" s="793"/>
      <c r="F25" s="180"/>
      <c r="G25" s="206" t="s">
        <v>501</v>
      </c>
      <c r="H25" s="209"/>
      <c r="I25" s="181" t="s">
        <v>501</v>
      </c>
      <c r="J25" s="181">
        <f t="shared" si="3"/>
        <v>0</v>
      </c>
      <c r="L25" s="22"/>
      <c r="M25" s="791"/>
      <c r="N25" s="792"/>
      <c r="O25" s="792"/>
      <c r="P25" s="793"/>
      <c r="Q25" s="180"/>
      <c r="R25" s="206" t="s">
        <v>501</v>
      </c>
      <c r="S25" s="209"/>
      <c r="T25" s="181" t="s">
        <v>501</v>
      </c>
      <c r="U25" s="181">
        <f t="shared" si="5"/>
        <v>0</v>
      </c>
    </row>
    <row r="26" spans="1:23" ht="15" customHeight="1" x14ac:dyDescent="0.25">
      <c r="A26" s="22"/>
      <c r="B26" s="791"/>
      <c r="C26" s="792"/>
      <c r="D26" s="792"/>
      <c r="E26" s="793"/>
      <c r="F26" s="180"/>
      <c r="G26" s="206" t="s">
        <v>501</v>
      </c>
      <c r="H26" s="209"/>
      <c r="I26" s="181" t="s">
        <v>501</v>
      </c>
      <c r="J26" s="181">
        <f t="shared" si="3"/>
        <v>0</v>
      </c>
      <c r="L26" s="22"/>
      <c r="M26" s="791"/>
      <c r="N26" s="792"/>
      <c r="O26" s="792"/>
      <c r="P26" s="793"/>
      <c r="Q26" s="180"/>
      <c r="R26" s="206" t="s">
        <v>501</v>
      </c>
      <c r="S26" s="209"/>
      <c r="T26" s="181" t="s">
        <v>501</v>
      </c>
      <c r="U26" s="181">
        <f t="shared" si="5"/>
        <v>0</v>
      </c>
    </row>
    <row r="27" spans="1:23" ht="15" customHeight="1" x14ac:dyDescent="0.25">
      <c r="A27" s="22"/>
      <c r="B27" s="791"/>
      <c r="C27" s="792"/>
      <c r="D27" s="792"/>
      <c r="E27" s="793"/>
      <c r="F27" s="180"/>
      <c r="G27" s="206" t="s">
        <v>501</v>
      </c>
      <c r="H27" s="209"/>
      <c r="I27" s="181" t="s">
        <v>501</v>
      </c>
      <c r="J27" s="181">
        <f t="shared" si="3"/>
        <v>0</v>
      </c>
      <c r="L27" s="22"/>
      <c r="M27" s="791"/>
      <c r="N27" s="792"/>
      <c r="O27" s="792"/>
      <c r="P27" s="793"/>
      <c r="Q27" s="180"/>
      <c r="R27" s="206" t="s">
        <v>501</v>
      </c>
      <c r="S27" s="209"/>
      <c r="T27" s="181" t="s">
        <v>501</v>
      </c>
      <c r="U27" s="181">
        <f t="shared" si="5"/>
        <v>0</v>
      </c>
    </row>
    <row r="28" spans="1:23" ht="15" customHeight="1" x14ac:dyDescent="0.25">
      <c r="A28" s="22"/>
      <c r="B28" s="785"/>
      <c r="C28" s="786"/>
      <c r="D28" s="786"/>
      <c r="E28" s="787"/>
      <c r="F28" s="180"/>
      <c r="G28" s="206" t="s">
        <v>501</v>
      </c>
      <c r="H28" s="209"/>
      <c r="I28" s="181" t="s">
        <v>501</v>
      </c>
      <c r="J28" s="181"/>
      <c r="L28" s="22"/>
      <c r="M28" s="785"/>
      <c r="N28" s="786"/>
      <c r="O28" s="786"/>
      <c r="P28" s="787"/>
      <c r="Q28" s="180"/>
      <c r="R28" s="206" t="s">
        <v>501</v>
      </c>
      <c r="S28" s="209"/>
      <c r="T28" s="181" t="s">
        <v>501</v>
      </c>
      <c r="U28" s="181"/>
    </row>
    <row r="29" spans="1:23" ht="15" customHeight="1" x14ac:dyDescent="0.25">
      <c r="A29" s="22"/>
      <c r="B29" s="772" t="s">
        <v>37</v>
      </c>
      <c r="C29" s="772"/>
      <c r="D29" s="772"/>
      <c r="E29" s="772"/>
      <c r="F29" s="772"/>
      <c r="G29" s="772"/>
      <c r="H29" s="772"/>
      <c r="I29" s="772"/>
      <c r="J29" s="181">
        <f>SUM(J21:J28)</f>
        <v>27587</v>
      </c>
      <c r="L29" s="22"/>
      <c r="M29" s="772" t="s">
        <v>37</v>
      </c>
      <c r="N29" s="772"/>
      <c r="O29" s="772"/>
      <c r="P29" s="772"/>
      <c r="Q29" s="772"/>
      <c r="R29" s="772"/>
      <c r="S29" s="772"/>
      <c r="T29" s="772"/>
      <c r="U29" s="181">
        <f>SUM(U21:U28)</f>
        <v>27587</v>
      </c>
    </row>
    <row r="30" spans="1:23" ht="7.5" customHeight="1" x14ac:dyDescent="0.25">
      <c r="A30" s="22"/>
      <c r="B30" s="25"/>
      <c r="C30" s="25"/>
      <c r="D30" s="25"/>
      <c r="E30" s="25"/>
      <c r="F30" s="25"/>
      <c r="G30" s="25"/>
      <c r="H30" s="25"/>
      <c r="I30" s="25"/>
      <c r="J30" s="26"/>
      <c r="L30" s="22"/>
      <c r="M30" s="25"/>
      <c r="N30" s="25"/>
      <c r="O30" s="25"/>
      <c r="P30" s="25"/>
      <c r="Q30" s="25"/>
      <c r="R30" s="25"/>
      <c r="S30" s="25"/>
      <c r="T30" s="25"/>
      <c r="U30" s="26"/>
    </row>
    <row r="31" spans="1:23" ht="15" customHeight="1" x14ac:dyDescent="0.25">
      <c r="A31" s="22"/>
      <c r="B31" s="772" t="s">
        <v>38</v>
      </c>
      <c r="C31" s="772"/>
      <c r="D31" s="772"/>
      <c r="E31" s="772"/>
      <c r="F31" s="772"/>
      <c r="G31" s="772"/>
      <c r="H31" s="772"/>
      <c r="I31" s="772"/>
      <c r="J31" s="772"/>
      <c r="L31" s="22"/>
      <c r="M31" s="772" t="s">
        <v>38</v>
      </c>
      <c r="N31" s="772"/>
      <c r="O31" s="772"/>
      <c r="P31" s="772"/>
      <c r="Q31" s="772"/>
      <c r="R31" s="772"/>
      <c r="S31" s="772"/>
      <c r="T31" s="772"/>
      <c r="U31" s="772"/>
    </row>
    <row r="32" spans="1:23" x14ac:dyDescent="0.25">
      <c r="A32" s="22"/>
      <c r="B32" s="774" t="s">
        <v>33</v>
      </c>
      <c r="C32" s="774"/>
      <c r="D32" s="774"/>
      <c r="E32" s="774"/>
      <c r="F32" s="774"/>
      <c r="G32" s="206" t="s">
        <v>133</v>
      </c>
      <c r="H32" s="206" t="s">
        <v>132</v>
      </c>
      <c r="I32" s="206" t="s">
        <v>39</v>
      </c>
      <c r="J32" s="207" t="s">
        <v>29</v>
      </c>
      <c r="L32" s="22"/>
      <c r="M32" s="774" t="s">
        <v>33</v>
      </c>
      <c r="N32" s="774"/>
      <c r="O32" s="774"/>
      <c r="P32" s="774"/>
      <c r="Q32" s="774"/>
      <c r="R32" s="206" t="s">
        <v>133</v>
      </c>
      <c r="S32" s="206" t="s">
        <v>132</v>
      </c>
      <c r="T32" s="206" t="s">
        <v>39</v>
      </c>
      <c r="U32" s="207" t="s">
        <v>29</v>
      </c>
    </row>
    <row r="33" spans="1:22" ht="15" customHeight="1" x14ac:dyDescent="0.25">
      <c r="A33" s="22"/>
      <c r="B33" s="771"/>
      <c r="C33" s="771"/>
      <c r="D33" s="771"/>
      <c r="E33" s="771"/>
      <c r="F33" s="771"/>
      <c r="G33" s="206"/>
      <c r="H33" s="180"/>
      <c r="I33" s="181"/>
      <c r="J33" s="181">
        <f>ROUND(I33*H33,0)</f>
        <v>0</v>
      </c>
      <c r="L33" s="22"/>
      <c r="M33" s="771"/>
      <c r="N33" s="771"/>
      <c r="O33" s="771"/>
      <c r="P33" s="771"/>
      <c r="Q33" s="771"/>
      <c r="R33" s="206"/>
      <c r="S33" s="180"/>
      <c r="T33" s="181"/>
      <c r="U33" s="181">
        <f>ROUND(T33*S33,0)</f>
        <v>0</v>
      </c>
    </row>
    <row r="34" spans="1:22" ht="15" customHeight="1" x14ac:dyDescent="0.25">
      <c r="A34" s="22"/>
      <c r="B34" s="771"/>
      <c r="C34" s="771"/>
      <c r="D34" s="771"/>
      <c r="E34" s="771"/>
      <c r="F34" s="771"/>
      <c r="G34" s="206"/>
      <c r="H34" s="180"/>
      <c r="I34" s="181"/>
      <c r="J34" s="181">
        <v>0</v>
      </c>
      <c r="L34" s="22"/>
      <c r="M34" s="771"/>
      <c r="N34" s="771"/>
      <c r="O34" s="771"/>
      <c r="P34" s="771"/>
      <c r="Q34" s="771"/>
      <c r="R34" s="206"/>
      <c r="S34" s="180"/>
      <c r="T34" s="181"/>
      <c r="U34" s="181">
        <v>0</v>
      </c>
    </row>
    <row r="35" spans="1:22" ht="15" customHeight="1" x14ac:dyDescent="0.25">
      <c r="A35" s="22"/>
      <c r="B35" s="771"/>
      <c r="C35" s="771"/>
      <c r="D35" s="771"/>
      <c r="E35" s="771"/>
      <c r="F35" s="771"/>
      <c r="G35" s="206"/>
      <c r="H35" s="180"/>
      <c r="I35" s="181"/>
      <c r="J35" s="181">
        <v>0</v>
      </c>
      <c r="L35" s="22"/>
      <c r="M35" s="771"/>
      <c r="N35" s="771"/>
      <c r="O35" s="771"/>
      <c r="P35" s="771"/>
      <c r="Q35" s="771"/>
      <c r="R35" s="206"/>
      <c r="S35" s="180"/>
      <c r="T35" s="181"/>
      <c r="U35" s="181">
        <v>0</v>
      </c>
    </row>
    <row r="36" spans="1:22" ht="15" customHeight="1" x14ac:dyDescent="0.25">
      <c r="A36" s="22"/>
      <c r="B36" s="771"/>
      <c r="C36" s="771"/>
      <c r="D36" s="771"/>
      <c r="E36" s="771"/>
      <c r="F36" s="771"/>
      <c r="G36" s="206"/>
      <c r="H36" s="206"/>
      <c r="I36" s="181"/>
      <c r="J36" s="181">
        <v>0</v>
      </c>
      <c r="L36" s="22"/>
      <c r="M36" s="771"/>
      <c r="N36" s="771"/>
      <c r="O36" s="771"/>
      <c r="P36" s="771"/>
      <c r="Q36" s="771"/>
      <c r="R36" s="206"/>
      <c r="S36" s="206"/>
      <c r="T36" s="181"/>
      <c r="U36" s="181">
        <v>0</v>
      </c>
    </row>
    <row r="37" spans="1:22" ht="15" customHeight="1" x14ac:dyDescent="0.25">
      <c r="A37" s="22"/>
      <c r="B37" s="772" t="s">
        <v>40</v>
      </c>
      <c r="C37" s="772"/>
      <c r="D37" s="772"/>
      <c r="E37" s="772"/>
      <c r="F37" s="772"/>
      <c r="G37" s="772"/>
      <c r="H37" s="772"/>
      <c r="I37" s="772"/>
      <c r="J37" s="181">
        <f>SUM(J33:J36)</f>
        <v>0</v>
      </c>
      <c r="L37" s="22"/>
      <c r="M37" s="772" t="s">
        <v>40</v>
      </c>
      <c r="N37" s="772"/>
      <c r="O37" s="772"/>
      <c r="P37" s="772"/>
      <c r="Q37" s="772"/>
      <c r="R37" s="772"/>
      <c r="S37" s="772"/>
      <c r="T37" s="772"/>
      <c r="U37" s="181">
        <f>SUM(U33:U36)</f>
        <v>0</v>
      </c>
    </row>
    <row r="38" spans="1:22" ht="7.5" customHeight="1" x14ac:dyDescent="0.25">
      <c r="A38" s="22"/>
      <c r="B38" s="25"/>
      <c r="C38" s="25"/>
      <c r="D38" s="25"/>
      <c r="E38" s="25"/>
      <c r="F38" s="25"/>
      <c r="G38" s="25"/>
      <c r="H38" s="25"/>
      <c r="I38" s="25"/>
      <c r="J38" s="26"/>
      <c r="L38" s="22"/>
      <c r="M38" s="25"/>
      <c r="N38" s="25"/>
      <c r="O38" s="25"/>
      <c r="P38" s="25"/>
      <c r="Q38" s="25"/>
      <c r="R38" s="25"/>
      <c r="S38" s="25"/>
      <c r="T38" s="25"/>
      <c r="U38" s="26"/>
    </row>
    <row r="39" spans="1:22" ht="15" customHeight="1" x14ac:dyDescent="0.25">
      <c r="A39" s="22"/>
      <c r="B39" s="772" t="s">
        <v>41</v>
      </c>
      <c r="C39" s="772"/>
      <c r="D39" s="772"/>
      <c r="E39" s="772"/>
      <c r="F39" s="772"/>
      <c r="G39" s="772"/>
      <c r="H39" s="772"/>
      <c r="I39" s="772"/>
      <c r="J39" s="772"/>
      <c r="L39" s="22"/>
      <c r="M39" s="772" t="s">
        <v>41</v>
      </c>
      <c r="N39" s="772"/>
      <c r="O39" s="772"/>
      <c r="P39" s="772"/>
      <c r="Q39" s="772"/>
      <c r="R39" s="772"/>
      <c r="S39" s="772"/>
      <c r="T39" s="772"/>
      <c r="U39" s="772"/>
    </row>
    <row r="40" spans="1:22" ht="39.6" x14ac:dyDescent="0.25">
      <c r="A40" s="22"/>
      <c r="B40" s="774" t="s">
        <v>4</v>
      </c>
      <c r="C40" s="774"/>
      <c r="D40" s="774"/>
      <c r="E40" s="774"/>
      <c r="F40" s="774"/>
      <c r="G40" s="207" t="s">
        <v>51</v>
      </c>
      <c r="H40" s="207" t="s">
        <v>19</v>
      </c>
      <c r="I40" s="207" t="s">
        <v>28</v>
      </c>
      <c r="J40" s="207" t="s">
        <v>29</v>
      </c>
      <c r="L40" s="22"/>
      <c r="M40" s="774" t="s">
        <v>4</v>
      </c>
      <c r="N40" s="774"/>
      <c r="O40" s="774"/>
      <c r="P40" s="774"/>
      <c r="Q40" s="774"/>
      <c r="R40" s="207" t="s">
        <v>51</v>
      </c>
      <c r="S40" s="207" t="s">
        <v>19</v>
      </c>
      <c r="T40" s="207" t="s">
        <v>28</v>
      </c>
      <c r="U40" s="207" t="s">
        <v>29</v>
      </c>
    </row>
    <row r="41" spans="1:22" ht="15" customHeight="1" x14ac:dyDescent="0.25">
      <c r="A41" s="22"/>
      <c r="B41" s="814" t="s">
        <v>467</v>
      </c>
      <c r="C41" s="814"/>
      <c r="D41" s="814"/>
      <c r="E41" s="814"/>
      <c r="F41" s="814"/>
      <c r="G41" s="248">
        <v>172935.10666666669</v>
      </c>
      <c r="H41" s="246">
        <v>1</v>
      </c>
      <c r="I41" s="245">
        <v>8.5</v>
      </c>
      <c r="J41" s="248">
        <f>ROUND(+IF(I41=0,0,G41*H41/I41),0)</f>
        <v>20345</v>
      </c>
      <c r="L41" s="22"/>
      <c r="M41" s="814" t="s">
        <v>467</v>
      </c>
      <c r="N41" s="814"/>
      <c r="O41" s="814"/>
      <c r="P41" s="814"/>
      <c r="Q41" s="814"/>
      <c r="R41" s="248">
        <v>172935.10666666669</v>
      </c>
      <c r="S41" s="246">
        <v>1</v>
      </c>
      <c r="T41" s="245">
        <v>8.5</v>
      </c>
      <c r="U41" s="248">
        <f>ROUND(+IF(T41=0,0,R41*S41/T41),0)</f>
        <v>20345</v>
      </c>
      <c r="V41" s="239" t="s">
        <v>461</v>
      </c>
    </row>
    <row r="42" spans="1:22" ht="15" customHeight="1" x14ac:dyDescent="0.25">
      <c r="A42" s="22"/>
      <c r="B42" s="814" t="s">
        <v>386</v>
      </c>
      <c r="C42" s="814"/>
      <c r="D42" s="814"/>
      <c r="E42" s="814"/>
      <c r="F42" s="814"/>
      <c r="G42" s="248">
        <v>78606.866666666669</v>
      </c>
      <c r="H42" s="246">
        <v>2</v>
      </c>
      <c r="I42" s="245">
        <f>I41</f>
        <v>8.5</v>
      </c>
      <c r="J42" s="248">
        <f>ROUND(+IF(I42=0,0,G42*H42/I42),0)</f>
        <v>18496</v>
      </c>
      <c r="L42" s="22"/>
      <c r="M42" s="814" t="s">
        <v>386</v>
      </c>
      <c r="N42" s="814"/>
      <c r="O42" s="814"/>
      <c r="P42" s="814"/>
      <c r="Q42" s="814"/>
      <c r="R42" s="248">
        <v>78606.866666666669</v>
      </c>
      <c r="S42" s="246">
        <v>2</v>
      </c>
      <c r="T42" s="245">
        <f>T41</f>
        <v>8.5</v>
      </c>
      <c r="U42" s="248">
        <f>ROUND(+IF(T42=0,0,R42*S42/T42),0)</f>
        <v>18496</v>
      </c>
      <c r="V42" s="239" t="s">
        <v>461</v>
      </c>
    </row>
    <row r="43" spans="1:22" ht="15" customHeight="1" x14ac:dyDescent="0.25">
      <c r="A43" s="22"/>
      <c r="B43" s="771"/>
      <c r="C43" s="771"/>
      <c r="D43" s="771"/>
      <c r="E43" s="771"/>
      <c r="F43" s="771"/>
      <c r="G43" s="181" t="s">
        <v>501</v>
      </c>
      <c r="H43" s="206"/>
      <c r="I43" s="180"/>
      <c r="J43" s="181">
        <f t="shared" ref="J43" si="6">+IF(I43=0,0,G43*H43/I43)</f>
        <v>0</v>
      </c>
      <c r="L43" s="22"/>
      <c r="M43" s="771"/>
      <c r="N43" s="771"/>
      <c r="O43" s="771"/>
      <c r="P43" s="771"/>
      <c r="Q43" s="771"/>
      <c r="R43" s="181" t="s">
        <v>501</v>
      </c>
      <c r="S43" s="206"/>
      <c r="T43" s="180"/>
      <c r="U43" s="181">
        <f t="shared" ref="U43" si="7">+IF(T43=0,0,R43*S43/T43)</f>
        <v>0</v>
      </c>
    </row>
    <row r="44" spans="1:22" ht="15" customHeight="1" x14ac:dyDescent="0.25">
      <c r="A44" s="22"/>
      <c r="B44" s="772" t="s">
        <v>42</v>
      </c>
      <c r="C44" s="772"/>
      <c r="D44" s="772"/>
      <c r="E44" s="772"/>
      <c r="F44" s="772"/>
      <c r="G44" s="772"/>
      <c r="H44" s="772"/>
      <c r="I44" s="772"/>
      <c r="J44" s="181">
        <f>SUM(J41:J43)</f>
        <v>38841</v>
      </c>
      <c r="L44" s="22"/>
      <c r="M44" s="772" t="s">
        <v>42</v>
      </c>
      <c r="N44" s="772"/>
      <c r="O44" s="772"/>
      <c r="P44" s="772"/>
      <c r="Q44" s="772"/>
      <c r="R44" s="772"/>
      <c r="S44" s="772"/>
      <c r="T44" s="772"/>
      <c r="U44" s="181">
        <f>SUM(U41:U43)</f>
        <v>38841</v>
      </c>
    </row>
    <row r="45" spans="1:22" ht="7.5" customHeight="1" x14ac:dyDescent="0.25">
      <c r="A45" s="22"/>
      <c r="B45" s="25"/>
      <c r="C45" s="25"/>
      <c r="D45" s="25"/>
      <c r="E45" s="25"/>
      <c r="F45" s="25"/>
      <c r="G45" s="25"/>
      <c r="H45" s="25"/>
      <c r="I45" s="25"/>
      <c r="J45" s="26"/>
      <c r="L45" s="22"/>
      <c r="M45" s="25"/>
      <c r="N45" s="25"/>
      <c r="O45" s="25"/>
      <c r="P45" s="25"/>
      <c r="Q45" s="25"/>
      <c r="R45" s="25"/>
      <c r="S45" s="25"/>
      <c r="T45" s="25"/>
      <c r="U45" s="26"/>
    </row>
    <row r="46" spans="1:22" ht="15.75" customHeight="1" x14ac:dyDescent="0.25">
      <c r="A46" s="27"/>
      <c r="B46" s="773" t="s">
        <v>43</v>
      </c>
      <c r="C46" s="773"/>
      <c r="D46" s="773"/>
      <c r="E46" s="773"/>
      <c r="F46" s="773"/>
      <c r="G46" s="773"/>
      <c r="H46" s="773"/>
      <c r="I46" s="773"/>
      <c r="J46" s="210">
        <f>+J44+J37+J17+J29</f>
        <v>68370</v>
      </c>
      <c r="L46" s="27"/>
      <c r="M46" s="773" t="s">
        <v>43</v>
      </c>
      <c r="N46" s="773"/>
      <c r="O46" s="773"/>
      <c r="P46" s="773"/>
      <c r="Q46" s="773"/>
      <c r="R46" s="773"/>
      <c r="S46" s="773"/>
      <c r="T46" s="773"/>
      <c r="U46" s="210">
        <f>+U44+U37+U17+U29</f>
        <v>68370</v>
      </c>
    </row>
    <row r="47" spans="1:22" x14ac:dyDescent="0.25">
      <c r="B47" s="21"/>
      <c r="C47" s="21"/>
      <c r="D47" s="21"/>
      <c r="E47" s="21"/>
      <c r="F47" s="21"/>
      <c r="G47" s="21"/>
      <c r="H47" s="21"/>
      <c r="I47" s="21"/>
      <c r="J47" s="21"/>
    </row>
    <row r="49" spans="8:10" ht="13.8" thickBot="1" x14ac:dyDescent="0.3"/>
    <row r="50" spans="8:10" x14ac:dyDescent="0.25">
      <c r="H50" s="251" t="s">
        <v>477</v>
      </c>
      <c r="I50" s="252"/>
      <c r="J50" s="253">
        <v>69971</v>
      </c>
    </row>
    <row r="51" spans="8:10" x14ac:dyDescent="0.25">
      <c r="H51" s="254" t="s">
        <v>469</v>
      </c>
      <c r="I51" s="239"/>
      <c r="J51" s="255">
        <v>58749</v>
      </c>
    </row>
    <row r="52" spans="8:10" ht="13.8" thickBot="1" x14ac:dyDescent="0.3">
      <c r="H52" s="256" t="s">
        <v>470</v>
      </c>
      <c r="I52" s="257"/>
      <c r="J52" s="258">
        <f>J46</f>
        <v>68370</v>
      </c>
    </row>
  </sheetData>
  <mergeCells count="84">
    <mergeCell ref="A1:C4"/>
    <mergeCell ref="D1:J1"/>
    <mergeCell ref="L1:N4"/>
    <mergeCell ref="O1:U1"/>
    <mergeCell ref="D2:J2"/>
    <mergeCell ref="O2:U2"/>
    <mergeCell ref="D3:J3"/>
    <mergeCell ref="O3:U3"/>
    <mergeCell ref="D4:J4"/>
    <mergeCell ref="O4:U4"/>
    <mergeCell ref="E6:H6"/>
    <mergeCell ref="P6:S6"/>
    <mergeCell ref="B7:J7"/>
    <mergeCell ref="M7:U7"/>
    <mergeCell ref="B8:F8"/>
    <mergeCell ref="M8:Q8"/>
    <mergeCell ref="B9:F9"/>
    <mergeCell ref="M9:Q9"/>
    <mergeCell ref="B10:F10"/>
    <mergeCell ref="M10:Q10"/>
    <mergeCell ref="B11:F11"/>
    <mergeCell ref="M11:Q11"/>
    <mergeCell ref="B12:F12"/>
    <mergeCell ref="M12:Q12"/>
    <mergeCell ref="B13:F13"/>
    <mergeCell ref="M13:Q13"/>
    <mergeCell ref="B14:F14"/>
    <mergeCell ref="M14:Q14"/>
    <mergeCell ref="B15:F15"/>
    <mergeCell ref="M15:Q15"/>
    <mergeCell ref="B16:F16"/>
    <mergeCell ref="M16:Q16"/>
    <mergeCell ref="B17:I17"/>
    <mergeCell ref="M17:T17"/>
    <mergeCell ref="B19:J19"/>
    <mergeCell ref="M19:U19"/>
    <mergeCell ref="B20:E20"/>
    <mergeCell ref="M20:P20"/>
    <mergeCell ref="B21:E21"/>
    <mergeCell ref="M21:P21"/>
    <mergeCell ref="B22:E22"/>
    <mergeCell ref="M22:P22"/>
    <mergeCell ref="B23:E23"/>
    <mergeCell ref="M23:P23"/>
    <mergeCell ref="B24:E24"/>
    <mergeCell ref="M24:P24"/>
    <mergeCell ref="B25:E25"/>
    <mergeCell ref="M25:P25"/>
    <mergeCell ref="B26:E26"/>
    <mergeCell ref="M26:P26"/>
    <mergeCell ref="B27:E27"/>
    <mergeCell ref="M27:P27"/>
    <mergeCell ref="B28:E28"/>
    <mergeCell ref="M28:P28"/>
    <mergeCell ref="B29:I29"/>
    <mergeCell ref="M29:T29"/>
    <mergeCell ref="B31:J31"/>
    <mergeCell ref="M31:U31"/>
    <mergeCell ref="B32:F32"/>
    <mergeCell ref="M32:Q32"/>
    <mergeCell ref="B33:F33"/>
    <mergeCell ref="M33:Q33"/>
    <mergeCell ref="B34:F34"/>
    <mergeCell ref="M34:Q34"/>
    <mergeCell ref="B35:F35"/>
    <mergeCell ref="M35:Q35"/>
    <mergeCell ref="B36:F36"/>
    <mergeCell ref="M36:Q36"/>
    <mergeCell ref="B37:I37"/>
    <mergeCell ref="M37:T37"/>
    <mergeCell ref="B39:J39"/>
    <mergeCell ref="M39:U39"/>
    <mergeCell ref="B40:F40"/>
    <mergeCell ref="M40:Q40"/>
    <mergeCell ref="B41:F41"/>
    <mergeCell ref="M41:Q41"/>
    <mergeCell ref="B46:I46"/>
    <mergeCell ref="M46:T46"/>
    <mergeCell ref="B42:F42"/>
    <mergeCell ref="M42:Q42"/>
    <mergeCell ref="B43:F43"/>
    <mergeCell ref="M43:Q43"/>
    <mergeCell ref="B44:I44"/>
    <mergeCell ref="M44:T44"/>
  </mergeCells>
  <hyperlinks>
    <hyperlink ref="C6" location="'PPTO HOJA'!A124" display="'PPTO HOJA'!A124" xr:uid="{00000000-0004-0000-3D00-000000000000}"/>
    <hyperlink ref="N6" location="'PPTO HOJA'!A124" display="'PPTO HOJA'!A124" xr:uid="{00000000-0004-0000-3D00-000001000000}"/>
  </hyperlinks>
  <pageMargins left="0.7" right="0.7" top="0.75" bottom="0.75" header="0.3" footer="0.3"/>
  <pageSetup paperSize="9" scale="30" orientation="portrait" r:id="rId1"/>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theme="5" tint="0.59999389629810485"/>
  </sheetPr>
  <dimension ref="A1:W52"/>
  <sheetViews>
    <sheetView zoomScale="85" zoomScaleNormal="85" zoomScaleSheetLayoutView="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8.6640625" style="20" customWidth="1"/>
    <col min="11" max="11" width="6.33203125" style="20" customWidth="1"/>
    <col min="12" max="17" width="11.44140625" style="20"/>
    <col min="18" max="18" width="16.33203125" style="20" customWidth="1"/>
    <col min="19" max="19" width="11.44140625" style="20"/>
    <col min="20" max="20" width="13.5546875" style="20" bestFit="1" customWidth="1"/>
    <col min="21" max="21" width="18.109375" style="20" customWidth="1"/>
    <col min="22" max="22" width="16.5546875" style="20" customWidth="1"/>
    <col min="23" max="23" width="30.44140625" style="20" customWidth="1"/>
    <col min="24" max="16384" width="11.44140625" style="20"/>
  </cols>
  <sheetData>
    <row r="1" spans="1:22" x14ac:dyDescent="0.25">
      <c r="A1" s="768"/>
      <c r="B1" s="768"/>
      <c r="C1" s="768"/>
      <c r="D1" s="769" t="s">
        <v>1</v>
      </c>
      <c r="E1" s="769"/>
      <c r="F1" s="769"/>
      <c r="G1" s="769"/>
      <c r="H1" s="769"/>
      <c r="I1" s="769"/>
      <c r="J1" s="769"/>
      <c r="L1" s="821" t="s">
        <v>469</v>
      </c>
      <c r="M1" s="821"/>
      <c r="N1" s="821"/>
      <c r="O1" s="769" t="str">
        <f>D1</f>
        <v>DEPARTAMENTO DE ANTIOQUIA</v>
      </c>
      <c r="P1" s="769"/>
      <c r="Q1" s="769"/>
      <c r="R1" s="769"/>
      <c r="S1" s="769"/>
      <c r="T1" s="769"/>
      <c r="U1" s="769"/>
    </row>
    <row r="2" spans="1:22" x14ac:dyDescent="0.25">
      <c r="A2" s="768"/>
      <c r="B2" s="768"/>
      <c r="C2" s="768"/>
      <c r="D2" s="769" t="s">
        <v>2</v>
      </c>
      <c r="E2" s="769"/>
      <c r="F2" s="769"/>
      <c r="G2" s="769"/>
      <c r="H2" s="769"/>
      <c r="I2" s="769"/>
      <c r="J2" s="769"/>
      <c r="L2" s="821"/>
      <c r="M2" s="821"/>
      <c r="N2" s="821"/>
      <c r="O2" s="769" t="str">
        <f t="shared" ref="O2:O3" si="0">D2</f>
        <v>MUNICIPIO DE ARBOLETES</v>
      </c>
      <c r="P2" s="769"/>
      <c r="Q2" s="769"/>
      <c r="R2" s="769"/>
      <c r="S2" s="769"/>
      <c r="T2" s="769"/>
      <c r="U2" s="769"/>
    </row>
    <row r="3" spans="1:22" ht="53.4" customHeight="1" x14ac:dyDescent="0.25">
      <c r="A3" s="768"/>
      <c r="B3" s="768"/>
      <c r="C3" s="768"/>
      <c r="D3" s="770" t="s">
        <v>328</v>
      </c>
      <c r="E3" s="770"/>
      <c r="F3" s="770"/>
      <c r="G3" s="770"/>
      <c r="H3" s="770"/>
      <c r="I3" s="770"/>
      <c r="J3" s="770"/>
      <c r="L3" s="821"/>
      <c r="M3" s="821"/>
      <c r="N3" s="821"/>
      <c r="O3" s="770" t="str">
        <f t="shared" si="0"/>
        <v>CONSTRUCCION DE OBRAS CIVILES COMPLEMENTARIAS PARA EL CORRECTO FUNCIONAMIENTO DEL PROYECTO DENOMINADO “PARQUE GEOLÓGICO, NATURAL, AMBIENTAL, CULTURAL Y TURÍSTICO, VOLCÁN DE LODO DE ARBOLETES”, QUE SE LLEVARÁ A CABO EN EL MUNICIPIO DE ARBOLETES-ANTIOQUIA</v>
      </c>
      <c r="P3" s="770"/>
      <c r="Q3" s="770"/>
      <c r="R3" s="770"/>
      <c r="S3" s="770"/>
      <c r="T3" s="770"/>
      <c r="U3" s="770"/>
    </row>
    <row r="4" spans="1:22" ht="15.6" customHeight="1" x14ac:dyDescent="0.25">
      <c r="A4" s="768"/>
      <c r="B4" s="768"/>
      <c r="C4" s="768"/>
      <c r="D4" s="769" t="s">
        <v>20</v>
      </c>
      <c r="E4" s="769"/>
      <c r="F4" s="769"/>
      <c r="G4" s="769"/>
      <c r="H4" s="769"/>
      <c r="I4" s="769"/>
      <c r="J4" s="769"/>
      <c r="L4" s="821"/>
      <c r="M4" s="821"/>
      <c r="N4" s="821"/>
      <c r="O4" s="769" t="s">
        <v>20</v>
      </c>
      <c r="P4" s="769"/>
      <c r="Q4" s="769"/>
      <c r="R4" s="769"/>
      <c r="S4" s="769"/>
      <c r="T4" s="769"/>
      <c r="U4" s="769"/>
    </row>
    <row r="5" spans="1:22" ht="13.95" customHeight="1" x14ac:dyDescent="0.25">
      <c r="A5" s="22"/>
      <c r="J5" s="23"/>
      <c r="L5" s="22"/>
      <c r="U5" s="23"/>
    </row>
    <row r="6" spans="1:22" s="21" customFormat="1" ht="33" customHeight="1" x14ac:dyDescent="0.3">
      <c r="A6" s="202" t="s">
        <v>460</v>
      </c>
      <c r="B6" s="203" t="s">
        <v>22</v>
      </c>
      <c r="C6" s="204">
        <v>7.0999999999999979</v>
      </c>
      <c r="D6" s="205"/>
      <c r="E6" s="777" t="s">
        <v>370</v>
      </c>
      <c r="F6" s="777"/>
      <c r="G6" s="777"/>
      <c r="H6" s="777"/>
      <c r="I6" s="202" t="s">
        <v>23</v>
      </c>
      <c r="J6" s="206" t="s">
        <v>9</v>
      </c>
      <c r="L6" s="202" t="s">
        <v>460</v>
      </c>
      <c r="M6" s="203" t="s">
        <v>22</v>
      </c>
      <c r="N6" s="204">
        <f>C6</f>
        <v>7.0999999999999979</v>
      </c>
      <c r="O6" s="205"/>
      <c r="P6" s="777" t="str">
        <f>E6</f>
        <v xml:space="preserve">Suministro e Instalacion de reflectores tipo led 200 w </v>
      </c>
      <c r="Q6" s="777"/>
      <c r="R6" s="777"/>
      <c r="S6" s="777"/>
      <c r="T6" s="202" t="s">
        <v>23</v>
      </c>
      <c r="U6" s="206" t="str">
        <f>J6</f>
        <v>und</v>
      </c>
    </row>
    <row r="7" spans="1:22" ht="15" customHeight="1" x14ac:dyDescent="0.25">
      <c r="A7" s="22"/>
      <c r="B7" s="772" t="s">
        <v>24</v>
      </c>
      <c r="C7" s="772"/>
      <c r="D7" s="772"/>
      <c r="E7" s="772"/>
      <c r="F7" s="772"/>
      <c r="G7" s="772"/>
      <c r="H7" s="772"/>
      <c r="I7" s="772"/>
      <c r="J7" s="772"/>
      <c r="L7" s="22"/>
      <c r="M7" s="772" t="s">
        <v>24</v>
      </c>
      <c r="N7" s="772"/>
      <c r="O7" s="772"/>
      <c r="P7" s="772"/>
      <c r="Q7" s="772"/>
      <c r="R7" s="772"/>
      <c r="S7" s="772"/>
      <c r="T7" s="772"/>
      <c r="U7" s="772"/>
    </row>
    <row r="8" spans="1:22"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2" ht="15" customHeight="1" x14ac:dyDescent="0.25">
      <c r="A9" s="22"/>
      <c r="B9" s="771" t="s">
        <v>30</v>
      </c>
      <c r="C9" s="771"/>
      <c r="D9" s="771"/>
      <c r="E9" s="771"/>
      <c r="F9" s="771"/>
      <c r="G9" s="206"/>
      <c r="H9" s="181"/>
      <c r="I9" s="208">
        <v>0.05</v>
      </c>
      <c r="J9" s="181">
        <f>ROUND(I9*J44,0)</f>
        <v>2315</v>
      </c>
      <c r="L9" s="22"/>
      <c r="M9" s="771" t="s">
        <v>30</v>
      </c>
      <c r="N9" s="771"/>
      <c r="O9" s="771"/>
      <c r="P9" s="771"/>
      <c r="Q9" s="771"/>
      <c r="R9" s="206"/>
      <c r="S9" s="181"/>
      <c r="T9" s="208">
        <v>0.05</v>
      </c>
      <c r="U9" s="181">
        <f>ROUND(T9*U44,0)</f>
        <v>2315</v>
      </c>
      <c r="V9" s="239" t="s">
        <v>461</v>
      </c>
    </row>
    <row r="10" spans="1:22" ht="15" customHeight="1" x14ac:dyDescent="0.25">
      <c r="A10" s="22"/>
      <c r="B10" s="777"/>
      <c r="C10" s="777"/>
      <c r="D10" s="777"/>
      <c r="E10" s="777"/>
      <c r="F10" s="777"/>
      <c r="G10" s="206"/>
      <c r="H10" s="181" t="s">
        <v>501</v>
      </c>
      <c r="I10" s="180"/>
      <c r="J10" s="181">
        <f>IF(B10="",0,ROUND(H10/I10,0))</f>
        <v>0</v>
      </c>
      <c r="L10" s="22"/>
      <c r="M10" s="777"/>
      <c r="N10" s="777"/>
      <c r="O10" s="777"/>
      <c r="P10" s="777"/>
      <c r="Q10" s="777"/>
      <c r="R10" s="206"/>
      <c r="S10" s="181" t="s">
        <v>501</v>
      </c>
      <c r="T10" s="180"/>
      <c r="U10" s="181">
        <f>IF(M10="",0,ROUND(S10/T10,0))</f>
        <v>0</v>
      </c>
    </row>
    <row r="11" spans="1:22" ht="15" customHeight="1" x14ac:dyDescent="0.25">
      <c r="A11" s="22"/>
      <c r="B11" s="771"/>
      <c r="C11" s="771"/>
      <c r="D11" s="771"/>
      <c r="E11" s="771"/>
      <c r="F11" s="771"/>
      <c r="G11" s="206"/>
      <c r="H11" s="181" t="s">
        <v>501</v>
      </c>
      <c r="I11" s="180"/>
      <c r="J11" s="181">
        <f t="shared" ref="J11:J15" si="1">IF(B11="",0,ROUND(H11/I11,0))</f>
        <v>0</v>
      </c>
      <c r="L11" s="22"/>
      <c r="M11" s="771"/>
      <c r="N11" s="771"/>
      <c r="O11" s="771"/>
      <c r="P11" s="771"/>
      <c r="Q11" s="771"/>
      <c r="R11" s="206"/>
      <c r="S11" s="181" t="s">
        <v>501</v>
      </c>
      <c r="T11" s="180"/>
      <c r="U11" s="181">
        <f t="shared" ref="U11:U15" si="2">IF(M11="",0,ROUND(S11/T11,0))</f>
        <v>0</v>
      </c>
    </row>
    <row r="12" spans="1:22" ht="15" customHeight="1" x14ac:dyDescent="0.25">
      <c r="A12" s="22"/>
      <c r="B12" s="771"/>
      <c r="C12" s="771"/>
      <c r="D12" s="771"/>
      <c r="E12" s="771"/>
      <c r="F12" s="771"/>
      <c r="G12" s="206" t="s">
        <v>501</v>
      </c>
      <c r="H12" s="181" t="s">
        <v>501</v>
      </c>
      <c r="I12" s="180"/>
      <c r="J12" s="181">
        <f t="shared" si="1"/>
        <v>0</v>
      </c>
      <c r="L12" s="22"/>
      <c r="M12" s="771"/>
      <c r="N12" s="771"/>
      <c r="O12" s="771"/>
      <c r="P12" s="771"/>
      <c r="Q12" s="771"/>
      <c r="R12" s="206" t="s">
        <v>501</v>
      </c>
      <c r="S12" s="181" t="s">
        <v>501</v>
      </c>
      <c r="T12" s="180"/>
      <c r="U12" s="181">
        <f t="shared" si="2"/>
        <v>0</v>
      </c>
    </row>
    <row r="13" spans="1:22" ht="15" customHeight="1" x14ac:dyDescent="0.25">
      <c r="A13" s="22"/>
      <c r="B13" s="771"/>
      <c r="C13" s="771"/>
      <c r="D13" s="771"/>
      <c r="E13" s="771"/>
      <c r="F13" s="771"/>
      <c r="G13" s="206" t="s">
        <v>501</v>
      </c>
      <c r="H13" s="181" t="s">
        <v>501</v>
      </c>
      <c r="I13" s="180"/>
      <c r="J13" s="181">
        <f t="shared" si="1"/>
        <v>0</v>
      </c>
      <c r="L13" s="22"/>
      <c r="M13" s="771"/>
      <c r="N13" s="771"/>
      <c r="O13" s="771"/>
      <c r="P13" s="771"/>
      <c r="Q13" s="771"/>
      <c r="R13" s="206" t="s">
        <v>501</v>
      </c>
      <c r="S13" s="181" t="s">
        <v>501</v>
      </c>
      <c r="T13" s="180"/>
      <c r="U13" s="181">
        <f t="shared" si="2"/>
        <v>0</v>
      </c>
    </row>
    <row r="14" spans="1:22" ht="15" customHeight="1" x14ac:dyDescent="0.25">
      <c r="A14" s="22"/>
      <c r="B14" s="771"/>
      <c r="C14" s="771"/>
      <c r="D14" s="771"/>
      <c r="E14" s="771"/>
      <c r="F14" s="771"/>
      <c r="G14" s="206" t="s">
        <v>501</v>
      </c>
      <c r="H14" s="181" t="s">
        <v>501</v>
      </c>
      <c r="I14" s="180"/>
      <c r="J14" s="181">
        <f t="shared" si="1"/>
        <v>0</v>
      </c>
      <c r="L14" s="22"/>
      <c r="M14" s="771"/>
      <c r="N14" s="771"/>
      <c r="O14" s="771"/>
      <c r="P14" s="771"/>
      <c r="Q14" s="771"/>
      <c r="R14" s="206" t="s">
        <v>501</v>
      </c>
      <c r="S14" s="181" t="s">
        <v>501</v>
      </c>
      <c r="T14" s="180"/>
      <c r="U14" s="181">
        <f t="shared" si="2"/>
        <v>0</v>
      </c>
    </row>
    <row r="15" spans="1:22" ht="15" customHeight="1" x14ac:dyDescent="0.25">
      <c r="A15" s="22"/>
      <c r="B15" s="771"/>
      <c r="C15" s="771"/>
      <c r="D15" s="771"/>
      <c r="E15" s="771"/>
      <c r="F15" s="771"/>
      <c r="G15" s="206" t="s">
        <v>501</v>
      </c>
      <c r="H15" s="181" t="s">
        <v>501</v>
      </c>
      <c r="I15" s="180"/>
      <c r="J15" s="181">
        <f t="shared" si="1"/>
        <v>0</v>
      </c>
      <c r="L15" s="22"/>
      <c r="M15" s="771"/>
      <c r="N15" s="771"/>
      <c r="O15" s="771"/>
      <c r="P15" s="771"/>
      <c r="Q15" s="771"/>
      <c r="R15" s="206" t="s">
        <v>501</v>
      </c>
      <c r="S15" s="181" t="s">
        <v>501</v>
      </c>
      <c r="T15" s="180"/>
      <c r="U15" s="181">
        <f t="shared" si="2"/>
        <v>0</v>
      </c>
    </row>
    <row r="16" spans="1:22" ht="15" customHeight="1" x14ac:dyDescent="0.25">
      <c r="A16" s="22"/>
      <c r="B16" s="771"/>
      <c r="C16" s="771"/>
      <c r="D16" s="771"/>
      <c r="E16" s="771"/>
      <c r="F16" s="771"/>
      <c r="G16" s="206" t="s">
        <v>501</v>
      </c>
      <c r="H16" s="181" t="s">
        <v>501</v>
      </c>
      <c r="I16" s="180"/>
      <c r="J16" s="181"/>
      <c r="L16" s="22"/>
      <c r="M16" s="771"/>
      <c r="N16" s="771"/>
      <c r="O16" s="771"/>
      <c r="P16" s="771"/>
      <c r="Q16" s="771"/>
      <c r="R16" s="206" t="s">
        <v>501</v>
      </c>
      <c r="S16" s="181" t="s">
        <v>501</v>
      </c>
      <c r="T16" s="180"/>
      <c r="U16" s="181"/>
    </row>
    <row r="17" spans="1:23" ht="15" customHeight="1" x14ac:dyDescent="0.25">
      <c r="A17" s="22"/>
      <c r="B17" s="772" t="s">
        <v>31</v>
      </c>
      <c r="C17" s="772"/>
      <c r="D17" s="772"/>
      <c r="E17" s="772"/>
      <c r="F17" s="772"/>
      <c r="G17" s="772"/>
      <c r="H17" s="772"/>
      <c r="I17" s="772"/>
      <c r="J17" s="181">
        <f>SUM(J9:J16)</f>
        <v>2315</v>
      </c>
      <c r="L17" s="22"/>
      <c r="M17" s="772" t="s">
        <v>31</v>
      </c>
      <c r="N17" s="772"/>
      <c r="O17" s="772"/>
      <c r="P17" s="772"/>
      <c r="Q17" s="772"/>
      <c r="R17" s="772"/>
      <c r="S17" s="772"/>
      <c r="T17" s="772"/>
      <c r="U17" s="181">
        <f>SUM(U9:U16)</f>
        <v>2315</v>
      </c>
    </row>
    <row r="18" spans="1:23" ht="7.5" customHeight="1" x14ac:dyDescent="0.25">
      <c r="A18" s="22"/>
      <c r="B18" s="25"/>
      <c r="C18" s="25"/>
      <c r="D18" s="25"/>
      <c r="E18" s="25"/>
      <c r="F18" s="25"/>
      <c r="G18" s="25"/>
      <c r="H18" s="25"/>
      <c r="I18" s="25"/>
      <c r="J18" s="26"/>
      <c r="L18" s="22"/>
      <c r="M18" s="25"/>
      <c r="N18" s="25"/>
      <c r="O18" s="25"/>
      <c r="P18" s="25"/>
      <c r="Q18" s="25"/>
      <c r="R18" s="25"/>
      <c r="S18" s="25"/>
      <c r="T18" s="25"/>
      <c r="U18" s="26"/>
    </row>
    <row r="19" spans="1:23" ht="15" customHeight="1" x14ac:dyDescent="0.25">
      <c r="A19" s="22"/>
      <c r="B19" s="772" t="s">
        <v>32</v>
      </c>
      <c r="C19" s="772"/>
      <c r="D19" s="772"/>
      <c r="E19" s="772"/>
      <c r="F19" s="772"/>
      <c r="G19" s="772"/>
      <c r="H19" s="772"/>
      <c r="I19" s="772"/>
      <c r="J19" s="772"/>
      <c r="L19" s="22"/>
      <c r="M19" s="772" t="s">
        <v>32</v>
      </c>
      <c r="N19" s="772"/>
      <c r="O19" s="772"/>
      <c r="P19" s="772"/>
      <c r="Q19" s="772"/>
      <c r="R19" s="772"/>
      <c r="S19" s="772"/>
      <c r="T19" s="772"/>
      <c r="U19" s="772"/>
    </row>
    <row r="20" spans="1:23" ht="26.4" x14ac:dyDescent="0.25">
      <c r="A20" s="22"/>
      <c r="B20" s="774" t="s">
        <v>33</v>
      </c>
      <c r="C20" s="774"/>
      <c r="D20" s="774"/>
      <c r="E20" s="774"/>
      <c r="F20" s="205" t="s">
        <v>19</v>
      </c>
      <c r="G20" s="206" t="s">
        <v>34</v>
      </c>
      <c r="H20" s="207" t="s">
        <v>35</v>
      </c>
      <c r="I20" s="207" t="s">
        <v>36</v>
      </c>
      <c r="J20" s="207" t="s">
        <v>29</v>
      </c>
      <c r="L20" s="22"/>
      <c r="M20" s="774" t="s">
        <v>33</v>
      </c>
      <c r="N20" s="774"/>
      <c r="O20" s="774"/>
      <c r="P20" s="774"/>
      <c r="Q20" s="205" t="s">
        <v>19</v>
      </c>
      <c r="R20" s="206" t="s">
        <v>34</v>
      </c>
      <c r="S20" s="207" t="s">
        <v>35</v>
      </c>
      <c r="T20" s="207" t="s">
        <v>36</v>
      </c>
      <c r="U20" s="207" t="s">
        <v>29</v>
      </c>
    </row>
    <row r="21" spans="1:23" ht="26.4" x14ac:dyDescent="0.25">
      <c r="A21" s="22"/>
      <c r="B21" s="815" t="s">
        <v>488</v>
      </c>
      <c r="C21" s="816"/>
      <c r="D21" s="816"/>
      <c r="E21" s="817"/>
      <c r="F21" s="245">
        <v>1</v>
      </c>
      <c r="G21" s="246" t="s">
        <v>9</v>
      </c>
      <c r="H21" s="247"/>
      <c r="I21" s="248">
        <v>256300</v>
      </c>
      <c r="J21" s="248">
        <f>IF(I21="",0,ROUND((+F21*I21*(1+H21)),0))</f>
        <v>256300</v>
      </c>
      <c r="K21" s="266"/>
      <c r="L21" s="22"/>
      <c r="M21" s="815" t="s">
        <v>488</v>
      </c>
      <c r="N21" s="816"/>
      <c r="O21" s="816"/>
      <c r="P21" s="817"/>
      <c r="Q21" s="245">
        <v>1</v>
      </c>
      <c r="R21" s="246" t="s">
        <v>9</v>
      </c>
      <c r="S21" s="247"/>
      <c r="T21" s="248">
        <v>256300</v>
      </c>
      <c r="U21" s="248">
        <f>IF(T21="",0,ROUND((+Q21*T21*(1+S21)),0))</f>
        <v>256300</v>
      </c>
      <c r="V21" s="264" t="s">
        <v>461</v>
      </c>
      <c r="W21" s="267" t="s">
        <v>489</v>
      </c>
    </row>
    <row r="22" spans="1:23" ht="15" customHeight="1" x14ac:dyDescent="0.25">
      <c r="A22" s="22"/>
      <c r="B22" s="791" t="s">
        <v>411</v>
      </c>
      <c r="C22" s="792"/>
      <c r="D22" s="792"/>
      <c r="E22" s="793"/>
      <c r="F22" s="180">
        <v>1</v>
      </c>
      <c r="G22" s="206" t="s">
        <v>9</v>
      </c>
      <c r="H22" s="209"/>
      <c r="I22" s="181">
        <v>13500</v>
      </c>
      <c r="J22" s="181">
        <f t="shared" ref="J22:J27" si="3">IF(I22="",0,ROUND((+F22*I22*(1+H22)),0))</f>
        <v>13500</v>
      </c>
      <c r="K22" s="117"/>
      <c r="L22" s="22"/>
      <c r="M22" s="791" t="s">
        <v>411</v>
      </c>
      <c r="N22" s="792"/>
      <c r="O22" s="792"/>
      <c r="P22" s="793"/>
      <c r="Q22" s="180">
        <v>1</v>
      </c>
      <c r="R22" s="206" t="s">
        <v>9</v>
      </c>
      <c r="S22" s="209"/>
      <c r="T22" s="181">
        <v>13500</v>
      </c>
      <c r="U22" s="181">
        <f t="shared" ref="U22:U27" si="4">IF(T22="",0,ROUND((+Q22*T22*(1+S22)),0))</f>
        <v>13500</v>
      </c>
      <c r="V22" s="239" t="s">
        <v>461</v>
      </c>
    </row>
    <row r="23" spans="1:23" ht="15" customHeight="1" x14ac:dyDescent="0.25">
      <c r="A23" s="22"/>
      <c r="B23" s="791"/>
      <c r="C23" s="792"/>
      <c r="D23" s="792"/>
      <c r="E23" s="793"/>
      <c r="F23" s="180"/>
      <c r="G23" s="206" t="s">
        <v>501</v>
      </c>
      <c r="H23" s="209"/>
      <c r="I23" s="181" t="s">
        <v>501</v>
      </c>
      <c r="J23" s="181">
        <f t="shared" si="3"/>
        <v>0</v>
      </c>
      <c r="K23" s="117"/>
      <c r="L23" s="22"/>
      <c r="M23" s="791"/>
      <c r="N23" s="792"/>
      <c r="O23" s="792"/>
      <c r="P23" s="793"/>
      <c r="Q23" s="180"/>
      <c r="R23" s="206" t="s">
        <v>501</v>
      </c>
      <c r="S23" s="209"/>
      <c r="T23" s="181" t="s">
        <v>501</v>
      </c>
      <c r="U23" s="181">
        <f t="shared" si="4"/>
        <v>0</v>
      </c>
    </row>
    <row r="24" spans="1:23" ht="15" customHeight="1" x14ac:dyDescent="0.25">
      <c r="A24" s="22"/>
      <c r="B24" s="791"/>
      <c r="C24" s="792"/>
      <c r="D24" s="792"/>
      <c r="E24" s="793"/>
      <c r="F24" s="180"/>
      <c r="G24" s="206" t="s">
        <v>501</v>
      </c>
      <c r="H24" s="209"/>
      <c r="I24" s="181" t="s">
        <v>501</v>
      </c>
      <c r="J24" s="181">
        <f t="shared" si="3"/>
        <v>0</v>
      </c>
      <c r="K24" s="117"/>
      <c r="L24" s="22"/>
      <c r="M24" s="791"/>
      <c r="N24" s="792"/>
      <c r="O24" s="792"/>
      <c r="P24" s="793"/>
      <c r="Q24" s="180"/>
      <c r="R24" s="206" t="s">
        <v>501</v>
      </c>
      <c r="S24" s="209"/>
      <c r="T24" s="181" t="s">
        <v>501</v>
      </c>
      <c r="U24" s="181">
        <f t="shared" si="4"/>
        <v>0</v>
      </c>
    </row>
    <row r="25" spans="1:23" ht="15" customHeight="1" x14ac:dyDescent="0.25">
      <c r="A25" s="22"/>
      <c r="B25" s="791"/>
      <c r="C25" s="792"/>
      <c r="D25" s="792"/>
      <c r="E25" s="793"/>
      <c r="F25" s="180"/>
      <c r="G25" s="206" t="s">
        <v>501</v>
      </c>
      <c r="H25" s="209"/>
      <c r="I25" s="181" t="s">
        <v>501</v>
      </c>
      <c r="J25" s="181">
        <f t="shared" si="3"/>
        <v>0</v>
      </c>
      <c r="L25" s="22"/>
      <c r="M25" s="791"/>
      <c r="N25" s="792"/>
      <c r="O25" s="792"/>
      <c r="P25" s="793"/>
      <c r="Q25" s="180"/>
      <c r="R25" s="206" t="s">
        <v>501</v>
      </c>
      <c r="S25" s="209"/>
      <c r="T25" s="181" t="s">
        <v>501</v>
      </c>
      <c r="U25" s="181">
        <f t="shared" si="4"/>
        <v>0</v>
      </c>
    </row>
    <row r="26" spans="1:23" ht="15" customHeight="1" x14ac:dyDescent="0.25">
      <c r="A26" s="22"/>
      <c r="B26" s="791"/>
      <c r="C26" s="792"/>
      <c r="D26" s="792"/>
      <c r="E26" s="793"/>
      <c r="F26" s="180"/>
      <c r="G26" s="206" t="s">
        <v>501</v>
      </c>
      <c r="H26" s="209"/>
      <c r="I26" s="181" t="s">
        <v>501</v>
      </c>
      <c r="J26" s="181">
        <f t="shared" si="3"/>
        <v>0</v>
      </c>
      <c r="L26" s="22"/>
      <c r="M26" s="791"/>
      <c r="N26" s="792"/>
      <c r="O26" s="792"/>
      <c r="P26" s="793"/>
      <c r="Q26" s="180"/>
      <c r="R26" s="206" t="s">
        <v>501</v>
      </c>
      <c r="S26" s="209"/>
      <c r="T26" s="181" t="s">
        <v>501</v>
      </c>
      <c r="U26" s="181">
        <f t="shared" si="4"/>
        <v>0</v>
      </c>
    </row>
    <row r="27" spans="1:23" ht="15" customHeight="1" x14ac:dyDescent="0.25">
      <c r="A27" s="22"/>
      <c r="B27" s="791"/>
      <c r="C27" s="792"/>
      <c r="D27" s="792"/>
      <c r="E27" s="793"/>
      <c r="F27" s="180"/>
      <c r="G27" s="206" t="s">
        <v>501</v>
      </c>
      <c r="H27" s="209"/>
      <c r="I27" s="181" t="s">
        <v>501</v>
      </c>
      <c r="J27" s="181">
        <f t="shared" si="3"/>
        <v>0</v>
      </c>
      <c r="L27" s="22"/>
      <c r="M27" s="791"/>
      <c r="N27" s="792"/>
      <c r="O27" s="792"/>
      <c r="P27" s="793"/>
      <c r="Q27" s="180"/>
      <c r="R27" s="206" t="s">
        <v>501</v>
      </c>
      <c r="S27" s="209"/>
      <c r="T27" s="181" t="s">
        <v>501</v>
      </c>
      <c r="U27" s="181">
        <f t="shared" si="4"/>
        <v>0</v>
      </c>
    </row>
    <row r="28" spans="1:23" ht="15" customHeight="1" x14ac:dyDescent="0.25">
      <c r="A28" s="22"/>
      <c r="B28" s="785"/>
      <c r="C28" s="786"/>
      <c r="D28" s="786"/>
      <c r="E28" s="787"/>
      <c r="F28" s="180"/>
      <c r="G28" s="206" t="s">
        <v>501</v>
      </c>
      <c r="H28" s="209"/>
      <c r="I28" s="181" t="s">
        <v>501</v>
      </c>
      <c r="J28" s="181"/>
      <c r="L28" s="22"/>
      <c r="M28" s="785"/>
      <c r="N28" s="786"/>
      <c r="O28" s="786"/>
      <c r="P28" s="787"/>
      <c r="Q28" s="180"/>
      <c r="R28" s="206" t="s">
        <v>501</v>
      </c>
      <c r="S28" s="209"/>
      <c r="T28" s="181" t="s">
        <v>501</v>
      </c>
      <c r="U28" s="181"/>
    </row>
    <row r="29" spans="1:23" ht="15" customHeight="1" x14ac:dyDescent="0.25">
      <c r="A29" s="22"/>
      <c r="B29" s="772" t="s">
        <v>37</v>
      </c>
      <c r="C29" s="772"/>
      <c r="D29" s="772"/>
      <c r="E29" s="772"/>
      <c r="F29" s="772"/>
      <c r="G29" s="772"/>
      <c r="H29" s="772"/>
      <c r="I29" s="772"/>
      <c r="J29" s="181">
        <f>SUM(J21:J28)</f>
        <v>269800</v>
      </c>
      <c r="L29" s="22"/>
      <c r="M29" s="772" t="s">
        <v>37</v>
      </c>
      <c r="N29" s="772"/>
      <c r="O29" s="772"/>
      <c r="P29" s="772"/>
      <c r="Q29" s="772"/>
      <c r="R29" s="772"/>
      <c r="S29" s="772"/>
      <c r="T29" s="772"/>
      <c r="U29" s="181">
        <f>SUM(U21:U28)</f>
        <v>269800</v>
      </c>
    </row>
    <row r="30" spans="1:23" ht="7.5" customHeight="1" x14ac:dyDescent="0.25">
      <c r="A30" s="22"/>
      <c r="B30" s="25"/>
      <c r="C30" s="25"/>
      <c r="D30" s="25"/>
      <c r="E30" s="25"/>
      <c r="F30" s="25"/>
      <c r="G30" s="25"/>
      <c r="H30" s="25"/>
      <c r="I30" s="25"/>
      <c r="J30" s="26"/>
      <c r="L30" s="22"/>
      <c r="M30" s="25"/>
      <c r="N30" s="25"/>
      <c r="O30" s="25"/>
      <c r="P30" s="25"/>
      <c r="Q30" s="25"/>
      <c r="R30" s="25"/>
      <c r="S30" s="25"/>
      <c r="T30" s="25"/>
      <c r="U30" s="26"/>
    </row>
    <row r="31" spans="1:23" ht="15" customHeight="1" x14ac:dyDescent="0.25">
      <c r="A31" s="22"/>
      <c r="B31" s="772" t="s">
        <v>38</v>
      </c>
      <c r="C31" s="772"/>
      <c r="D31" s="772"/>
      <c r="E31" s="772"/>
      <c r="F31" s="772"/>
      <c r="G31" s="772"/>
      <c r="H31" s="772"/>
      <c r="I31" s="772"/>
      <c r="J31" s="772"/>
      <c r="L31" s="22"/>
      <c r="M31" s="772" t="s">
        <v>38</v>
      </c>
      <c r="N31" s="772"/>
      <c r="O31" s="772"/>
      <c r="P31" s="772"/>
      <c r="Q31" s="772"/>
      <c r="R31" s="772"/>
      <c r="S31" s="772"/>
      <c r="T31" s="772"/>
      <c r="U31" s="772"/>
    </row>
    <row r="32" spans="1:23" x14ac:dyDescent="0.25">
      <c r="A32" s="22"/>
      <c r="B32" s="774" t="s">
        <v>33</v>
      </c>
      <c r="C32" s="774"/>
      <c r="D32" s="774"/>
      <c r="E32" s="774"/>
      <c r="F32" s="774"/>
      <c r="G32" s="206" t="s">
        <v>133</v>
      </c>
      <c r="H32" s="206" t="s">
        <v>132</v>
      </c>
      <c r="I32" s="206" t="s">
        <v>39</v>
      </c>
      <c r="J32" s="207" t="s">
        <v>29</v>
      </c>
      <c r="L32" s="22"/>
      <c r="M32" s="774" t="s">
        <v>33</v>
      </c>
      <c r="N32" s="774"/>
      <c r="O32" s="774"/>
      <c r="P32" s="774"/>
      <c r="Q32" s="774"/>
      <c r="R32" s="206" t="s">
        <v>133</v>
      </c>
      <c r="S32" s="206" t="s">
        <v>132</v>
      </c>
      <c r="T32" s="206" t="s">
        <v>39</v>
      </c>
      <c r="U32" s="207" t="s">
        <v>29</v>
      </c>
    </row>
    <row r="33" spans="1:22" ht="15" customHeight="1" x14ac:dyDescent="0.25">
      <c r="A33" s="22"/>
      <c r="B33" s="771"/>
      <c r="C33" s="771"/>
      <c r="D33" s="771"/>
      <c r="E33" s="771"/>
      <c r="F33" s="771"/>
      <c r="G33" s="206"/>
      <c r="H33" s="180"/>
      <c r="I33" s="181"/>
      <c r="J33" s="181">
        <f>ROUND(I33*H33,0)</f>
        <v>0</v>
      </c>
      <c r="L33" s="22"/>
      <c r="M33" s="771"/>
      <c r="N33" s="771"/>
      <c r="O33" s="771"/>
      <c r="P33" s="771"/>
      <c r="Q33" s="771"/>
      <c r="R33" s="206"/>
      <c r="S33" s="180"/>
      <c r="T33" s="181"/>
      <c r="U33" s="181">
        <f>ROUND(T33*S33,0)</f>
        <v>0</v>
      </c>
    </row>
    <row r="34" spans="1:22" ht="15" customHeight="1" x14ac:dyDescent="0.25">
      <c r="A34" s="22"/>
      <c r="B34" s="771"/>
      <c r="C34" s="771"/>
      <c r="D34" s="771"/>
      <c r="E34" s="771"/>
      <c r="F34" s="771"/>
      <c r="G34" s="206"/>
      <c r="H34" s="180"/>
      <c r="I34" s="181"/>
      <c r="J34" s="181">
        <v>0</v>
      </c>
      <c r="L34" s="22"/>
      <c r="M34" s="771"/>
      <c r="N34" s="771"/>
      <c r="O34" s="771"/>
      <c r="P34" s="771"/>
      <c r="Q34" s="771"/>
      <c r="R34" s="206"/>
      <c r="S34" s="180"/>
      <c r="T34" s="181"/>
      <c r="U34" s="181">
        <v>0</v>
      </c>
    </row>
    <row r="35" spans="1:22" ht="15" customHeight="1" x14ac:dyDescent="0.25">
      <c r="A35" s="22"/>
      <c r="B35" s="771"/>
      <c r="C35" s="771"/>
      <c r="D35" s="771"/>
      <c r="E35" s="771"/>
      <c r="F35" s="771"/>
      <c r="G35" s="206"/>
      <c r="H35" s="180"/>
      <c r="I35" s="181"/>
      <c r="J35" s="181">
        <v>0</v>
      </c>
      <c r="L35" s="22"/>
      <c r="M35" s="771"/>
      <c r="N35" s="771"/>
      <c r="O35" s="771"/>
      <c r="P35" s="771"/>
      <c r="Q35" s="771"/>
      <c r="R35" s="206"/>
      <c r="S35" s="180"/>
      <c r="T35" s="181"/>
      <c r="U35" s="181">
        <v>0</v>
      </c>
    </row>
    <row r="36" spans="1:22" ht="15" customHeight="1" x14ac:dyDescent="0.25">
      <c r="A36" s="22"/>
      <c r="B36" s="771"/>
      <c r="C36" s="771"/>
      <c r="D36" s="771"/>
      <c r="E36" s="771"/>
      <c r="F36" s="771"/>
      <c r="G36" s="206"/>
      <c r="H36" s="206"/>
      <c r="I36" s="181"/>
      <c r="J36" s="181">
        <v>0</v>
      </c>
      <c r="L36" s="22"/>
      <c r="M36" s="771"/>
      <c r="N36" s="771"/>
      <c r="O36" s="771"/>
      <c r="P36" s="771"/>
      <c r="Q36" s="771"/>
      <c r="R36" s="206"/>
      <c r="S36" s="206"/>
      <c r="T36" s="181"/>
      <c r="U36" s="181">
        <v>0</v>
      </c>
    </row>
    <row r="37" spans="1:22" ht="15" customHeight="1" x14ac:dyDescent="0.25">
      <c r="A37" s="22"/>
      <c r="B37" s="772" t="s">
        <v>40</v>
      </c>
      <c r="C37" s="772"/>
      <c r="D37" s="772"/>
      <c r="E37" s="772"/>
      <c r="F37" s="772"/>
      <c r="G37" s="772"/>
      <c r="H37" s="772"/>
      <c r="I37" s="772"/>
      <c r="J37" s="181">
        <f>SUM(J33:J36)</f>
        <v>0</v>
      </c>
      <c r="L37" s="22"/>
      <c r="M37" s="772" t="s">
        <v>40</v>
      </c>
      <c r="N37" s="772"/>
      <c r="O37" s="772"/>
      <c r="P37" s="772"/>
      <c r="Q37" s="772"/>
      <c r="R37" s="772"/>
      <c r="S37" s="772"/>
      <c r="T37" s="772"/>
      <c r="U37" s="181">
        <f>SUM(U33:U36)</f>
        <v>0</v>
      </c>
    </row>
    <row r="38" spans="1:22" ht="7.5" customHeight="1" x14ac:dyDescent="0.25">
      <c r="A38" s="22"/>
      <c r="B38" s="25"/>
      <c r="C38" s="25"/>
      <c r="D38" s="25"/>
      <c r="E38" s="25"/>
      <c r="F38" s="25"/>
      <c r="G38" s="25"/>
      <c r="H38" s="25"/>
      <c r="I38" s="25"/>
      <c r="J38" s="26"/>
      <c r="L38" s="22"/>
      <c r="M38" s="25"/>
      <c r="N38" s="25"/>
      <c r="O38" s="25"/>
      <c r="P38" s="25"/>
      <c r="Q38" s="25"/>
      <c r="R38" s="25"/>
      <c r="S38" s="25"/>
      <c r="T38" s="25"/>
      <c r="U38" s="26"/>
    </row>
    <row r="39" spans="1:22" ht="15" customHeight="1" x14ac:dyDescent="0.25">
      <c r="A39" s="22"/>
      <c r="B39" s="772" t="s">
        <v>41</v>
      </c>
      <c r="C39" s="772"/>
      <c r="D39" s="772"/>
      <c r="E39" s="772"/>
      <c r="F39" s="772"/>
      <c r="G39" s="772"/>
      <c r="H39" s="772"/>
      <c r="I39" s="772"/>
      <c r="J39" s="772"/>
      <c r="L39" s="22"/>
      <c r="M39" s="772" t="s">
        <v>41</v>
      </c>
      <c r="N39" s="772"/>
      <c r="O39" s="772"/>
      <c r="P39" s="772"/>
      <c r="Q39" s="772"/>
      <c r="R39" s="772"/>
      <c r="S39" s="772"/>
      <c r="T39" s="772"/>
      <c r="U39" s="772"/>
    </row>
    <row r="40" spans="1:22" ht="26.4" x14ac:dyDescent="0.25">
      <c r="A40" s="22"/>
      <c r="B40" s="774" t="s">
        <v>4</v>
      </c>
      <c r="C40" s="774"/>
      <c r="D40" s="774"/>
      <c r="E40" s="774"/>
      <c r="F40" s="774"/>
      <c r="G40" s="207" t="s">
        <v>51</v>
      </c>
      <c r="H40" s="207" t="s">
        <v>19</v>
      </c>
      <c r="I40" s="207" t="s">
        <v>28</v>
      </c>
      <c r="J40" s="207" t="s">
        <v>29</v>
      </c>
      <c r="L40" s="22"/>
      <c r="M40" s="774" t="s">
        <v>4</v>
      </c>
      <c r="N40" s="774"/>
      <c r="O40" s="774"/>
      <c r="P40" s="774"/>
      <c r="Q40" s="774"/>
      <c r="R40" s="207" t="s">
        <v>51</v>
      </c>
      <c r="S40" s="207" t="s">
        <v>19</v>
      </c>
      <c r="T40" s="207" t="s">
        <v>28</v>
      </c>
      <c r="U40" s="207" t="s">
        <v>29</v>
      </c>
    </row>
    <row r="41" spans="1:22" x14ac:dyDescent="0.25">
      <c r="A41" s="22"/>
      <c r="B41" s="814" t="s">
        <v>480</v>
      </c>
      <c r="C41" s="814"/>
      <c r="D41" s="814"/>
      <c r="E41" s="814"/>
      <c r="F41" s="814"/>
      <c r="G41" s="248">
        <v>259402.66</v>
      </c>
      <c r="H41" s="246">
        <v>1</v>
      </c>
      <c r="I41" s="245">
        <v>9</v>
      </c>
      <c r="J41" s="248">
        <f>ROUND(+IF(I41=0,0,G41*H41/I41),0)</f>
        <v>28823</v>
      </c>
      <c r="L41" s="22"/>
      <c r="M41" s="814" t="s">
        <v>480</v>
      </c>
      <c r="N41" s="814"/>
      <c r="O41" s="814"/>
      <c r="P41" s="814"/>
      <c r="Q41" s="814"/>
      <c r="R41" s="248">
        <v>259402.66</v>
      </c>
      <c r="S41" s="246">
        <v>1</v>
      </c>
      <c r="T41" s="245">
        <v>9</v>
      </c>
      <c r="U41" s="248">
        <f>ROUND(+IF(T41=0,0,R41*S41/T41),0)</f>
        <v>28823</v>
      </c>
      <c r="V41" s="264" t="s">
        <v>448</v>
      </c>
    </row>
    <row r="42" spans="1:22" ht="15" customHeight="1" x14ac:dyDescent="0.25">
      <c r="A42" s="22"/>
      <c r="B42" s="814" t="s">
        <v>386</v>
      </c>
      <c r="C42" s="814"/>
      <c r="D42" s="814"/>
      <c r="E42" s="814"/>
      <c r="F42" s="814"/>
      <c r="G42" s="248">
        <v>78606.866666666669</v>
      </c>
      <c r="H42" s="246">
        <v>2</v>
      </c>
      <c r="I42" s="245">
        <f>I41</f>
        <v>9</v>
      </c>
      <c r="J42" s="248">
        <f>ROUND(+IF(I42=0,0,G42*H42/I42),0)</f>
        <v>17468</v>
      </c>
      <c r="L42" s="22"/>
      <c r="M42" s="814" t="s">
        <v>386</v>
      </c>
      <c r="N42" s="814"/>
      <c r="O42" s="814"/>
      <c r="P42" s="814"/>
      <c r="Q42" s="814"/>
      <c r="R42" s="248">
        <v>78606.866666666669</v>
      </c>
      <c r="S42" s="246">
        <v>2</v>
      </c>
      <c r="T42" s="245">
        <f>T41</f>
        <v>9</v>
      </c>
      <c r="U42" s="248">
        <f>ROUND(+IF(T42=0,0,R42*S42/T42),0)</f>
        <v>17468</v>
      </c>
      <c r="V42" s="239" t="s">
        <v>448</v>
      </c>
    </row>
    <row r="43" spans="1:22" ht="15" customHeight="1" x14ac:dyDescent="0.25">
      <c r="A43" s="22"/>
      <c r="B43" s="771"/>
      <c r="C43" s="771"/>
      <c r="D43" s="771"/>
      <c r="E43" s="771"/>
      <c r="F43" s="771"/>
      <c r="G43" s="181" t="s">
        <v>501</v>
      </c>
      <c r="H43" s="206"/>
      <c r="I43" s="180"/>
      <c r="J43" s="181">
        <f t="shared" ref="J43" si="5">+IF(I43=0,0,G43*H43/I43)</f>
        <v>0</v>
      </c>
      <c r="L43" s="22"/>
      <c r="M43" s="771"/>
      <c r="N43" s="771"/>
      <c r="O43" s="771"/>
      <c r="P43" s="771"/>
      <c r="Q43" s="771"/>
      <c r="R43" s="181" t="s">
        <v>501</v>
      </c>
      <c r="S43" s="206"/>
      <c r="T43" s="180"/>
      <c r="U43" s="181">
        <f t="shared" ref="U43" si="6">+IF(T43=0,0,R43*S43/T43)</f>
        <v>0</v>
      </c>
    </row>
    <row r="44" spans="1:22" ht="15" customHeight="1" x14ac:dyDescent="0.25">
      <c r="A44" s="22"/>
      <c r="B44" s="772" t="s">
        <v>42</v>
      </c>
      <c r="C44" s="772"/>
      <c r="D44" s="772"/>
      <c r="E44" s="772"/>
      <c r="F44" s="772"/>
      <c r="G44" s="772"/>
      <c r="H44" s="772"/>
      <c r="I44" s="772"/>
      <c r="J44" s="181">
        <f>SUM(J41:J43)</f>
        <v>46291</v>
      </c>
      <c r="L44" s="22"/>
      <c r="M44" s="772" t="s">
        <v>42</v>
      </c>
      <c r="N44" s="772"/>
      <c r="O44" s="772"/>
      <c r="P44" s="772"/>
      <c r="Q44" s="772"/>
      <c r="R44" s="772"/>
      <c r="S44" s="772"/>
      <c r="T44" s="772"/>
      <c r="U44" s="181">
        <f>SUM(U41:U43)</f>
        <v>46291</v>
      </c>
    </row>
    <row r="45" spans="1:22" ht="7.5" customHeight="1" x14ac:dyDescent="0.25">
      <c r="A45" s="22"/>
      <c r="B45" s="25"/>
      <c r="C45" s="25"/>
      <c r="D45" s="25"/>
      <c r="E45" s="25"/>
      <c r="F45" s="25"/>
      <c r="G45" s="25"/>
      <c r="H45" s="25"/>
      <c r="I45" s="25"/>
      <c r="J45" s="26"/>
      <c r="L45" s="22"/>
      <c r="M45" s="25"/>
      <c r="N45" s="25"/>
      <c r="O45" s="25"/>
      <c r="P45" s="25"/>
      <c r="Q45" s="25"/>
      <c r="R45" s="25"/>
      <c r="S45" s="25"/>
      <c r="T45" s="25"/>
      <c r="U45" s="26"/>
    </row>
    <row r="46" spans="1:22" ht="15.75" customHeight="1" x14ac:dyDescent="0.25">
      <c r="A46" s="27"/>
      <c r="B46" s="773" t="s">
        <v>43</v>
      </c>
      <c r="C46" s="773"/>
      <c r="D46" s="773"/>
      <c r="E46" s="773"/>
      <c r="F46" s="773"/>
      <c r="G46" s="773"/>
      <c r="H46" s="773"/>
      <c r="I46" s="773"/>
      <c r="J46" s="210">
        <f>+J44+J37+J17+J29</f>
        <v>318406</v>
      </c>
      <c r="L46" s="27"/>
      <c r="M46" s="773" t="s">
        <v>43</v>
      </c>
      <c r="N46" s="773"/>
      <c r="O46" s="773"/>
      <c r="P46" s="773"/>
      <c r="Q46" s="773"/>
      <c r="R46" s="773"/>
      <c r="S46" s="773"/>
      <c r="T46" s="773"/>
      <c r="U46" s="210">
        <f>+U44+U37+U17+U29</f>
        <v>318406</v>
      </c>
    </row>
    <row r="47" spans="1:22" x14ac:dyDescent="0.25">
      <c r="B47" s="21"/>
      <c r="C47" s="21"/>
      <c r="D47" s="21"/>
      <c r="E47" s="21"/>
      <c r="F47" s="21"/>
      <c r="G47" s="21"/>
      <c r="H47" s="21"/>
      <c r="I47" s="21"/>
      <c r="J47" s="21"/>
    </row>
    <row r="49" spans="8:10" ht="13.8" thickBot="1" x14ac:dyDescent="0.3"/>
    <row r="50" spans="8:10" x14ac:dyDescent="0.25">
      <c r="H50" s="251" t="s">
        <v>477</v>
      </c>
      <c r="I50" s="252"/>
      <c r="J50" s="253">
        <v>324275</v>
      </c>
    </row>
    <row r="51" spans="8:10" x14ac:dyDescent="0.25">
      <c r="H51" s="254" t="s">
        <v>469</v>
      </c>
      <c r="I51" s="239"/>
      <c r="J51" s="255">
        <v>227711</v>
      </c>
    </row>
    <row r="52" spans="8:10" ht="13.8" thickBot="1" x14ac:dyDescent="0.3">
      <c r="H52" s="256" t="s">
        <v>470</v>
      </c>
      <c r="I52" s="257"/>
      <c r="J52" s="258">
        <f>J46</f>
        <v>318406</v>
      </c>
    </row>
  </sheetData>
  <mergeCells count="84">
    <mergeCell ref="A1:C4"/>
    <mergeCell ref="D1:J1"/>
    <mergeCell ref="L1:N4"/>
    <mergeCell ref="O1:U1"/>
    <mergeCell ref="D2:J2"/>
    <mergeCell ref="O2:U2"/>
    <mergeCell ref="D3:J3"/>
    <mergeCell ref="O3:U3"/>
    <mergeCell ref="D4:J4"/>
    <mergeCell ref="O4:U4"/>
    <mergeCell ref="E6:H6"/>
    <mergeCell ref="P6:S6"/>
    <mergeCell ref="B7:J7"/>
    <mergeCell ref="M7:U7"/>
    <mergeCell ref="B8:F8"/>
    <mergeCell ref="M8:Q8"/>
    <mergeCell ref="B9:F9"/>
    <mergeCell ref="M9:Q9"/>
    <mergeCell ref="B10:F10"/>
    <mergeCell ref="M10:Q10"/>
    <mergeCell ref="B11:F11"/>
    <mergeCell ref="M11:Q11"/>
    <mergeCell ref="B12:F12"/>
    <mergeCell ref="M12:Q12"/>
    <mergeCell ref="B13:F13"/>
    <mergeCell ref="M13:Q13"/>
    <mergeCell ref="B14:F14"/>
    <mergeCell ref="M14:Q14"/>
    <mergeCell ref="B15:F15"/>
    <mergeCell ref="M15:Q15"/>
    <mergeCell ref="B16:F16"/>
    <mergeCell ref="M16:Q16"/>
    <mergeCell ref="B17:I17"/>
    <mergeCell ref="M17:T17"/>
    <mergeCell ref="B19:J19"/>
    <mergeCell ref="M19:U19"/>
    <mergeCell ref="B20:E20"/>
    <mergeCell ref="M20:P20"/>
    <mergeCell ref="B21:E21"/>
    <mergeCell ref="M21:P21"/>
    <mergeCell ref="B22:E22"/>
    <mergeCell ref="M22:P22"/>
    <mergeCell ref="B23:E23"/>
    <mergeCell ref="M23:P23"/>
    <mergeCell ref="B24:E24"/>
    <mergeCell ref="M24:P24"/>
    <mergeCell ref="B25:E25"/>
    <mergeCell ref="M25:P25"/>
    <mergeCell ref="B26:E26"/>
    <mergeCell ref="M26:P26"/>
    <mergeCell ref="B27:E27"/>
    <mergeCell ref="M27:P27"/>
    <mergeCell ref="B28:E28"/>
    <mergeCell ref="M28:P28"/>
    <mergeCell ref="B29:I29"/>
    <mergeCell ref="M29:T29"/>
    <mergeCell ref="B31:J31"/>
    <mergeCell ref="M31:U31"/>
    <mergeCell ref="B32:F32"/>
    <mergeCell ref="M32:Q32"/>
    <mergeCell ref="B33:F33"/>
    <mergeCell ref="M33:Q33"/>
    <mergeCell ref="B34:F34"/>
    <mergeCell ref="M34:Q34"/>
    <mergeCell ref="B35:F35"/>
    <mergeCell ref="M35:Q35"/>
    <mergeCell ref="B36:F36"/>
    <mergeCell ref="M36:Q36"/>
    <mergeCell ref="B37:I37"/>
    <mergeCell ref="M37:T37"/>
    <mergeCell ref="B39:J39"/>
    <mergeCell ref="M39:U39"/>
    <mergeCell ref="B40:F40"/>
    <mergeCell ref="M40:Q40"/>
    <mergeCell ref="B41:F41"/>
    <mergeCell ref="M41:Q41"/>
    <mergeCell ref="B46:I46"/>
    <mergeCell ref="M46:T46"/>
    <mergeCell ref="B42:F42"/>
    <mergeCell ref="M42:Q42"/>
    <mergeCell ref="B43:F43"/>
    <mergeCell ref="M43:Q43"/>
    <mergeCell ref="B44:I44"/>
    <mergeCell ref="M44:T44"/>
  </mergeCells>
  <hyperlinks>
    <hyperlink ref="C6" location="'PPTO HOJA'!A124" display="'PPTO HOJA'!A124" xr:uid="{00000000-0004-0000-3E00-000000000000}"/>
    <hyperlink ref="N6" location="'PPTO HOJA'!A124" display="'PPTO HOJA'!A124" xr:uid="{00000000-0004-0000-3E00-000001000000}"/>
  </hyperlinks>
  <pageMargins left="0.7" right="0.7" top="0.75" bottom="0.75" header="0.3" footer="0.3"/>
  <pageSetup paperSize="9" scale="28" orientation="portrait" r:id="rId1"/>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theme="5" tint="0.59999389629810485"/>
  </sheetPr>
  <dimension ref="A1:V52"/>
  <sheetViews>
    <sheetView zoomScaleNormal="100" zoomScaleSheetLayoutView="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8.6640625" style="20" customWidth="1"/>
    <col min="11" max="11" width="6.6640625" style="20" customWidth="1"/>
    <col min="12" max="17" width="11.44140625" style="20"/>
    <col min="18" max="18" width="15.44140625" style="20" customWidth="1"/>
    <col min="19" max="19" width="11.44140625" style="20"/>
    <col min="20" max="20" width="13.5546875" style="20" bestFit="1" customWidth="1"/>
    <col min="21" max="21" width="18.33203125" style="20" customWidth="1"/>
    <col min="22" max="22" width="9.6640625" style="20" customWidth="1"/>
    <col min="23" max="16384" width="11.44140625" style="20"/>
  </cols>
  <sheetData>
    <row r="1" spans="1:22" x14ac:dyDescent="0.25">
      <c r="A1" s="768"/>
      <c r="B1" s="768"/>
      <c r="C1" s="768"/>
      <c r="D1" s="769" t="s">
        <v>1</v>
      </c>
      <c r="E1" s="769"/>
      <c r="F1" s="769"/>
      <c r="G1" s="769"/>
      <c r="H1" s="769"/>
      <c r="I1" s="769"/>
      <c r="J1" s="769"/>
      <c r="L1" s="821" t="s">
        <v>469</v>
      </c>
      <c r="M1" s="821"/>
      <c r="N1" s="821"/>
      <c r="O1" s="769" t="str">
        <f>D1</f>
        <v>DEPARTAMENTO DE ANTIOQUIA</v>
      </c>
      <c r="P1" s="769"/>
      <c r="Q1" s="769"/>
      <c r="R1" s="769"/>
      <c r="S1" s="769"/>
      <c r="T1" s="769"/>
      <c r="U1" s="769"/>
    </row>
    <row r="2" spans="1:22" x14ac:dyDescent="0.25">
      <c r="A2" s="768"/>
      <c r="B2" s="768"/>
      <c r="C2" s="768"/>
      <c r="D2" s="769" t="s">
        <v>2</v>
      </c>
      <c r="E2" s="769"/>
      <c r="F2" s="769"/>
      <c r="G2" s="769"/>
      <c r="H2" s="769"/>
      <c r="I2" s="769"/>
      <c r="J2" s="769"/>
      <c r="L2" s="821"/>
      <c r="M2" s="821"/>
      <c r="N2" s="821"/>
      <c r="O2" s="769" t="str">
        <f t="shared" ref="O2:O3" si="0">D2</f>
        <v>MUNICIPIO DE ARBOLETES</v>
      </c>
      <c r="P2" s="769"/>
      <c r="Q2" s="769"/>
      <c r="R2" s="769"/>
      <c r="S2" s="769"/>
      <c r="T2" s="769"/>
      <c r="U2" s="769"/>
    </row>
    <row r="3" spans="1:22" ht="53.4" customHeight="1" x14ac:dyDescent="0.25">
      <c r="A3" s="768"/>
      <c r="B3" s="768"/>
      <c r="C3" s="768"/>
      <c r="D3" s="770" t="s">
        <v>328</v>
      </c>
      <c r="E3" s="770"/>
      <c r="F3" s="770"/>
      <c r="G3" s="770"/>
      <c r="H3" s="770"/>
      <c r="I3" s="770"/>
      <c r="J3" s="770"/>
      <c r="L3" s="821"/>
      <c r="M3" s="821"/>
      <c r="N3" s="821"/>
      <c r="O3" s="770" t="str">
        <f t="shared" si="0"/>
        <v>CONSTRUCCION DE OBRAS CIVILES COMPLEMENTARIAS PARA EL CORRECTO FUNCIONAMIENTO DEL PROYECTO DENOMINADO “PARQUE GEOLÓGICO, NATURAL, AMBIENTAL, CULTURAL Y TURÍSTICO, VOLCÁN DE LODO DE ARBOLETES”, QUE SE LLEVARÁ A CABO EN EL MUNICIPIO DE ARBOLETES-ANTIOQUIA</v>
      </c>
      <c r="P3" s="770"/>
      <c r="Q3" s="770"/>
      <c r="R3" s="770"/>
      <c r="S3" s="770"/>
      <c r="T3" s="770"/>
      <c r="U3" s="770"/>
    </row>
    <row r="4" spans="1:22" x14ac:dyDescent="0.25">
      <c r="A4" s="768"/>
      <c r="B4" s="768"/>
      <c r="C4" s="768"/>
      <c r="D4" s="769" t="s">
        <v>20</v>
      </c>
      <c r="E4" s="769"/>
      <c r="F4" s="769"/>
      <c r="G4" s="769"/>
      <c r="H4" s="769"/>
      <c r="I4" s="769"/>
      <c r="J4" s="769"/>
      <c r="L4" s="821"/>
      <c r="M4" s="821"/>
      <c r="N4" s="821"/>
      <c r="O4" s="769" t="s">
        <v>20</v>
      </c>
      <c r="P4" s="769"/>
      <c r="Q4" s="769"/>
      <c r="R4" s="769"/>
      <c r="S4" s="769"/>
      <c r="T4" s="769"/>
      <c r="U4" s="769"/>
    </row>
    <row r="5" spans="1:22" ht="9.75" customHeight="1" x14ac:dyDescent="0.25">
      <c r="A5" s="22"/>
      <c r="J5" s="23"/>
      <c r="L5" s="22"/>
      <c r="U5" s="23"/>
    </row>
    <row r="6" spans="1:22" s="21" customFormat="1" ht="37.5" customHeight="1" x14ac:dyDescent="0.3">
      <c r="A6" s="202" t="s">
        <v>460</v>
      </c>
      <c r="B6" s="203" t="s">
        <v>22</v>
      </c>
      <c r="C6" s="204">
        <v>7.1099999999999977</v>
      </c>
      <c r="D6" s="205"/>
      <c r="E6" s="777" t="s">
        <v>371</v>
      </c>
      <c r="F6" s="777"/>
      <c r="G6" s="777"/>
      <c r="H6" s="777"/>
      <c r="I6" s="202" t="s">
        <v>23</v>
      </c>
      <c r="J6" s="206" t="s">
        <v>9</v>
      </c>
      <c r="L6" s="202" t="s">
        <v>460</v>
      </c>
      <c r="M6" s="203" t="s">
        <v>22</v>
      </c>
      <c r="N6" s="204">
        <f>C6</f>
        <v>7.1099999999999977</v>
      </c>
      <c r="O6" s="205"/>
      <c r="P6" s="777" t="str">
        <f>E6</f>
        <v xml:space="preserve">Suministro e Instalacion de led deco bolardo de 10w y  estructura de anclaje para soportar bolardo de luminaria según especificaciones en el plano eléctrico </v>
      </c>
      <c r="Q6" s="777"/>
      <c r="R6" s="777"/>
      <c r="S6" s="777"/>
      <c r="T6" s="202" t="s">
        <v>23</v>
      </c>
      <c r="U6" s="206" t="str">
        <f>J6</f>
        <v>und</v>
      </c>
    </row>
    <row r="7" spans="1:22" ht="15" customHeight="1" x14ac:dyDescent="0.25">
      <c r="A7" s="22"/>
      <c r="B7" s="772" t="s">
        <v>24</v>
      </c>
      <c r="C7" s="772"/>
      <c r="D7" s="772"/>
      <c r="E7" s="772"/>
      <c r="F7" s="772"/>
      <c r="G7" s="772"/>
      <c r="H7" s="772"/>
      <c r="I7" s="772"/>
      <c r="J7" s="772"/>
      <c r="L7" s="22"/>
      <c r="M7" s="772" t="s">
        <v>24</v>
      </c>
      <c r="N7" s="772"/>
      <c r="O7" s="772"/>
      <c r="P7" s="772"/>
      <c r="Q7" s="772"/>
      <c r="R7" s="772"/>
      <c r="S7" s="772"/>
      <c r="T7" s="772"/>
      <c r="U7" s="772"/>
    </row>
    <row r="8" spans="1:22"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2" ht="15" customHeight="1" x14ac:dyDescent="0.25">
      <c r="A9" s="22"/>
      <c r="B9" s="771" t="s">
        <v>30</v>
      </c>
      <c r="C9" s="771"/>
      <c r="D9" s="771"/>
      <c r="E9" s="771"/>
      <c r="F9" s="771"/>
      <c r="G9" s="206"/>
      <c r="H9" s="181"/>
      <c r="I9" s="208">
        <v>0.05</v>
      </c>
      <c r="J9" s="181">
        <f>ROUND(I9*J44,0)</f>
        <v>2315</v>
      </c>
      <c r="L9" s="22"/>
      <c r="M9" s="771" t="s">
        <v>30</v>
      </c>
      <c r="N9" s="771"/>
      <c r="O9" s="771"/>
      <c r="P9" s="771"/>
      <c r="Q9" s="771"/>
      <c r="R9" s="206"/>
      <c r="S9" s="181"/>
      <c r="T9" s="208">
        <v>0.05</v>
      </c>
      <c r="U9" s="181">
        <f>ROUND(T9*U45,0)</f>
        <v>1922</v>
      </c>
      <c r="V9" s="239" t="s">
        <v>461</v>
      </c>
    </row>
    <row r="10" spans="1:22" ht="15" customHeight="1" x14ac:dyDescent="0.25">
      <c r="A10" s="22"/>
      <c r="B10" s="777"/>
      <c r="C10" s="777"/>
      <c r="D10" s="777"/>
      <c r="E10" s="777"/>
      <c r="F10" s="777"/>
      <c r="G10" s="206"/>
      <c r="H10" s="181" t="s">
        <v>501</v>
      </c>
      <c r="I10" s="180"/>
      <c r="J10" s="181">
        <f>IF(B10="",0,ROUND(H10/I10,0))</f>
        <v>0</v>
      </c>
      <c r="L10" s="22"/>
      <c r="M10" s="777"/>
      <c r="N10" s="777"/>
      <c r="O10" s="777"/>
      <c r="P10" s="777"/>
      <c r="Q10" s="777"/>
      <c r="R10" s="206"/>
      <c r="S10" s="181" t="s">
        <v>501</v>
      </c>
      <c r="T10" s="180"/>
      <c r="U10" s="181">
        <f>IF(M10="",0,ROUND(S10/T10,0))</f>
        <v>0</v>
      </c>
    </row>
    <row r="11" spans="1:22" ht="15" customHeight="1" x14ac:dyDescent="0.25">
      <c r="A11" s="22"/>
      <c r="B11" s="771"/>
      <c r="C11" s="771"/>
      <c r="D11" s="771"/>
      <c r="E11" s="771"/>
      <c r="F11" s="771"/>
      <c r="G11" s="206"/>
      <c r="H11" s="181" t="s">
        <v>501</v>
      </c>
      <c r="I11" s="180"/>
      <c r="J11" s="181">
        <f t="shared" ref="J11:J15" si="1">IF(B11="",0,ROUND(H11/I11,0))</f>
        <v>0</v>
      </c>
      <c r="L11" s="22"/>
      <c r="M11" s="771"/>
      <c r="N11" s="771"/>
      <c r="O11" s="771"/>
      <c r="P11" s="771"/>
      <c r="Q11" s="771"/>
      <c r="R11" s="206"/>
      <c r="S11" s="181" t="s">
        <v>501</v>
      </c>
      <c r="T11" s="180"/>
      <c r="U11" s="181">
        <f t="shared" ref="U11:U15" si="2">IF(M11="",0,ROUND(S11/T11,0))</f>
        <v>0</v>
      </c>
    </row>
    <row r="12" spans="1:22" ht="15" customHeight="1" x14ac:dyDescent="0.25">
      <c r="A12" s="22"/>
      <c r="B12" s="771"/>
      <c r="C12" s="771"/>
      <c r="D12" s="771"/>
      <c r="E12" s="771"/>
      <c r="F12" s="771"/>
      <c r="G12" s="206" t="s">
        <v>501</v>
      </c>
      <c r="H12" s="181" t="s">
        <v>501</v>
      </c>
      <c r="I12" s="180"/>
      <c r="J12" s="181">
        <f t="shared" si="1"/>
        <v>0</v>
      </c>
      <c r="L12" s="22"/>
      <c r="M12" s="771"/>
      <c r="N12" s="771"/>
      <c r="O12" s="771"/>
      <c r="P12" s="771"/>
      <c r="Q12" s="771"/>
      <c r="R12" s="206" t="s">
        <v>501</v>
      </c>
      <c r="S12" s="181" t="s">
        <v>501</v>
      </c>
      <c r="T12" s="180"/>
      <c r="U12" s="181">
        <f t="shared" si="2"/>
        <v>0</v>
      </c>
    </row>
    <row r="13" spans="1:22" ht="15" customHeight="1" x14ac:dyDescent="0.25">
      <c r="A13" s="22"/>
      <c r="B13" s="771"/>
      <c r="C13" s="771"/>
      <c r="D13" s="771"/>
      <c r="E13" s="771"/>
      <c r="F13" s="771"/>
      <c r="G13" s="206" t="s">
        <v>501</v>
      </c>
      <c r="H13" s="181" t="s">
        <v>501</v>
      </c>
      <c r="I13" s="180"/>
      <c r="J13" s="181">
        <f t="shared" si="1"/>
        <v>0</v>
      </c>
      <c r="L13" s="22"/>
      <c r="M13" s="771"/>
      <c r="N13" s="771"/>
      <c r="O13" s="771"/>
      <c r="P13" s="771"/>
      <c r="Q13" s="771"/>
      <c r="R13" s="206" t="s">
        <v>501</v>
      </c>
      <c r="S13" s="181" t="s">
        <v>501</v>
      </c>
      <c r="T13" s="180"/>
      <c r="U13" s="181">
        <f t="shared" si="2"/>
        <v>0</v>
      </c>
    </row>
    <row r="14" spans="1:22" ht="15" customHeight="1" x14ac:dyDescent="0.25">
      <c r="A14" s="22"/>
      <c r="B14" s="771"/>
      <c r="C14" s="771"/>
      <c r="D14" s="771"/>
      <c r="E14" s="771"/>
      <c r="F14" s="771"/>
      <c r="G14" s="206" t="s">
        <v>501</v>
      </c>
      <c r="H14" s="181" t="s">
        <v>501</v>
      </c>
      <c r="I14" s="180"/>
      <c r="J14" s="181">
        <f t="shared" si="1"/>
        <v>0</v>
      </c>
      <c r="L14" s="22"/>
      <c r="M14" s="771"/>
      <c r="N14" s="771"/>
      <c r="O14" s="771"/>
      <c r="P14" s="771"/>
      <c r="Q14" s="771"/>
      <c r="R14" s="206" t="s">
        <v>501</v>
      </c>
      <c r="S14" s="181" t="s">
        <v>501</v>
      </c>
      <c r="T14" s="180"/>
      <c r="U14" s="181">
        <f t="shared" si="2"/>
        <v>0</v>
      </c>
    </row>
    <row r="15" spans="1:22" ht="15" customHeight="1" x14ac:dyDescent="0.25">
      <c r="A15" s="22"/>
      <c r="B15" s="771"/>
      <c r="C15" s="771"/>
      <c r="D15" s="771"/>
      <c r="E15" s="771"/>
      <c r="F15" s="771"/>
      <c r="G15" s="206" t="s">
        <v>501</v>
      </c>
      <c r="H15" s="181" t="s">
        <v>501</v>
      </c>
      <c r="I15" s="180"/>
      <c r="J15" s="181">
        <f t="shared" si="1"/>
        <v>0</v>
      </c>
      <c r="L15" s="22"/>
      <c r="M15" s="771"/>
      <c r="N15" s="771"/>
      <c r="O15" s="771"/>
      <c r="P15" s="771"/>
      <c r="Q15" s="771"/>
      <c r="R15" s="206" t="s">
        <v>501</v>
      </c>
      <c r="S15" s="181" t="s">
        <v>501</v>
      </c>
      <c r="T15" s="180"/>
      <c r="U15" s="181">
        <f t="shared" si="2"/>
        <v>0</v>
      </c>
    </row>
    <row r="16" spans="1:22" ht="15" customHeight="1" x14ac:dyDescent="0.25">
      <c r="A16" s="22"/>
      <c r="B16" s="771"/>
      <c r="C16" s="771"/>
      <c r="D16" s="771"/>
      <c r="E16" s="771"/>
      <c r="F16" s="771"/>
      <c r="G16" s="206" t="s">
        <v>501</v>
      </c>
      <c r="H16" s="181" t="s">
        <v>501</v>
      </c>
      <c r="I16" s="180"/>
      <c r="J16" s="181"/>
      <c r="L16" s="22"/>
      <c r="M16" s="771"/>
      <c r="N16" s="771"/>
      <c r="O16" s="771"/>
      <c r="P16" s="771"/>
      <c r="Q16" s="771"/>
      <c r="R16" s="206" t="s">
        <v>501</v>
      </c>
      <c r="S16" s="181" t="s">
        <v>501</v>
      </c>
      <c r="T16" s="180"/>
      <c r="U16" s="181"/>
    </row>
    <row r="17" spans="1:22" ht="15" customHeight="1" x14ac:dyDescent="0.25">
      <c r="A17" s="22"/>
      <c r="B17" s="772" t="s">
        <v>31</v>
      </c>
      <c r="C17" s="772"/>
      <c r="D17" s="772"/>
      <c r="E17" s="772"/>
      <c r="F17" s="772"/>
      <c r="G17" s="772"/>
      <c r="H17" s="772"/>
      <c r="I17" s="772"/>
      <c r="J17" s="181">
        <f>SUM(J9:J16)</f>
        <v>2315</v>
      </c>
      <c r="L17" s="22"/>
      <c r="M17" s="772" t="s">
        <v>31</v>
      </c>
      <c r="N17" s="772"/>
      <c r="O17" s="772"/>
      <c r="P17" s="772"/>
      <c r="Q17" s="772"/>
      <c r="R17" s="772"/>
      <c r="S17" s="772"/>
      <c r="T17" s="772"/>
      <c r="U17" s="181">
        <f>SUM(U9:U16)</f>
        <v>1922</v>
      </c>
    </row>
    <row r="18" spans="1:22" ht="7.5" customHeight="1" x14ac:dyDescent="0.25">
      <c r="A18" s="22"/>
      <c r="B18" s="25"/>
      <c r="C18" s="25"/>
      <c r="D18" s="25"/>
      <c r="E18" s="25"/>
      <c r="F18" s="25"/>
      <c r="G18" s="25"/>
      <c r="H18" s="25"/>
      <c r="I18" s="25"/>
      <c r="J18" s="26"/>
      <c r="L18" s="22"/>
      <c r="M18" s="25"/>
      <c r="N18" s="25"/>
      <c r="O18" s="25"/>
      <c r="P18" s="25"/>
      <c r="Q18" s="25"/>
      <c r="R18" s="25"/>
      <c r="S18" s="25"/>
      <c r="T18" s="25"/>
      <c r="U18" s="26"/>
    </row>
    <row r="19" spans="1:22" ht="15" customHeight="1" x14ac:dyDescent="0.25">
      <c r="A19" s="22"/>
      <c r="B19" s="772" t="s">
        <v>32</v>
      </c>
      <c r="C19" s="772"/>
      <c r="D19" s="772"/>
      <c r="E19" s="772"/>
      <c r="F19" s="772"/>
      <c r="G19" s="772"/>
      <c r="H19" s="772"/>
      <c r="I19" s="772"/>
      <c r="J19" s="772"/>
      <c r="L19" s="22"/>
      <c r="M19" s="772" t="s">
        <v>32</v>
      </c>
      <c r="N19" s="772"/>
      <c r="O19" s="772"/>
      <c r="P19" s="772"/>
      <c r="Q19" s="772"/>
      <c r="R19" s="772"/>
      <c r="S19" s="772"/>
      <c r="T19" s="772"/>
      <c r="U19" s="772"/>
    </row>
    <row r="20" spans="1:22" ht="26.4" x14ac:dyDescent="0.25">
      <c r="A20" s="22"/>
      <c r="B20" s="774" t="s">
        <v>33</v>
      </c>
      <c r="C20" s="774"/>
      <c r="D20" s="774"/>
      <c r="E20" s="774"/>
      <c r="F20" s="205" t="s">
        <v>19</v>
      </c>
      <c r="G20" s="206" t="s">
        <v>34</v>
      </c>
      <c r="H20" s="207" t="s">
        <v>35</v>
      </c>
      <c r="I20" s="207" t="s">
        <v>36</v>
      </c>
      <c r="J20" s="207" t="s">
        <v>29</v>
      </c>
      <c r="L20" s="22"/>
      <c r="M20" s="774" t="s">
        <v>33</v>
      </c>
      <c r="N20" s="774"/>
      <c r="O20" s="774"/>
      <c r="P20" s="774"/>
      <c r="Q20" s="205" t="s">
        <v>19</v>
      </c>
      <c r="R20" s="206" t="s">
        <v>34</v>
      </c>
      <c r="S20" s="207" t="s">
        <v>35</v>
      </c>
      <c r="T20" s="207" t="s">
        <v>36</v>
      </c>
      <c r="U20" s="207" t="s">
        <v>29</v>
      </c>
    </row>
    <row r="21" spans="1:22" x14ac:dyDescent="0.25">
      <c r="A21" s="22"/>
      <c r="B21" s="815" t="s">
        <v>490</v>
      </c>
      <c r="C21" s="816"/>
      <c r="D21" s="816"/>
      <c r="E21" s="817"/>
      <c r="F21" s="245">
        <v>1</v>
      </c>
      <c r="G21" s="246" t="s">
        <v>134</v>
      </c>
      <c r="H21" s="247"/>
      <c r="I21" s="248">
        <f>'7.10'!I21</f>
        <v>256300</v>
      </c>
      <c r="J21" s="248">
        <f>IF(I21="",0,ROUND((+F21*I21*(1+H21)),0))</f>
        <v>256300</v>
      </c>
      <c r="L21" s="22"/>
      <c r="M21" s="791" t="s">
        <v>490</v>
      </c>
      <c r="N21" s="792"/>
      <c r="O21" s="792"/>
      <c r="P21" s="793"/>
      <c r="Q21" s="180">
        <v>1</v>
      </c>
      <c r="R21" s="206" t="s">
        <v>134</v>
      </c>
      <c r="S21" s="209"/>
      <c r="T21" s="181">
        <v>256300</v>
      </c>
      <c r="U21" s="181">
        <f>IF(T21="",0,ROUND((+Q21*T21*(1+S21)),0))</f>
        <v>256300</v>
      </c>
      <c r="V21" s="264" t="s">
        <v>448</v>
      </c>
    </row>
    <row r="22" spans="1:22" ht="15" customHeight="1" x14ac:dyDescent="0.25">
      <c r="A22" s="22"/>
      <c r="B22" s="791" t="s">
        <v>411</v>
      </c>
      <c r="C22" s="792"/>
      <c r="D22" s="792"/>
      <c r="E22" s="793"/>
      <c r="F22" s="180">
        <v>1</v>
      </c>
      <c r="G22" s="206" t="s">
        <v>9</v>
      </c>
      <c r="H22" s="209"/>
      <c r="I22" s="181">
        <v>13500</v>
      </c>
      <c r="J22" s="181">
        <f t="shared" ref="J22:J27" si="3">IF(I22="",0,ROUND((+F22*I22*(1+H22)),0))</f>
        <v>13500</v>
      </c>
      <c r="K22" s="117"/>
      <c r="L22" s="22"/>
      <c r="M22" s="791" t="s">
        <v>411</v>
      </c>
      <c r="N22" s="792"/>
      <c r="O22" s="792"/>
      <c r="P22" s="793"/>
      <c r="Q22" s="180">
        <v>1</v>
      </c>
      <c r="R22" s="206" t="s">
        <v>9</v>
      </c>
      <c r="S22" s="209"/>
      <c r="T22" s="181">
        <v>13500</v>
      </c>
      <c r="U22" s="181">
        <f t="shared" ref="U22:U27" si="4">IF(T22="",0,ROUND((+Q22*T22*(1+S22)),0))</f>
        <v>13500</v>
      </c>
      <c r="V22" s="264" t="s">
        <v>448</v>
      </c>
    </row>
    <row r="23" spans="1:22" ht="15" customHeight="1" x14ac:dyDescent="0.25">
      <c r="A23" s="22"/>
      <c r="B23" s="791"/>
      <c r="C23" s="792"/>
      <c r="D23" s="792"/>
      <c r="E23" s="793"/>
      <c r="F23" s="180"/>
      <c r="G23" s="206" t="s">
        <v>501</v>
      </c>
      <c r="H23" s="209"/>
      <c r="I23" s="181" t="s">
        <v>501</v>
      </c>
      <c r="J23" s="181">
        <f t="shared" si="3"/>
        <v>0</v>
      </c>
      <c r="K23" s="117"/>
      <c r="L23" s="22"/>
      <c r="M23" s="791"/>
      <c r="N23" s="792"/>
      <c r="O23" s="792"/>
      <c r="P23" s="793"/>
      <c r="Q23" s="180"/>
      <c r="R23" s="206" t="s">
        <v>501</v>
      </c>
      <c r="S23" s="209"/>
      <c r="T23" s="181" t="s">
        <v>501</v>
      </c>
      <c r="U23" s="181">
        <f t="shared" si="4"/>
        <v>0</v>
      </c>
    </row>
    <row r="24" spans="1:22" ht="15" customHeight="1" x14ac:dyDescent="0.25">
      <c r="A24" s="22"/>
      <c r="B24" s="791"/>
      <c r="C24" s="792"/>
      <c r="D24" s="792"/>
      <c r="E24" s="793"/>
      <c r="F24" s="180"/>
      <c r="G24" s="206" t="s">
        <v>501</v>
      </c>
      <c r="H24" s="209"/>
      <c r="I24" s="181" t="s">
        <v>501</v>
      </c>
      <c r="J24" s="181">
        <f t="shared" si="3"/>
        <v>0</v>
      </c>
      <c r="K24" s="117"/>
      <c r="L24" s="22"/>
      <c r="M24" s="791"/>
      <c r="N24" s="792"/>
      <c r="O24" s="792"/>
      <c r="P24" s="793"/>
      <c r="Q24" s="180"/>
      <c r="R24" s="206" t="s">
        <v>501</v>
      </c>
      <c r="S24" s="209"/>
      <c r="T24" s="181" t="s">
        <v>501</v>
      </c>
      <c r="U24" s="181">
        <f t="shared" si="4"/>
        <v>0</v>
      </c>
    </row>
    <row r="25" spans="1:22" ht="15" customHeight="1" x14ac:dyDescent="0.25">
      <c r="A25" s="22"/>
      <c r="B25" s="791"/>
      <c r="C25" s="792"/>
      <c r="D25" s="792"/>
      <c r="E25" s="793"/>
      <c r="F25" s="180"/>
      <c r="G25" s="206" t="s">
        <v>501</v>
      </c>
      <c r="H25" s="209"/>
      <c r="I25" s="181" t="s">
        <v>501</v>
      </c>
      <c r="J25" s="181">
        <f t="shared" si="3"/>
        <v>0</v>
      </c>
      <c r="L25" s="22"/>
      <c r="M25" s="791"/>
      <c r="N25" s="792"/>
      <c r="O25" s="792"/>
      <c r="P25" s="793"/>
      <c r="Q25" s="180"/>
      <c r="R25" s="206" t="s">
        <v>501</v>
      </c>
      <c r="S25" s="209"/>
      <c r="T25" s="181" t="s">
        <v>501</v>
      </c>
      <c r="U25" s="181">
        <f t="shared" si="4"/>
        <v>0</v>
      </c>
    </row>
    <row r="26" spans="1:22" ht="15" customHeight="1" x14ac:dyDescent="0.25">
      <c r="A26" s="22"/>
      <c r="B26" s="791"/>
      <c r="C26" s="792"/>
      <c r="D26" s="792"/>
      <c r="E26" s="793"/>
      <c r="F26" s="180"/>
      <c r="G26" s="206" t="s">
        <v>501</v>
      </c>
      <c r="H26" s="209"/>
      <c r="I26" s="181" t="s">
        <v>501</v>
      </c>
      <c r="J26" s="181">
        <f t="shared" si="3"/>
        <v>0</v>
      </c>
      <c r="L26" s="22"/>
      <c r="M26" s="791"/>
      <c r="N26" s="792"/>
      <c r="O26" s="792"/>
      <c r="P26" s="793"/>
      <c r="Q26" s="180"/>
      <c r="R26" s="206" t="s">
        <v>501</v>
      </c>
      <c r="S26" s="209"/>
      <c r="T26" s="181" t="s">
        <v>501</v>
      </c>
      <c r="U26" s="181">
        <f t="shared" si="4"/>
        <v>0</v>
      </c>
    </row>
    <row r="27" spans="1:22" ht="15" customHeight="1" x14ac:dyDescent="0.25">
      <c r="A27" s="22"/>
      <c r="B27" s="791"/>
      <c r="C27" s="792"/>
      <c r="D27" s="792"/>
      <c r="E27" s="793"/>
      <c r="F27" s="180"/>
      <c r="G27" s="206" t="s">
        <v>501</v>
      </c>
      <c r="H27" s="209"/>
      <c r="I27" s="181" t="s">
        <v>501</v>
      </c>
      <c r="J27" s="181">
        <f t="shared" si="3"/>
        <v>0</v>
      </c>
      <c r="L27" s="22"/>
      <c r="M27" s="791"/>
      <c r="N27" s="792"/>
      <c r="O27" s="792"/>
      <c r="P27" s="793"/>
      <c r="Q27" s="180"/>
      <c r="R27" s="206" t="s">
        <v>501</v>
      </c>
      <c r="S27" s="209"/>
      <c r="T27" s="181" t="s">
        <v>501</v>
      </c>
      <c r="U27" s="181">
        <f t="shared" si="4"/>
        <v>0</v>
      </c>
    </row>
    <row r="28" spans="1:22" ht="15" customHeight="1" x14ac:dyDescent="0.25">
      <c r="A28" s="22"/>
      <c r="B28" s="785"/>
      <c r="C28" s="786"/>
      <c r="D28" s="786"/>
      <c r="E28" s="787"/>
      <c r="F28" s="180"/>
      <c r="G28" s="206" t="s">
        <v>501</v>
      </c>
      <c r="H28" s="209"/>
      <c r="I28" s="181" t="s">
        <v>501</v>
      </c>
      <c r="J28" s="181"/>
      <c r="L28" s="22"/>
      <c r="M28" s="785"/>
      <c r="N28" s="786"/>
      <c r="O28" s="786"/>
      <c r="P28" s="787"/>
      <c r="Q28" s="180"/>
      <c r="R28" s="206" t="s">
        <v>501</v>
      </c>
      <c r="S28" s="209"/>
      <c r="T28" s="181" t="s">
        <v>501</v>
      </c>
      <c r="U28" s="181"/>
    </row>
    <row r="29" spans="1:22" ht="15" customHeight="1" x14ac:dyDescent="0.25">
      <c r="A29" s="22"/>
      <c r="B29" s="772" t="s">
        <v>37</v>
      </c>
      <c r="C29" s="772"/>
      <c r="D29" s="772"/>
      <c r="E29" s="772"/>
      <c r="F29" s="772"/>
      <c r="G29" s="772"/>
      <c r="H29" s="772"/>
      <c r="I29" s="772"/>
      <c r="J29" s="181">
        <f>SUM(J21:J28)</f>
        <v>269800</v>
      </c>
      <c r="L29" s="22"/>
      <c r="M29" s="772" t="s">
        <v>37</v>
      </c>
      <c r="N29" s="772"/>
      <c r="O29" s="772"/>
      <c r="P29" s="772"/>
      <c r="Q29" s="772"/>
      <c r="R29" s="772"/>
      <c r="S29" s="772"/>
      <c r="T29" s="772"/>
      <c r="U29" s="181">
        <f>SUM(U21:U28)</f>
        <v>269800</v>
      </c>
    </row>
    <row r="30" spans="1:22" ht="7.5" customHeight="1" x14ac:dyDescent="0.25">
      <c r="A30" s="22"/>
      <c r="B30" s="25"/>
      <c r="C30" s="25"/>
      <c r="D30" s="25"/>
      <c r="E30" s="25"/>
      <c r="F30" s="25"/>
      <c r="G30" s="25"/>
      <c r="H30" s="25"/>
      <c r="I30" s="25"/>
      <c r="J30" s="26"/>
      <c r="L30" s="22"/>
      <c r="M30" s="25"/>
      <c r="N30" s="25"/>
      <c r="O30" s="25"/>
      <c r="P30" s="25"/>
      <c r="Q30" s="25"/>
      <c r="R30" s="25"/>
      <c r="S30" s="25"/>
      <c r="T30" s="25"/>
      <c r="U30" s="26"/>
    </row>
    <row r="31" spans="1:22" ht="15" customHeight="1" x14ac:dyDescent="0.25">
      <c r="A31" s="22"/>
      <c r="B31" s="772" t="s">
        <v>38</v>
      </c>
      <c r="C31" s="772"/>
      <c r="D31" s="772"/>
      <c r="E31" s="772"/>
      <c r="F31" s="772"/>
      <c r="G31" s="772"/>
      <c r="H31" s="772"/>
      <c r="I31" s="772"/>
      <c r="J31" s="772"/>
      <c r="L31" s="22"/>
      <c r="M31" s="772" t="s">
        <v>38</v>
      </c>
      <c r="N31" s="772"/>
      <c r="O31" s="772"/>
      <c r="P31" s="772"/>
      <c r="Q31" s="772"/>
      <c r="R31" s="772"/>
      <c r="S31" s="772"/>
      <c r="T31" s="772"/>
      <c r="U31" s="772"/>
    </row>
    <row r="32" spans="1:22" x14ac:dyDescent="0.25">
      <c r="A32" s="22"/>
      <c r="B32" s="774" t="s">
        <v>33</v>
      </c>
      <c r="C32" s="774"/>
      <c r="D32" s="774"/>
      <c r="E32" s="774"/>
      <c r="F32" s="774"/>
      <c r="G32" s="206" t="s">
        <v>133</v>
      </c>
      <c r="H32" s="206" t="s">
        <v>132</v>
      </c>
      <c r="I32" s="206" t="s">
        <v>39</v>
      </c>
      <c r="J32" s="207" t="s">
        <v>29</v>
      </c>
      <c r="L32" s="22"/>
      <c r="M32" s="774" t="s">
        <v>33</v>
      </c>
      <c r="N32" s="774"/>
      <c r="O32" s="774"/>
      <c r="P32" s="774"/>
      <c r="Q32" s="774"/>
      <c r="R32" s="206" t="s">
        <v>133</v>
      </c>
      <c r="S32" s="206" t="s">
        <v>132</v>
      </c>
      <c r="T32" s="206" t="s">
        <v>39</v>
      </c>
      <c r="U32" s="207" t="s">
        <v>29</v>
      </c>
    </row>
    <row r="33" spans="1:22" ht="15" customHeight="1" x14ac:dyDescent="0.25">
      <c r="A33" s="22"/>
      <c r="B33" s="771"/>
      <c r="C33" s="771"/>
      <c r="D33" s="771"/>
      <c r="E33" s="771"/>
      <c r="F33" s="771"/>
      <c r="G33" s="206"/>
      <c r="H33" s="180"/>
      <c r="I33" s="181"/>
      <c r="J33" s="181">
        <f>ROUND(I33*H33,0)</f>
        <v>0</v>
      </c>
      <c r="L33" s="22"/>
      <c r="M33" s="771"/>
      <c r="N33" s="771"/>
      <c r="O33" s="771"/>
      <c r="P33" s="771"/>
      <c r="Q33" s="771"/>
      <c r="R33" s="206"/>
      <c r="S33" s="180"/>
      <c r="T33" s="181"/>
      <c r="U33" s="181">
        <f>ROUND(T33*S33,0)</f>
        <v>0</v>
      </c>
    </row>
    <row r="34" spans="1:22" ht="15" customHeight="1" x14ac:dyDescent="0.25">
      <c r="A34" s="22"/>
      <c r="B34" s="771"/>
      <c r="C34" s="771"/>
      <c r="D34" s="771"/>
      <c r="E34" s="771"/>
      <c r="F34" s="771"/>
      <c r="G34" s="206"/>
      <c r="H34" s="180"/>
      <c r="I34" s="181"/>
      <c r="J34" s="181">
        <v>0</v>
      </c>
      <c r="L34" s="22"/>
      <c r="M34" s="771"/>
      <c r="N34" s="771"/>
      <c r="O34" s="771"/>
      <c r="P34" s="771"/>
      <c r="Q34" s="771"/>
      <c r="R34" s="206"/>
      <c r="S34" s="180"/>
      <c r="T34" s="181"/>
      <c r="U34" s="181">
        <v>0</v>
      </c>
    </row>
    <row r="35" spans="1:22" ht="15" customHeight="1" x14ac:dyDescent="0.25">
      <c r="A35" s="22"/>
      <c r="B35" s="771"/>
      <c r="C35" s="771"/>
      <c r="D35" s="771"/>
      <c r="E35" s="771"/>
      <c r="F35" s="771"/>
      <c r="G35" s="206"/>
      <c r="H35" s="180"/>
      <c r="I35" s="181"/>
      <c r="J35" s="181">
        <v>0</v>
      </c>
      <c r="L35" s="22"/>
      <c r="M35" s="771"/>
      <c r="N35" s="771"/>
      <c r="O35" s="771"/>
      <c r="P35" s="771"/>
      <c r="Q35" s="771"/>
      <c r="R35" s="206"/>
      <c r="S35" s="180"/>
      <c r="T35" s="181"/>
      <c r="U35" s="181">
        <v>0</v>
      </c>
    </row>
    <row r="36" spans="1:22" ht="15" customHeight="1" x14ac:dyDescent="0.25">
      <c r="A36" s="22"/>
      <c r="B36" s="771"/>
      <c r="C36" s="771"/>
      <c r="D36" s="771"/>
      <c r="E36" s="771"/>
      <c r="F36" s="771"/>
      <c r="G36" s="206"/>
      <c r="H36" s="206"/>
      <c r="I36" s="181"/>
      <c r="J36" s="181">
        <v>0</v>
      </c>
      <c r="L36" s="22"/>
      <c r="M36" s="771"/>
      <c r="N36" s="771"/>
      <c r="O36" s="771"/>
      <c r="P36" s="771"/>
      <c r="Q36" s="771"/>
      <c r="R36" s="206"/>
      <c r="S36" s="206"/>
      <c r="T36" s="181"/>
      <c r="U36" s="181">
        <v>0</v>
      </c>
    </row>
    <row r="37" spans="1:22" ht="15" customHeight="1" x14ac:dyDescent="0.25">
      <c r="A37" s="22"/>
      <c r="B37" s="772" t="s">
        <v>40</v>
      </c>
      <c r="C37" s="772"/>
      <c r="D37" s="772"/>
      <c r="E37" s="772"/>
      <c r="F37" s="772"/>
      <c r="G37" s="772"/>
      <c r="H37" s="772"/>
      <c r="I37" s="772"/>
      <c r="J37" s="181">
        <f>SUM(J33:J36)</f>
        <v>0</v>
      </c>
      <c r="L37" s="22"/>
      <c r="M37" s="772" t="s">
        <v>40</v>
      </c>
      <c r="N37" s="772"/>
      <c r="O37" s="772"/>
      <c r="P37" s="772"/>
      <c r="Q37" s="772"/>
      <c r="R37" s="772"/>
      <c r="S37" s="772"/>
      <c r="T37" s="772"/>
      <c r="U37" s="181">
        <f>SUM(U33:U36)</f>
        <v>0</v>
      </c>
    </row>
    <row r="38" spans="1:22" ht="7.5" customHeight="1" x14ac:dyDescent="0.25">
      <c r="A38" s="22"/>
      <c r="B38" s="25"/>
      <c r="C38" s="25"/>
      <c r="D38" s="25"/>
      <c r="E38" s="25"/>
      <c r="F38" s="25"/>
      <c r="G38" s="25"/>
      <c r="H38" s="25"/>
      <c r="I38" s="25"/>
      <c r="J38" s="26"/>
      <c r="L38" s="22"/>
      <c r="M38" s="25"/>
      <c r="N38" s="25"/>
      <c r="O38" s="25"/>
      <c r="P38" s="25"/>
      <c r="Q38" s="25"/>
      <c r="R38" s="25"/>
      <c r="S38" s="25"/>
      <c r="T38" s="25"/>
      <c r="U38" s="26"/>
    </row>
    <row r="39" spans="1:22" ht="15" customHeight="1" x14ac:dyDescent="0.25">
      <c r="A39" s="22"/>
      <c r="B39" s="772" t="s">
        <v>41</v>
      </c>
      <c r="C39" s="772"/>
      <c r="D39" s="772"/>
      <c r="E39" s="772"/>
      <c r="F39" s="772"/>
      <c r="G39" s="772"/>
      <c r="H39" s="772"/>
      <c r="I39" s="772"/>
      <c r="J39" s="772"/>
      <c r="L39" s="22"/>
      <c r="M39" s="772" t="s">
        <v>41</v>
      </c>
      <c r="N39" s="772"/>
      <c r="O39" s="772"/>
      <c r="P39" s="772"/>
      <c r="Q39" s="772"/>
      <c r="R39" s="772"/>
      <c r="S39" s="772"/>
      <c r="T39" s="772"/>
      <c r="U39" s="772"/>
    </row>
    <row r="40" spans="1:22" ht="26.4" x14ac:dyDescent="0.25">
      <c r="A40" s="22"/>
      <c r="B40" s="774" t="s">
        <v>4</v>
      </c>
      <c r="C40" s="774"/>
      <c r="D40" s="774"/>
      <c r="E40" s="774"/>
      <c r="F40" s="774"/>
      <c r="G40" s="207" t="s">
        <v>51</v>
      </c>
      <c r="H40" s="207" t="s">
        <v>19</v>
      </c>
      <c r="I40" s="207" t="s">
        <v>28</v>
      </c>
      <c r="J40" s="207" t="s">
        <v>29</v>
      </c>
      <c r="L40" s="22"/>
      <c r="M40" s="774" t="s">
        <v>4</v>
      </c>
      <c r="N40" s="774"/>
      <c r="O40" s="774"/>
      <c r="P40" s="774"/>
      <c r="Q40" s="774"/>
      <c r="R40" s="207" t="s">
        <v>51</v>
      </c>
      <c r="S40" s="207" t="s">
        <v>19</v>
      </c>
      <c r="T40" s="207" t="s">
        <v>28</v>
      </c>
      <c r="U40" s="207" t="s">
        <v>29</v>
      </c>
    </row>
    <row r="41" spans="1:22" x14ac:dyDescent="0.25">
      <c r="A41" s="22"/>
      <c r="B41" s="814" t="s">
        <v>480</v>
      </c>
      <c r="C41" s="814"/>
      <c r="D41" s="814"/>
      <c r="E41" s="814"/>
      <c r="F41" s="814"/>
      <c r="G41" s="248">
        <v>259402.66</v>
      </c>
      <c r="H41" s="246">
        <v>1</v>
      </c>
      <c r="I41" s="245">
        <v>9</v>
      </c>
      <c r="J41" s="248">
        <f>ROUND(+IF(I41=0,0,G41*H41/I41),0)</f>
        <v>28823</v>
      </c>
      <c r="L41" s="22"/>
      <c r="M41" s="771"/>
      <c r="N41" s="771"/>
      <c r="O41" s="771"/>
      <c r="P41" s="771"/>
      <c r="Q41" s="771"/>
      <c r="R41" s="181"/>
      <c r="S41" s="206"/>
      <c r="T41" s="180"/>
      <c r="U41" s="181"/>
      <c r="V41" s="264"/>
    </row>
    <row r="42" spans="1:22" ht="15" customHeight="1" x14ac:dyDescent="0.25">
      <c r="A42" s="22"/>
      <c r="B42" s="814" t="s">
        <v>386</v>
      </c>
      <c r="C42" s="814"/>
      <c r="D42" s="814"/>
      <c r="E42" s="814"/>
      <c r="F42" s="814"/>
      <c r="G42" s="248">
        <v>78606.866666666669</v>
      </c>
      <c r="H42" s="246">
        <v>2</v>
      </c>
      <c r="I42" s="245">
        <f>I41</f>
        <v>9</v>
      </c>
      <c r="J42" s="248">
        <f>ROUND(+IF(I42=0,0,G42*H42/I42),0)</f>
        <v>17468</v>
      </c>
      <c r="L42" s="22"/>
      <c r="M42" s="771" t="s">
        <v>385</v>
      </c>
      <c r="N42" s="771"/>
      <c r="O42" s="771"/>
      <c r="P42" s="771"/>
      <c r="Q42" s="771"/>
      <c r="R42" s="181">
        <v>172935.10666666669</v>
      </c>
      <c r="S42" s="206">
        <v>1</v>
      </c>
      <c r="T42" s="180">
        <v>9</v>
      </c>
      <c r="U42" s="181">
        <f>ROUND(+IF(T42=0,0,R42*S42/T42),0)</f>
        <v>19215</v>
      </c>
      <c r="V42" s="264" t="s">
        <v>448</v>
      </c>
    </row>
    <row r="43" spans="1:22" ht="15" customHeight="1" x14ac:dyDescent="0.25">
      <c r="A43" s="22"/>
      <c r="B43" s="771"/>
      <c r="C43" s="771"/>
      <c r="D43" s="771"/>
      <c r="E43" s="771"/>
      <c r="F43" s="771"/>
      <c r="G43" s="181" t="s">
        <v>501</v>
      </c>
      <c r="H43" s="206"/>
      <c r="I43" s="180"/>
      <c r="J43" s="181">
        <f t="shared" ref="J43" si="5">+IF(I43=0,0,G43*H43/I43)</f>
        <v>0</v>
      </c>
      <c r="L43" s="22"/>
      <c r="M43" s="771" t="s">
        <v>386</v>
      </c>
      <c r="N43" s="771"/>
      <c r="O43" s="771"/>
      <c r="P43" s="771"/>
      <c r="Q43" s="771"/>
      <c r="R43" s="181">
        <v>172935.10666666669</v>
      </c>
      <c r="S43" s="206">
        <v>1</v>
      </c>
      <c r="T43" s="180">
        <f>+T42</f>
        <v>9</v>
      </c>
      <c r="U43" s="181">
        <f>ROUND(+IF(T43=0,0,R43*S43/T43),0)</f>
        <v>19215</v>
      </c>
      <c r="V43" s="239" t="s">
        <v>448</v>
      </c>
    </row>
    <row r="44" spans="1:22" ht="15" customHeight="1" x14ac:dyDescent="0.25">
      <c r="A44" s="22"/>
      <c r="B44" s="772" t="s">
        <v>42</v>
      </c>
      <c r="C44" s="772"/>
      <c r="D44" s="772"/>
      <c r="E44" s="772"/>
      <c r="F44" s="772"/>
      <c r="G44" s="772"/>
      <c r="H44" s="772"/>
      <c r="I44" s="772"/>
      <c r="J44" s="181">
        <f>SUM(J41:J43)</f>
        <v>46291</v>
      </c>
      <c r="L44" s="22"/>
      <c r="M44" s="771"/>
      <c r="N44" s="771"/>
      <c r="O44" s="771"/>
      <c r="P44" s="771"/>
      <c r="Q44" s="771"/>
      <c r="R44" s="181" t="s">
        <v>501</v>
      </c>
      <c r="S44" s="206"/>
      <c r="T44" s="180"/>
      <c r="U44" s="181">
        <f t="shared" ref="U44" si="6">+IF(T44=0,0,R44*S44/T44)</f>
        <v>0</v>
      </c>
    </row>
    <row r="45" spans="1:22" ht="15" customHeight="1" x14ac:dyDescent="0.25">
      <c r="A45" s="22"/>
      <c r="B45" s="25"/>
      <c r="C45" s="25"/>
      <c r="D45" s="25"/>
      <c r="E45" s="25"/>
      <c r="F45" s="25"/>
      <c r="G45" s="25"/>
      <c r="H45" s="25"/>
      <c r="I45" s="25"/>
      <c r="J45" s="26"/>
      <c r="L45" s="22"/>
      <c r="M45" s="772" t="s">
        <v>42</v>
      </c>
      <c r="N45" s="772"/>
      <c r="O45" s="772"/>
      <c r="P45" s="772"/>
      <c r="Q45" s="772"/>
      <c r="R45" s="772"/>
      <c r="S45" s="772"/>
      <c r="T45" s="772"/>
      <c r="U45" s="181">
        <f>SUM(U41:U44)</f>
        <v>38430</v>
      </c>
    </row>
    <row r="46" spans="1:22" ht="15.75" customHeight="1" x14ac:dyDescent="0.25">
      <c r="A46" s="27"/>
      <c r="B46" s="773" t="s">
        <v>43</v>
      </c>
      <c r="C46" s="773"/>
      <c r="D46" s="773"/>
      <c r="E46" s="773"/>
      <c r="F46" s="773"/>
      <c r="G46" s="773"/>
      <c r="H46" s="773"/>
      <c r="I46" s="773"/>
      <c r="J46" s="210">
        <f>+J44+J37+J17+J29</f>
        <v>318406</v>
      </c>
      <c r="L46" s="27"/>
      <c r="M46" s="25"/>
      <c r="N46" s="25"/>
      <c r="O46" s="25"/>
      <c r="P46" s="25"/>
      <c r="Q46" s="25"/>
      <c r="R46" s="25"/>
      <c r="S46" s="25"/>
      <c r="T46" s="25"/>
      <c r="U46" s="26"/>
    </row>
    <row r="47" spans="1:22" x14ac:dyDescent="0.25">
      <c r="B47" s="21"/>
      <c r="C47" s="21"/>
      <c r="D47" s="21"/>
      <c r="E47" s="21"/>
      <c r="F47" s="21"/>
      <c r="G47" s="21"/>
      <c r="H47" s="21"/>
      <c r="I47" s="21"/>
      <c r="J47" s="21"/>
      <c r="M47" s="773" t="s">
        <v>43</v>
      </c>
      <c r="N47" s="773"/>
      <c r="O47" s="773"/>
      <c r="P47" s="773"/>
      <c r="Q47" s="773"/>
      <c r="R47" s="773"/>
      <c r="S47" s="773"/>
      <c r="T47" s="773"/>
      <c r="U47" s="210">
        <f>+U45+U37+U17+U29</f>
        <v>310152</v>
      </c>
    </row>
    <row r="49" spans="8:10" ht="13.8" thickBot="1" x14ac:dyDescent="0.3"/>
    <row r="50" spans="8:10" x14ac:dyDescent="0.25">
      <c r="H50" s="251" t="s">
        <v>477</v>
      </c>
      <c r="I50" s="252"/>
      <c r="J50" s="253">
        <v>324275</v>
      </c>
    </row>
    <row r="51" spans="8:10" x14ac:dyDescent="0.25">
      <c r="H51" s="254" t="s">
        <v>469</v>
      </c>
      <c r="I51" s="239"/>
      <c r="J51" s="255">
        <f>+U47</f>
        <v>310152</v>
      </c>
    </row>
    <row r="52" spans="8:10" ht="13.8" thickBot="1" x14ac:dyDescent="0.3">
      <c r="H52" s="256" t="s">
        <v>470</v>
      </c>
      <c r="I52" s="257"/>
      <c r="J52" s="258">
        <f>J46</f>
        <v>318406</v>
      </c>
    </row>
  </sheetData>
  <mergeCells count="85">
    <mergeCell ref="A1:C4"/>
    <mergeCell ref="D1:J1"/>
    <mergeCell ref="L1:N4"/>
    <mergeCell ref="O1:U1"/>
    <mergeCell ref="D2:J2"/>
    <mergeCell ref="O2:U2"/>
    <mergeCell ref="D3:J3"/>
    <mergeCell ref="O3:U3"/>
    <mergeCell ref="D4:J4"/>
    <mergeCell ref="O4:U4"/>
    <mergeCell ref="E6:H6"/>
    <mergeCell ref="P6:S6"/>
    <mergeCell ref="B7:J7"/>
    <mergeCell ref="M7:U7"/>
    <mergeCell ref="B8:F8"/>
    <mergeCell ref="M8:Q8"/>
    <mergeCell ref="B9:F9"/>
    <mergeCell ref="M9:Q9"/>
    <mergeCell ref="B10:F10"/>
    <mergeCell ref="M10:Q10"/>
    <mergeCell ref="B11:F11"/>
    <mergeCell ref="M11:Q11"/>
    <mergeCell ref="B12:F12"/>
    <mergeCell ref="M12:Q12"/>
    <mergeCell ref="B13:F13"/>
    <mergeCell ref="M13:Q13"/>
    <mergeCell ref="B14:F14"/>
    <mergeCell ref="M14:Q14"/>
    <mergeCell ref="B15:F15"/>
    <mergeCell ref="M15:Q15"/>
    <mergeCell ref="B16:F16"/>
    <mergeCell ref="M16:Q16"/>
    <mergeCell ref="B17:I17"/>
    <mergeCell ref="M17:T17"/>
    <mergeCell ref="B19:J19"/>
    <mergeCell ref="M19:U19"/>
    <mergeCell ref="B20:E20"/>
    <mergeCell ref="M20:P20"/>
    <mergeCell ref="B21:E21"/>
    <mergeCell ref="M21:P21"/>
    <mergeCell ref="B22:E22"/>
    <mergeCell ref="M22:P22"/>
    <mergeCell ref="B23:E23"/>
    <mergeCell ref="M23:P23"/>
    <mergeCell ref="B24:E24"/>
    <mergeCell ref="M24:P24"/>
    <mergeCell ref="B25:E25"/>
    <mergeCell ref="M25:P25"/>
    <mergeCell ref="B26:E26"/>
    <mergeCell ref="M26:P26"/>
    <mergeCell ref="B27:E27"/>
    <mergeCell ref="M27:P27"/>
    <mergeCell ref="B28:E28"/>
    <mergeCell ref="M28:P28"/>
    <mergeCell ref="B29:I29"/>
    <mergeCell ref="M29:T29"/>
    <mergeCell ref="B31:J31"/>
    <mergeCell ref="M31:U31"/>
    <mergeCell ref="B32:F32"/>
    <mergeCell ref="M32:Q32"/>
    <mergeCell ref="B33:F33"/>
    <mergeCell ref="M33:Q33"/>
    <mergeCell ref="B34:F34"/>
    <mergeCell ref="M34:Q34"/>
    <mergeCell ref="B35:F35"/>
    <mergeCell ref="M35:Q35"/>
    <mergeCell ref="B36:F36"/>
    <mergeCell ref="M36:Q36"/>
    <mergeCell ref="B37:I37"/>
    <mergeCell ref="M37:T37"/>
    <mergeCell ref="B39:J39"/>
    <mergeCell ref="M39:U39"/>
    <mergeCell ref="B40:F40"/>
    <mergeCell ref="M40:Q40"/>
    <mergeCell ref="B41:F41"/>
    <mergeCell ref="M41:Q41"/>
    <mergeCell ref="M45:T45"/>
    <mergeCell ref="B46:I46"/>
    <mergeCell ref="M47:T47"/>
    <mergeCell ref="B42:F42"/>
    <mergeCell ref="M42:Q42"/>
    <mergeCell ref="B43:F43"/>
    <mergeCell ref="M43:Q43"/>
    <mergeCell ref="B44:I44"/>
    <mergeCell ref="M44:Q44"/>
  </mergeCells>
  <hyperlinks>
    <hyperlink ref="C6" location="'PPTO HOJA'!A124" display="'PPTO HOJA'!A124" xr:uid="{00000000-0004-0000-3F00-000000000000}"/>
    <hyperlink ref="N6" location="'PPTO HOJA'!A124" display="'PPTO HOJA'!A124" xr:uid="{00000000-0004-0000-3F00-000001000000}"/>
  </hyperlinks>
  <pageMargins left="0.7" right="0.7" top="0.75" bottom="0.75" header="0.3" footer="0.3"/>
  <pageSetup paperSize="9" scale="33" orientation="portrait" r:id="rId1"/>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tabColor theme="5" tint="0.59999389629810485"/>
  </sheetPr>
  <dimension ref="A1:W52"/>
  <sheetViews>
    <sheetView zoomScale="85" zoomScaleNormal="85" zoomScaleSheetLayoutView="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8.6640625" style="20" customWidth="1"/>
    <col min="11" max="11" width="7.33203125" style="20" customWidth="1"/>
    <col min="12" max="17" width="11.44140625" style="20"/>
    <col min="18" max="18" width="12.33203125" style="20" bestFit="1" customWidth="1"/>
    <col min="19" max="20" width="11.44140625" style="20"/>
    <col min="21" max="21" width="17.88671875" style="20" customWidth="1"/>
    <col min="22" max="22" width="7.33203125" style="20" customWidth="1"/>
    <col min="23" max="23" width="36" style="20" customWidth="1"/>
    <col min="24" max="16384" width="11.44140625" style="20"/>
  </cols>
  <sheetData>
    <row r="1" spans="1:22" x14ac:dyDescent="0.25">
      <c r="A1" s="768"/>
      <c r="B1" s="768"/>
      <c r="C1" s="768"/>
      <c r="D1" s="769" t="s">
        <v>1</v>
      </c>
      <c r="E1" s="769"/>
      <c r="F1" s="769"/>
      <c r="G1" s="769"/>
      <c r="H1" s="769"/>
      <c r="I1" s="769"/>
      <c r="J1" s="769"/>
      <c r="L1" s="821" t="s">
        <v>469</v>
      </c>
      <c r="M1" s="821"/>
      <c r="N1" s="821"/>
      <c r="O1" s="769" t="str">
        <f>D1</f>
        <v>DEPARTAMENTO DE ANTIOQUIA</v>
      </c>
      <c r="P1" s="769"/>
      <c r="Q1" s="769"/>
      <c r="R1" s="769"/>
      <c r="S1" s="769"/>
      <c r="T1" s="769"/>
      <c r="U1" s="769"/>
    </row>
    <row r="2" spans="1:22" x14ac:dyDescent="0.25">
      <c r="A2" s="768"/>
      <c r="B2" s="768"/>
      <c r="C2" s="768"/>
      <c r="D2" s="769" t="s">
        <v>2</v>
      </c>
      <c r="E2" s="769"/>
      <c r="F2" s="769"/>
      <c r="G2" s="769"/>
      <c r="H2" s="769"/>
      <c r="I2" s="769"/>
      <c r="J2" s="769"/>
      <c r="L2" s="821"/>
      <c r="M2" s="821"/>
      <c r="N2" s="821"/>
      <c r="O2" s="769" t="str">
        <f t="shared" ref="O2:O3" si="0">D2</f>
        <v>MUNICIPIO DE ARBOLETES</v>
      </c>
      <c r="P2" s="769"/>
      <c r="Q2" s="769"/>
      <c r="R2" s="769"/>
      <c r="S2" s="769"/>
      <c r="T2" s="769"/>
      <c r="U2" s="769"/>
    </row>
    <row r="3" spans="1:22" ht="46.5" customHeight="1" x14ac:dyDescent="0.25">
      <c r="A3" s="768"/>
      <c r="B3" s="768"/>
      <c r="C3" s="768"/>
      <c r="D3" s="770" t="s">
        <v>328</v>
      </c>
      <c r="E3" s="770"/>
      <c r="F3" s="770"/>
      <c r="G3" s="770"/>
      <c r="H3" s="770"/>
      <c r="I3" s="770"/>
      <c r="J3" s="770"/>
      <c r="L3" s="821"/>
      <c r="M3" s="821"/>
      <c r="N3" s="821"/>
      <c r="O3" s="770" t="str">
        <f t="shared" si="0"/>
        <v>CONSTRUCCION DE OBRAS CIVILES COMPLEMENTARIAS PARA EL CORRECTO FUNCIONAMIENTO DEL PROYECTO DENOMINADO “PARQUE GEOLÓGICO, NATURAL, AMBIENTAL, CULTURAL Y TURÍSTICO, VOLCÁN DE LODO DE ARBOLETES”, QUE SE LLEVARÁ A CABO EN EL MUNICIPIO DE ARBOLETES-ANTIOQUIA</v>
      </c>
      <c r="P3" s="770"/>
      <c r="Q3" s="770"/>
      <c r="R3" s="770"/>
      <c r="S3" s="770"/>
      <c r="T3" s="770"/>
      <c r="U3" s="770"/>
    </row>
    <row r="4" spans="1:22" x14ac:dyDescent="0.25">
      <c r="A4" s="768"/>
      <c r="B4" s="768"/>
      <c r="C4" s="768"/>
      <c r="D4" s="769" t="s">
        <v>20</v>
      </c>
      <c r="E4" s="769"/>
      <c r="F4" s="769"/>
      <c r="G4" s="769"/>
      <c r="H4" s="769"/>
      <c r="I4" s="769"/>
      <c r="J4" s="769"/>
      <c r="L4" s="821"/>
      <c r="M4" s="821"/>
      <c r="N4" s="821"/>
      <c r="O4" s="769" t="s">
        <v>20</v>
      </c>
      <c r="P4" s="769"/>
      <c r="Q4" s="769"/>
      <c r="R4" s="769"/>
      <c r="S4" s="769"/>
      <c r="T4" s="769"/>
      <c r="U4" s="769"/>
    </row>
    <row r="5" spans="1:22" ht="9.75" customHeight="1" x14ac:dyDescent="0.25">
      <c r="A5" s="22"/>
      <c r="J5" s="23"/>
      <c r="L5" s="22"/>
      <c r="U5" s="23"/>
    </row>
    <row r="6" spans="1:22" s="21" customFormat="1" ht="37.5" customHeight="1" x14ac:dyDescent="0.3">
      <c r="A6" s="202" t="s">
        <v>460</v>
      </c>
      <c r="B6" s="203" t="s">
        <v>22</v>
      </c>
      <c r="C6" s="204">
        <v>7.1199999999999974</v>
      </c>
      <c r="D6" s="205"/>
      <c r="E6" s="777" t="s">
        <v>372</v>
      </c>
      <c r="F6" s="777"/>
      <c r="G6" s="777"/>
      <c r="H6" s="777"/>
      <c r="I6" s="202" t="s">
        <v>23</v>
      </c>
      <c r="J6" s="206" t="s">
        <v>190</v>
      </c>
      <c r="L6" s="202" t="s">
        <v>460</v>
      </c>
      <c r="M6" s="203" t="s">
        <v>22</v>
      </c>
      <c r="N6" s="204">
        <f>C6</f>
        <v>7.1199999999999974</v>
      </c>
      <c r="O6" s="205"/>
      <c r="P6" s="777" t="str">
        <f>E6</f>
        <v xml:space="preserve">Suministros e Instalación de ductos en tuberia sch40 1-1/4" para alumbrado de senderos </v>
      </c>
      <c r="Q6" s="777"/>
      <c r="R6" s="777"/>
      <c r="S6" s="777"/>
      <c r="T6" s="202" t="s">
        <v>23</v>
      </c>
      <c r="U6" s="206" t="str">
        <f>J6</f>
        <v>m</v>
      </c>
    </row>
    <row r="7" spans="1:22" ht="15" customHeight="1" x14ac:dyDescent="0.25">
      <c r="A7" s="22"/>
      <c r="B7" s="772" t="s">
        <v>24</v>
      </c>
      <c r="C7" s="772"/>
      <c r="D7" s="772"/>
      <c r="E7" s="772"/>
      <c r="F7" s="772"/>
      <c r="G7" s="772"/>
      <c r="H7" s="772"/>
      <c r="I7" s="772"/>
      <c r="J7" s="772"/>
      <c r="L7" s="22"/>
      <c r="M7" s="772" t="s">
        <v>24</v>
      </c>
      <c r="N7" s="772"/>
      <c r="O7" s="772"/>
      <c r="P7" s="772"/>
      <c r="Q7" s="772"/>
      <c r="R7" s="772"/>
      <c r="S7" s="772"/>
      <c r="T7" s="772"/>
      <c r="U7" s="772"/>
    </row>
    <row r="8" spans="1:22"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2" ht="15" customHeight="1" x14ac:dyDescent="0.25">
      <c r="A9" s="22"/>
      <c r="B9" s="771" t="s">
        <v>30</v>
      </c>
      <c r="C9" s="771"/>
      <c r="D9" s="771"/>
      <c r="E9" s="771"/>
      <c r="F9" s="771"/>
      <c r="G9" s="206"/>
      <c r="H9" s="181"/>
      <c r="I9" s="208">
        <v>0.05</v>
      </c>
      <c r="J9" s="181">
        <f>ROUND(I9*J44,0)</f>
        <v>1270</v>
      </c>
      <c r="L9" s="22"/>
      <c r="M9" s="771" t="s">
        <v>30</v>
      </c>
      <c r="N9" s="771"/>
      <c r="O9" s="771"/>
      <c r="P9" s="771"/>
      <c r="Q9" s="771"/>
      <c r="R9" s="206"/>
      <c r="S9" s="181"/>
      <c r="T9" s="208">
        <v>0.05</v>
      </c>
      <c r="U9" s="181">
        <f>ROUND(T9*U44,0)</f>
        <v>1270</v>
      </c>
      <c r="V9" s="239" t="s">
        <v>461</v>
      </c>
    </row>
    <row r="10" spans="1:22" ht="15" customHeight="1" x14ac:dyDescent="0.25">
      <c r="A10" s="22"/>
      <c r="B10" s="777"/>
      <c r="C10" s="777"/>
      <c r="D10" s="777"/>
      <c r="E10" s="777"/>
      <c r="F10" s="777"/>
      <c r="G10" s="206"/>
      <c r="H10" s="181" t="s">
        <v>501</v>
      </c>
      <c r="I10" s="180"/>
      <c r="J10" s="181">
        <f>IF(B10="",0,ROUND(H10/I10,0))</f>
        <v>0</v>
      </c>
      <c r="L10" s="22"/>
      <c r="M10" s="777"/>
      <c r="N10" s="777"/>
      <c r="O10" s="777"/>
      <c r="P10" s="777"/>
      <c r="Q10" s="777"/>
      <c r="R10" s="206"/>
      <c r="S10" s="181" t="s">
        <v>501</v>
      </c>
      <c r="T10" s="180"/>
      <c r="U10" s="181">
        <f>IF(M10="",0,ROUND(S10/T10,0))</f>
        <v>0</v>
      </c>
    </row>
    <row r="11" spans="1:22" ht="15" customHeight="1" x14ac:dyDescent="0.25">
      <c r="A11" s="22"/>
      <c r="B11" s="771"/>
      <c r="C11" s="771"/>
      <c r="D11" s="771"/>
      <c r="E11" s="771"/>
      <c r="F11" s="771"/>
      <c r="G11" s="206"/>
      <c r="H11" s="181" t="s">
        <v>501</v>
      </c>
      <c r="I11" s="180"/>
      <c r="J11" s="181">
        <f t="shared" ref="J11:J15" si="1">IF(B11="",0,ROUND(H11/I11,0))</f>
        <v>0</v>
      </c>
      <c r="L11" s="22"/>
      <c r="M11" s="771"/>
      <c r="N11" s="771"/>
      <c r="O11" s="771"/>
      <c r="P11" s="771"/>
      <c r="Q11" s="771"/>
      <c r="R11" s="206"/>
      <c r="S11" s="181" t="s">
        <v>501</v>
      </c>
      <c r="T11" s="180"/>
      <c r="U11" s="181">
        <f t="shared" ref="U11:U15" si="2">IF(M11="",0,ROUND(S11/T11,0))</f>
        <v>0</v>
      </c>
    </row>
    <row r="12" spans="1:22" ht="15" customHeight="1" x14ac:dyDescent="0.25">
      <c r="A12" s="22"/>
      <c r="B12" s="771"/>
      <c r="C12" s="771"/>
      <c r="D12" s="771"/>
      <c r="E12" s="771"/>
      <c r="F12" s="771"/>
      <c r="G12" s="206" t="s">
        <v>501</v>
      </c>
      <c r="H12" s="181" t="s">
        <v>501</v>
      </c>
      <c r="I12" s="180"/>
      <c r="J12" s="181">
        <f t="shared" si="1"/>
        <v>0</v>
      </c>
      <c r="L12" s="22"/>
      <c r="M12" s="771"/>
      <c r="N12" s="771"/>
      <c r="O12" s="771"/>
      <c r="P12" s="771"/>
      <c r="Q12" s="771"/>
      <c r="R12" s="206" t="s">
        <v>501</v>
      </c>
      <c r="S12" s="181" t="s">
        <v>501</v>
      </c>
      <c r="T12" s="180"/>
      <c r="U12" s="181">
        <f t="shared" si="2"/>
        <v>0</v>
      </c>
    </row>
    <row r="13" spans="1:22" ht="15" customHeight="1" x14ac:dyDescent="0.25">
      <c r="A13" s="22"/>
      <c r="B13" s="771"/>
      <c r="C13" s="771"/>
      <c r="D13" s="771"/>
      <c r="E13" s="771"/>
      <c r="F13" s="771"/>
      <c r="G13" s="206" t="s">
        <v>501</v>
      </c>
      <c r="H13" s="181" t="s">
        <v>501</v>
      </c>
      <c r="I13" s="180"/>
      <c r="J13" s="181">
        <f t="shared" si="1"/>
        <v>0</v>
      </c>
      <c r="L13" s="22"/>
      <c r="M13" s="771"/>
      <c r="N13" s="771"/>
      <c r="O13" s="771"/>
      <c r="P13" s="771"/>
      <c r="Q13" s="771"/>
      <c r="R13" s="206" t="s">
        <v>501</v>
      </c>
      <c r="S13" s="181" t="s">
        <v>501</v>
      </c>
      <c r="T13" s="180"/>
      <c r="U13" s="181">
        <f t="shared" si="2"/>
        <v>0</v>
      </c>
    </row>
    <row r="14" spans="1:22" ht="15" customHeight="1" x14ac:dyDescent="0.25">
      <c r="A14" s="22"/>
      <c r="B14" s="771"/>
      <c r="C14" s="771"/>
      <c r="D14" s="771"/>
      <c r="E14" s="771"/>
      <c r="F14" s="771"/>
      <c r="G14" s="206" t="s">
        <v>501</v>
      </c>
      <c r="H14" s="181" t="s">
        <v>501</v>
      </c>
      <c r="I14" s="180"/>
      <c r="J14" s="181">
        <f t="shared" si="1"/>
        <v>0</v>
      </c>
      <c r="L14" s="22"/>
      <c r="M14" s="771"/>
      <c r="N14" s="771"/>
      <c r="O14" s="771"/>
      <c r="P14" s="771"/>
      <c r="Q14" s="771"/>
      <c r="R14" s="206" t="s">
        <v>501</v>
      </c>
      <c r="S14" s="181" t="s">
        <v>501</v>
      </c>
      <c r="T14" s="180"/>
      <c r="U14" s="181">
        <f t="shared" si="2"/>
        <v>0</v>
      </c>
    </row>
    <row r="15" spans="1:22" ht="15" customHeight="1" x14ac:dyDescent="0.25">
      <c r="A15" s="22"/>
      <c r="B15" s="771"/>
      <c r="C15" s="771"/>
      <c r="D15" s="771"/>
      <c r="E15" s="771"/>
      <c r="F15" s="771"/>
      <c r="G15" s="206" t="s">
        <v>501</v>
      </c>
      <c r="H15" s="181" t="s">
        <v>501</v>
      </c>
      <c r="I15" s="180"/>
      <c r="J15" s="181">
        <f t="shared" si="1"/>
        <v>0</v>
      </c>
      <c r="L15" s="22"/>
      <c r="M15" s="771"/>
      <c r="N15" s="771"/>
      <c r="O15" s="771"/>
      <c r="P15" s="771"/>
      <c r="Q15" s="771"/>
      <c r="R15" s="206" t="s">
        <v>501</v>
      </c>
      <c r="S15" s="181" t="s">
        <v>501</v>
      </c>
      <c r="T15" s="180"/>
      <c r="U15" s="181">
        <f t="shared" si="2"/>
        <v>0</v>
      </c>
    </row>
    <row r="16" spans="1:22" ht="15" customHeight="1" x14ac:dyDescent="0.25">
      <c r="A16" s="22"/>
      <c r="B16" s="771"/>
      <c r="C16" s="771"/>
      <c r="D16" s="771"/>
      <c r="E16" s="771"/>
      <c r="F16" s="771"/>
      <c r="G16" s="206" t="s">
        <v>501</v>
      </c>
      <c r="H16" s="181" t="s">
        <v>501</v>
      </c>
      <c r="I16" s="180"/>
      <c r="J16" s="181"/>
      <c r="L16" s="22"/>
      <c r="M16" s="771"/>
      <c r="N16" s="771"/>
      <c r="O16" s="771"/>
      <c r="P16" s="771"/>
      <c r="Q16" s="771"/>
      <c r="R16" s="206" t="s">
        <v>501</v>
      </c>
      <c r="S16" s="181" t="s">
        <v>501</v>
      </c>
      <c r="T16" s="180"/>
      <c r="U16" s="181"/>
    </row>
    <row r="17" spans="1:23" ht="15" customHeight="1" x14ac:dyDescent="0.25">
      <c r="A17" s="22"/>
      <c r="B17" s="772" t="s">
        <v>31</v>
      </c>
      <c r="C17" s="772"/>
      <c r="D17" s="772"/>
      <c r="E17" s="772"/>
      <c r="F17" s="772"/>
      <c r="G17" s="772"/>
      <c r="H17" s="772"/>
      <c r="I17" s="772"/>
      <c r="J17" s="181">
        <f>SUM(J9:J16)</f>
        <v>1270</v>
      </c>
      <c r="L17" s="22"/>
      <c r="M17" s="772" t="s">
        <v>31</v>
      </c>
      <c r="N17" s="772"/>
      <c r="O17" s="772"/>
      <c r="P17" s="772"/>
      <c r="Q17" s="772"/>
      <c r="R17" s="772"/>
      <c r="S17" s="772"/>
      <c r="T17" s="772"/>
      <c r="U17" s="181">
        <f>SUM(U9:U16)</f>
        <v>1270</v>
      </c>
    </row>
    <row r="18" spans="1:23" ht="7.5" customHeight="1" x14ac:dyDescent="0.25">
      <c r="A18" s="22"/>
      <c r="B18" s="25"/>
      <c r="C18" s="25"/>
      <c r="D18" s="25"/>
      <c r="E18" s="25"/>
      <c r="F18" s="25"/>
      <c r="G18" s="25"/>
      <c r="H18" s="25"/>
      <c r="I18" s="25"/>
      <c r="J18" s="26"/>
      <c r="L18" s="22"/>
      <c r="M18" s="25"/>
      <c r="N18" s="25"/>
      <c r="O18" s="25"/>
      <c r="P18" s="25"/>
      <c r="Q18" s="25"/>
      <c r="R18" s="25"/>
      <c r="S18" s="25"/>
      <c r="T18" s="25"/>
      <c r="U18" s="26"/>
    </row>
    <row r="19" spans="1:23" ht="15" customHeight="1" x14ac:dyDescent="0.25">
      <c r="A19" s="22"/>
      <c r="B19" s="772" t="s">
        <v>32</v>
      </c>
      <c r="C19" s="772"/>
      <c r="D19" s="772"/>
      <c r="E19" s="772"/>
      <c r="F19" s="772"/>
      <c r="G19" s="772"/>
      <c r="H19" s="772"/>
      <c r="I19" s="772"/>
      <c r="J19" s="772"/>
      <c r="L19" s="22"/>
      <c r="M19" s="772" t="s">
        <v>32</v>
      </c>
      <c r="N19" s="772"/>
      <c r="O19" s="772"/>
      <c r="P19" s="772"/>
      <c r="Q19" s="772"/>
      <c r="R19" s="772"/>
      <c r="S19" s="772"/>
      <c r="T19" s="772"/>
      <c r="U19" s="772"/>
    </row>
    <row r="20" spans="1:23" ht="26.4" x14ac:dyDescent="0.25">
      <c r="A20" s="22"/>
      <c r="B20" s="774" t="s">
        <v>33</v>
      </c>
      <c r="C20" s="774"/>
      <c r="D20" s="774"/>
      <c r="E20" s="774"/>
      <c r="F20" s="205" t="s">
        <v>19</v>
      </c>
      <c r="G20" s="206" t="s">
        <v>34</v>
      </c>
      <c r="H20" s="207" t="s">
        <v>35</v>
      </c>
      <c r="I20" s="207" t="s">
        <v>36</v>
      </c>
      <c r="J20" s="207" t="s">
        <v>29</v>
      </c>
      <c r="L20" s="22"/>
      <c r="M20" s="774" t="s">
        <v>33</v>
      </c>
      <c r="N20" s="774"/>
      <c r="O20" s="774"/>
      <c r="P20" s="774"/>
      <c r="Q20" s="205" t="s">
        <v>19</v>
      </c>
      <c r="R20" s="206" t="s">
        <v>34</v>
      </c>
      <c r="S20" s="207" t="s">
        <v>35</v>
      </c>
      <c r="T20" s="207" t="s">
        <v>36</v>
      </c>
      <c r="U20" s="207" t="s">
        <v>29</v>
      </c>
    </row>
    <row r="21" spans="1:23" ht="15" customHeight="1" x14ac:dyDescent="0.25">
      <c r="A21" s="22"/>
      <c r="B21" s="791" t="s">
        <v>426</v>
      </c>
      <c r="C21" s="792"/>
      <c r="D21" s="792"/>
      <c r="E21" s="793"/>
      <c r="F21" s="180">
        <v>1</v>
      </c>
      <c r="G21" s="206" t="s">
        <v>190</v>
      </c>
      <c r="H21" s="209">
        <v>0.05</v>
      </c>
      <c r="I21" s="181">
        <v>11200</v>
      </c>
      <c r="J21" s="181">
        <f>IF(I21="",0,ROUND((+F21*I21*(1+H21)),0))</f>
        <v>11760</v>
      </c>
      <c r="L21" s="22"/>
      <c r="M21" s="791" t="s">
        <v>426</v>
      </c>
      <c r="N21" s="792"/>
      <c r="O21" s="792"/>
      <c r="P21" s="793"/>
      <c r="Q21" s="180">
        <v>1</v>
      </c>
      <c r="R21" s="206" t="s">
        <v>190</v>
      </c>
      <c r="S21" s="209">
        <v>0.05</v>
      </c>
      <c r="T21" s="181">
        <v>11200</v>
      </c>
      <c r="U21" s="181">
        <f>IF(T21="",0,ROUND((+Q21*T21*(1+S21)),0))</f>
        <v>11760</v>
      </c>
      <c r="V21" s="239" t="s">
        <v>461</v>
      </c>
    </row>
    <row r="22" spans="1:23" ht="15" customHeight="1" x14ac:dyDescent="0.25">
      <c r="A22" s="22"/>
      <c r="B22" s="815" t="s">
        <v>427</v>
      </c>
      <c r="C22" s="816"/>
      <c r="D22" s="816"/>
      <c r="E22" s="817"/>
      <c r="F22" s="245">
        <v>0.66</v>
      </c>
      <c r="G22" s="246" t="s">
        <v>9</v>
      </c>
      <c r="H22" s="247"/>
      <c r="I22" s="248">
        <v>3000</v>
      </c>
      <c r="J22" s="248">
        <f t="shared" ref="J22:J27" si="3">IF(I22="",0,ROUND((+F22*I22*(1+H22)),0))</f>
        <v>1980</v>
      </c>
      <c r="K22" s="117"/>
      <c r="L22" s="22"/>
      <c r="M22" s="815" t="s">
        <v>427</v>
      </c>
      <c r="N22" s="816"/>
      <c r="O22" s="816"/>
      <c r="P22" s="817"/>
      <c r="Q22" s="245">
        <v>0.66</v>
      </c>
      <c r="R22" s="246" t="s">
        <v>9</v>
      </c>
      <c r="S22" s="247"/>
      <c r="T22" s="248">
        <v>3000</v>
      </c>
      <c r="U22" s="248">
        <f t="shared" ref="U22:U27" si="4">IF(T22="",0,ROUND((+Q22*T22*(1+S22)),0))</f>
        <v>1980</v>
      </c>
      <c r="V22" s="239" t="s">
        <v>461</v>
      </c>
      <c r="W22" s="261" t="s">
        <v>491</v>
      </c>
    </row>
    <row r="23" spans="1:23" ht="15" customHeight="1" x14ac:dyDescent="0.25">
      <c r="A23" s="22"/>
      <c r="B23" s="791"/>
      <c r="C23" s="792"/>
      <c r="D23" s="792"/>
      <c r="E23" s="793"/>
      <c r="F23" s="180"/>
      <c r="G23" s="206" t="s">
        <v>501</v>
      </c>
      <c r="H23" s="209"/>
      <c r="I23" s="181" t="s">
        <v>501</v>
      </c>
      <c r="J23" s="181">
        <f t="shared" si="3"/>
        <v>0</v>
      </c>
      <c r="K23" s="117"/>
      <c r="L23" s="22"/>
      <c r="M23" s="791"/>
      <c r="N23" s="792"/>
      <c r="O23" s="792"/>
      <c r="P23" s="793"/>
      <c r="Q23" s="180"/>
      <c r="R23" s="206" t="s">
        <v>501</v>
      </c>
      <c r="S23" s="209"/>
      <c r="T23" s="181" t="s">
        <v>501</v>
      </c>
      <c r="U23" s="181">
        <f t="shared" si="4"/>
        <v>0</v>
      </c>
    </row>
    <row r="24" spans="1:23" ht="15" customHeight="1" x14ac:dyDescent="0.25">
      <c r="A24" s="22"/>
      <c r="B24" s="791"/>
      <c r="C24" s="792"/>
      <c r="D24" s="792"/>
      <c r="E24" s="793"/>
      <c r="F24" s="180"/>
      <c r="G24" s="206" t="s">
        <v>501</v>
      </c>
      <c r="H24" s="209"/>
      <c r="I24" s="181" t="s">
        <v>501</v>
      </c>
      <c r="J24" s="181">
        <f t="shared" si="3"/>
        <v>0</v>
      </c>
      <c r="K24" s="117"/>
      <c r="L24" s="22"/>
      <c r="M24" s="791"/>
      <c r="N24" s="792"/>
      <c r="O24" s="792"/>
      <c r="P24" s="793"/>
      <c r="Q24" s="180"/>
      <c r="R24" s="206" t="s">
        <v>501</v>
      </c>
      <c r="S24" s="209"/>
      <c r="T24" s="181" t="s">
        <v>501</v>
      </c>
      <c r="U24" s="181">
        <f t="shared" si="4"/>
        <v>0</v>
      </c>
    </row>
    <row r="25" spans="1:23" ht="15" customHeight="1" x14ac:dyDescent="0.25">
      <c r="A25" s="22"/>
      <c r="B25" s="791"/>
      <c r="C25" s="792"/>
      <c r="D25" s="792"/>
      <c r="E25" s="793"/>
      <c r="F25" s="180"/>
      <c r="G25" s="206" t="s">
        <v>501</v>
      </c>
      <c r="H25" s="209"/>
      <c r="I25" s="181" t="s">
        <v>501</v>
      </c>
      <c r="J25" s="181">
        <f t="shared" si="3"/>
        <v>0</v>
      </c>
      <c r="L25" s="22"/>
      <c r="M25" s="791"/>
      <c r="N25" s="792"/>
      <c r="O25" s="792"/>
      <c r="P25" s="793"/>
      <c r="Q25" s="180"/>
      <c r="R25" s="206" t="s">
        <v>501</v>
      </c>
      <c r="S25" s="209"/>
      <c r="T25" s="181" t="s">
        <v>501</v>
      </c>
      <c r="U25" s="181">
        <f t="shared" si="4"/>
        <v>0</v>
      </c>
    </row>
    <row r="26" spans="1:23" ht="15" customHeight="1" x14ac:dyDescent="0.25">
      <c r="A26" s="22"/>
      <c r="B26" s="791"/>
      <c r="C26" s="792"/>
      <c r="D26" s="792"/>
      <c r="E26" s="793"/>
      <c r="F26" s="180"/>
      <c r="G26" s="206" t="s">
        <v>501</v>
      </c>
      <c r="H26" s="209"/>
      <c r="I26" s="181" t="s">
        <v>501</v>
      </c>
      <c r="J26" s="181">
        <f t="shared" si="3"/>
        <v>0</v>
      </c>
      <c r="L26" s="22"/>
      <c r="M26" s="791"/>
      <c r="N26" s="792"/>
      <c r="O26" s="792"/>
      <c r="P26" s="793"/>
      <c r="Q26" s="180"/>
      <c r="R26" s="206" t="s">
        <v>501</v>
      </c>
      <c r="S26" s="209"/>
      <c r="T26" s="181" t="s">
        <v>501</v>
      </c>
      <c r="U26" s="181">
        <f t="shared" si="4"/>
        <v>0</v>
      </c>
    </row>
    <row r="27" spans="1:23" ht="15" customHeight="1" x14ac:dyDescent="0.25">
      <c r="A27" s="22"/>
      <c r="B27" s="791"/>
      <c r="C27" s="792"/>
      <c r="D27" s="792"/>
      <c r="E27" s="793"/>
      <c r="F27" s="180"/>
      <c r="G27" s="206" t="s">
        <v>501</v>
      </c>
      <c r="H27" s="209"/>
      <c r="I27" s="181" t="s">
        <v>501</v>
      </c>
      <c r="J27" s="181">
        <f t="shared" si="3"/>
        <v>0</v>
      </c>
      <c r="L27" s="22"/>
      <c r="M27" s="791"/>
      <c r="N27" s="792"/>
      <c r="O27" s="792"/>
      <c r="P27" s="793"/>
      <c r="Q27" s="180"/>
      <c r="R27" s="206" t="s">
        <v>501</v>
      </c>
      <c r="S27" s="209"/>
      <c r="T27" s="181" t="s">
        <v>501</v>
      </c>
      <c r="U27" s="181">
        <f t="shared" si="4"/>
        <v>0</v>
      </c>
    </row>
    <row r="28" spans="1:23" ht="15" customHeight="1" x14ac:dyDescent="0.25">
      <c r="A28" s="22"/>
      <c r="B28" s="785"/>
      <c r="C28" s="786"/>
      <c r="D28" s="786"/>
      <c r="E28" s="787"/>
      <c r="F28" s="180"/>
      <c r="G28" s="206" t="s">
        <v>501</v>
      </c>
      <c r="H28" s="209"/>
      <c r="I28" s="181" t="s">
        <v>501</v>
      </c>
      <c r="J28" s="181"/>
      <c r="L28" s="22"/>
      <c r="M28" s="785"/>
      <c r="N28" s="786"/>
      <c r="O28" s="786"/>
      <c r="P28" s="787"/>
      <c r="Q28" s="180"/>
      <c r="R28" s="206" t="s">
        <v>501</v>
      </c>
      <c r="S28" s="209"/>
      <c r="T28" s="181" t="s">
        <v>501</v>
      </c>
      <c r="U28" s="181"/>
    </row>
    <row r="29" spans="1:23" ht="15" customHeight="1" x14ac:dyDescent="0.25">
      <c r="A29" s="22"/>
      <c r="B29" s="772" t="s">
        <v>37</v>
      </c>
      <c r="C29" s="772"/>
      <c r="D29" s="772"/>
      <c r="E29" s="772"/>
      <c r="F29" s="772"/>
      <c r="G29" s="772"/>
      <c r="H29" s="772"/>
      <c r="I29" s="772"/>
      <c r="J29" s="181">
        <f>SUM(J21:J28)</f>
        <v>13740</v>
      </c>
      <c r="L29" s="22"/>
      <c r="M29" s="772" t="s">
        <v>37</v>
      </c>
      <c r="N29" s="772"/>
      <c r="O29" s="772"/>
      <c r="P29" s="772"/>
      <c r="Q29" s="772"/>
      <c r="R29" s="772"/>
      <c r="S29" s="772"/>
      <c r="T29" s="772"/>
      <c r="U29" s="181">
        <f>SUM(U21:U28)</f>
        <v>13740</v>
      </c>
    </row>
    <row r="30" spans="1:23" ht="7.5" customHeight="1" x14ac:dyDescent="0.25">
      <c r="A30" s="22"/>
      <c r="B30" s="25"/>
      <c r="C30" s="25"/>
      <c r="D30" s="25"/>
      <c r="E30" s="25"/>
      <c r="F30" s="25"/>
      <c r="G30" s="25"/>
      <c r="H30" s="25"/>
      <c r="I30" s="25"/>
      <c r="J30" s="26"/>
      <c r="L30" s="22"/>
      <c r="M30" s="25"/>
      <c r="N30" s="25"/>
      <c r="O30" s="25"/>
      <c r="P30" s="25"/>
      <c r="Q30" s="25"/>
      <c r="R30" s="25"/>
      <c r="S30" s="25"/>
      <c r="T30" s="25"/>
      <c r="U30" s="26"/>
    </row>
    <row r="31" spans="1:23" ht="15" customHeight="1" x14ac:dyDescent="0.25">
      <c r="A31" s="22"/>
      <c r="B31" s="772" t="s">
        <v>38</v>
      </c>
      <c r="C31" s="772"/>
      <c r="D31" s="772"/>
      <c r="E31" s="772"/>
      <c r="F31" s="772"/>
      <c r="G31" s="772"/>
      <c r="H31" s="772"/>
      <c r="I31" s="772"/>
      <c r="J31" s="772"/>
      <c r="L31" s="22"/>
      <c r="M31" s="772" t="s">
        <v>38</v>
      </c>
      <c r="N31" s="772"/>
      <c r="O31" s="772"/>
      <c r="P31" s="772"/>
      <c r="Q31" s="772"/>
      <c r="R31" s="772"/>
      <c r="S31" s="772"/>
      <c r="T31" s="772"/>
      <c r="U31" s="772"/>
    </row>
    <row r="32" spans="1:23" x14ac:dyDescent="0.25">
      <c r="A32" s="22"/>
      <c r="B32" s="774" t="s">
        <v>33</v>
      </c>
      <c r="C32" s="774"/>
      <c r="D32" s="774"/>
      <c r="E32" s="774"/>
      <c r="F32" s="774"/>
      <c r="G32" s="206" t="s">
        <v>133</v>
      </c>
      <c r="H32" s="206" t="s">
        <v>132</v>
      </c>
      <c r="I32" s="206" t="s">
        <v>39</v>
      </c>
      <c r="J32" s="207" t="s">
        <v>29</v>
      </c>
      <c r="L32" s="22"/>
      <c r="M32" s="774" t="s">
        <v>33</v>
      </c>
      <c r="N32" s="774"/>
      <c r="O32" s="774"/>
      <c r="P32" s="774"/>
      <c r="Q32" s="774"/>
      <c r="R32" s="206" t="s">
        <v>133</v>
      </c>
      <c r="S32" s="206" t="s">
        <v>132</v>
      </c>
      <c r="T32" s="206" t="s">
        <v>39</v>
      </c>
      <c r="U32" s="207" t="s">
        <v>29</v>
      </c>
    </row>
    <row r="33" spans="1:22" ht="15" customHeight="1" x14ac:dyDescent="0.25">
      <c r="A33" s="22"/>
      <c r="B33" s="771"/>
      <c r="C33" s="771"/>
      <c r="D33" s="771"/>
      <c r="E33" s="771"/>
      <c r="F33" s="771"/>
      <c r="G33" s="206"/>
      <c r="H33" s="180"/>
      <c r="I33" s="181"/>
      <c r="J33" s="181">
        <f>ROUND(I33*H33,0)</f>
        <v>0</v>
      </c>
      <c r="L33" s="22"/>
      <c r="M33" s="771"/>
      <c r="N33" s="771"/>
      <c r="O33" s="771"/>
      <c r="P33" s="771"/>
      <c r="Q33" s="771"/>
      <c r="R33" s="206"/>
      <c r="S33" s="180"/>
      <c r="T33" s="181"/>
      <c r="U33" s="181">
        <f>ROUND(T33*S33,0)</f>
        <v>0</v>
      </c>
    </row>
    <row r="34" spans="1:22" ht="15" customHeight="1" x14ac:dyDescent="0.25">
      <c r="A34" s="22"/>
      <c r="B34" s="771"/>
      <c r="C34" s="771"/>
      <c r="D34" s="771"/>
      <c r="E34" s="771"/>
      <c r="F34" s="771"/>
      <c r="G34" s="206"/>
      <c r="H34" s="180"/>
      <c r="I34" s="181"/>
      <c r="J34" s="181">
        <v>0</v>
      </c>
      <c r="L34" s="22"/>
      <c r="M34" s="771"/>
      <c r="N34" s="771"/>
      <c r="O34" s="771"/>
      <c r="P34" s="771"/>
      <c r="Q34" s="771"/>
      <c r="R34" s="206"/>
      <c r="S34" s="180"/>
      <c r="T34" s="181"/>
      <c r="U34" s="181">
        <v>0</v>
      </c>
    </row>
    <row r="35" spans="1:22" ht="15" customHeight="1" x14ac:dyDescent="0.25">
      <c r="A35" s="22"/>
      <c r="B35" s="771"/>
      <c r="C35" s="771"/>
      <c r="D35" s="771"/>
      <c r="E35" s="771"/>
      <c r="F35" s="771"/>
      <c r="G35" s="206"/>
      <c r="H35" s="180"/>
      <c r="I35" s="181"/>
      <c r="J35" s="181">
        <v>0</v>
      </c>
      <c r="L35" s="22"/>
      <c r="M35" s="771"/>
      <c r="N35" s="771"/>
      <c r="O35" s="771"/>
      <c r="P35" s="771"/>
      <c r="Q35" s="771"/>
      <c r="R35" s="206"/>
      <c r="S35" s="180"/>
      <c r="T35" s="181"/>
      <c r="U35" s="181">
        <v>0</v>
      </c>
    </row>
    <row r="36" spans="1:22" ht="15" customHeight="1" x14ac:dyDescent="0.25">
      <c r="A36" s="22"/>
      <c r="B36" s="771"/>
      <c r="C36" s="771"/>
      <c r="D36" s="771"/>
      <c r="E36" s="771"/>
      <c r="F36" s="771"/>
      <c r="G36" s="206"/>
      <c r="H36" s="206"/>
      <c r="I36" s="181"/>
      <c r="J36" s="181">
        <v>0</v>
      </c>
      <c r="L36" s="22"/>
      <c r="M36" s="771"/>
      <c r="N36" s="771"/>
      <c r="O36" s="771"/>
      <c r="P36" s="771"/>
      <c r="Q36" s="771"/>
      <c r="R36" s="206"/>
      <c r="S36" s="206"/>
      <c r="T36" s="181"/>
      <c r="U36" s="181">
        <v>0</v>
      </c>
    </row>
    <row r="37" spans="1:22" ht="15" customHeight="1" x14ac:dyDescent="0.25">
      <c r="A37" s="22"/>
      <c r="B37" s="772" t="s">
        <v>40</v>
      </c>
      <c r="C37" s="772"/>
      <c r="D37" s="772"/>
      <c r="E37" s="772"/>
      <c r="F37" s="772"/>
      <c r="G37" s="772"/>
      <c r="H37" s="772"/>
      <c r="I37" s="772"/>
      <c r="J37" s="181">
        <f>SUM(J33:J36)</f>
        <v>0</v>
      </c>
      <c r="L37" s="22"/>
      <c r="M37" s="772" t="s">
        <v>40</v>
      </c>
      <c r="N37" s="772"/>
      <c r="O37" s="772"/>
      <c r="P37" s="772"/>
      <c r="Q37" s="772"/>
      <c r="R37" s="772"/>
      <c r="S37" s="772"/>
      <c r="T37" s="772"/>
      <c r="U37" s="181">
        <f>SUM(U33:U36)</f>
        <v>0</v>
      </c>
    </row>
    <row r="38" spans="1:22" ht="7.5" customHeight="1" x14ac:dyDescent="0.25">
      <c r="A38" s="22"/>
      <c r="B38" s="25"/>
      <c r="C38" s="25"/>
      <c r="D38" s="25"/>
      <c r="E38" s="25"/>
      <c r="F38" s="25"/>
      <c r="G38" s="25"/>
      <c r="H38" s="25"/>
      <c r="I38" s="25"/>
      <c r="J38" s="26"/>
      <c r="L38" s="22"/>
      <c r="M38" s="25"/>
      <c r="N38" s="25"/>
      <c r="O38" s="25"/>
      <c r="P38" s="25"/>
      <c r="Q38" s="25"/>
      <c r="R38" s="25"/>
      <c r="S38" s="25"/>
      <c r="T38" s="25"/>
      <c r="U38" s="26"/>
    </row>
    <row r="39" spans="1:22" ht="15" customHeight="1" x14ac:dyDescent="0.25">
      <c r="A39" s="22"/>
      <c r="B39" s="772" t="s">
        <v>41</v>
      </c>
      <c r="C39" s="772"/>
      <c r="D39" s="772"/>
      <c r="E39" s="772"/>
      <c r="F39" s="772"/>
      <c r="G39" s="772"/>
      <c r="H39" s="772"/>
      <c r="I39" s="772"/>
      <c r="J39" s="772"/>
      <c r="L39" s="22"/>
      <c r="M39" s="772" t="s">
        <v>41</v>
      </c>
      <c r="N39" s="772"/>
      <c r="O39" s="772"/>
      <c r="P39" s="772"/>
      <c r="Q39" s="772"/>
      <c r="R39" s="772"/>
      <c r="S39" s="772"/>
      <c r="T39" s="772"/>
      <c r="U39" s="772"/>
    </row>
    <row r="40" spans="1:22" ht="39.6" x14ac:dyDescent="0.25">
      <c r="A40" s="22"/>
      <c r="B40" s="774" t="s">
        <v>4</v>
      </c>
      <c r="C40" s="774"/>
      <c r="D40" s="774"/>
      <c r="E40" s="774"/>
      <c r="F40" s="774"/>
      <c r="G40" s="207" t="s">
        <v>51</v>
      </c>
      <c r="H40" s="207" t="s">
        <v>19</v>
      </c>
      <c r="I40" s="207" t="s">
        <v>28</v>
      </c>
      <c r="J40" s="207" t="s">
        <v>29</v>
      </c>
      <c r="L40" s="22"/>
      <c r="M40" s="774" t="s">
        <v>4</v>
      </c>
      <c r="N40" s="774"/>
      <c r="O40" s="774"/>
      <c r="P40" s="774"/>
      <c r="Q40" s="774"/>
      <c r="R40" s="207" t="s">
        <v>51</v>
      </c>
      <c r="S40" s="207" t="s">
        <v>19</v>
      </c>
      <c r="T40" s="207" t="s">
        <v>28</v>
      </c>
      <c r="U40" s="207" t="s">
        <v>29</v>
      </c>
    </row>
    <row r="41" spans="1:22" x14ac:dyDescent="0.25">
      <c r="A41" s="22"/>
      <c r="B41" s="814" t="s">
        <v>467</v>
      </c>
      <c r="C41" s="814"/>
      <c r="D41" s="814"/>
      <c r="E41" s="814"/>
      <c r="F41" s="814"/>
      <c r="G41" s="248">
        <v>172935.10666666669</v>
      </c>
      <c r="H41" s="246">
        <v>1</v>
      </c>
      <c r="I41" s="245">
        <v>13</v>
      </c>
      <c r="J41" s="248">
        <f>ROUND(+IF(I41=0,0,G41*H41/I41),0)</f>
        <v>13303</v>
      </c>
      <c r="L41" s="22"/>
      <c r="M41" s="814" t="s">
        <v>467</v>
      </c>
      <c r="N41" s="814"/>
      <c r="O41" s="814"/>
      <c r="P41" s="814"/>
      <c r="Q41" s="814"/>
      <c r="R41" s="248">
        <v>172935.10666666669</v>
      </c>
      <c r="S41" s="246">
        <v>1</v>
      </c>
      <c r="T41" s="245">
        <v>13</v>
      </c>
      <c r="U41" s="248">
        <f>ROUND(+IF(T41=0,0,R41*S41/T41),0)</f>
        <v>13303</v>
      </c>
      <c r="V41" s="264" t="s">
        <v>448</v>
      </c>
    </row>
    <row r="42" spans="1:22" ht="15" customHeight="1" x14ac:dyDescent="0.25">
      <c r="A42" s="22"/>
      <c r="B42" s="814" t="s">
        <v>386</v>
      </c>
      <c r="C42" s="814"/>
      <c r="D42" s="814"/>
      <c r="E42" s="814"/>
      <c r="F42" s="814"/>
      <c r="G42" s="248">
        <v>78606.866666666669</v>
      </c>
      <c r="H42" s="246">
        <v>2</v>
      </c>
      <c r="I42" s="245">
        <f>I41</f>
        <v>13</v>
      </c>
      <c r="J42" s="248">
        <f>ROUND(+IF(I42=0,0,G42*H42/I42),0)</f>
        <v>12093</v>
      </c>
      <c r="L42" s="22"/>
      <c r="M42" s="814" t="s">
        <v>386</v>
      </c>
      <c r="N42" s="814"/>
      <c r="O42" s="814"/>
      <c r="P42" s="814"/>
      <c r="Q42" s="814"/>
      <c r="R42" s="248">
        <v>78606.866666666669</v>
      </c>
      <c r="S42" s="246">
        <v>2</v>
      </c>
      <c r="T42" s="245">
        <f>T41</f>
        <v>13</v>
      </c>
      <c r="U42" s="248">
        <f>ROUND(+IF(T42=0,0,R42*S42/T42),0)</f>
        <v>12093</v>
      </c>
      <c r="V42" s="239" t="s">
        <v>448</v>
      </c>
    </row>
    <row r="43" spans="1:22" ht="15" customHeight="1" x14ac:dyDescent="0.25">
      <c r="A43" s="22"/>
      <c r="B43" s="771"/>
      <c r="C43" s="771"/>
      <c r="D43" s="771"/>
      <c r="E43" s="771"/>
      <c r="F43" s="771"/>
      <c r="G43" s="181" t="s">
        <v>501</v>
      </c>
      <c r="H43" s="206"/>
      <c r="I43" s="180"/>
      <c r="J43" s="181">
        <f t="shared" ref="J43" si="5">+IF(I43=0,0,G43*H43/I43)</f>
        <v>0</v>
      </c>
      <c r="L43" s="22"/>
      <c r="M43" s="771"/>
      <c r="N43" s="771"/>
      <c r="O43" s="771"/>
      <c r="P43" s="771"/>
      <c r="Q43" s="771"/>
      <c r="R43" s="181" t="s">
        <v>501</v>
      </c>
      <c r="S43" s="206"/>
      <c r="T43" s="180"/>
      <c r="U43" s="181">
        <f t="shared" ref="U43" si="6">+IF(T43=0,0,R43*S43/T43)</f>
        <v>0</v>
      </c>
    </row>
    <row r="44" spans="1:22" ht="15" customHeight="1" x14ac:dyDescent="0.25">
      <c r="A44" s="22"/>
      <c r="B44" s="772" t="s">
        <v>42</v>
      </c>
      <c r="C44" s="772"/>
      <c r="D44" s="772"/>
      <c r="E44" s="772"/>
      <c r="F44" s="772"/>
      <c r="G44" s="772"/>
      <c r="H44" s="772"/>
      <c r="I44" s="772"/>
      <c r="J44" s="181">
        <f>SUM(J41:J43)</f>
        <v>25396</v>
      </c>
      <c r="L44" s="22"/>
      <c r="M44" s="772" t="s">
        <v>42</v>
      </c>
      <c r="N44" s="772"/>
      <c r="O44" s="772"/>
      <c r="P44" s="772"/>
      <c r="Q44" s="772"/>
      <c r="R44" s="772"/>
      <c r="S44" s="772"/>
      <c r="T44" s="772"/>
      <c r="U44" s="181">
        <f>SUM(U41:U43)</f>
        <v>25396</v>
      </c>
    </row>
    <row r="45" spans="1:22" ht="7.5" customHeight="1" x14ac:dyDescent="0.25">
      <c r="A45" s="22"/>
      <c r="B45" s="25"/>
      <c r="C45" s="25"/>
      <c r="D45" s="25"/>
      <c r="E45" s="25"/>
      <c r="F45" s="25"/>
      <c r="G45" s="25"/>
      <c r="H45" s="25"/>
      <c r="I45" s="25"/>
      <c r="J45" s="26"/>
      <c r="L45" s="22"/>
      <c r="M45" s="25"/>
      <c r="N45" s="25"/>
      <c r="O45" s="25"/>
      <c r="P45" s="25"/>
      <c r="Q45" s="25"/>
      <c r="R45" s="25"/>
      <c r="S45" s="25"/>
      <c r="T45" s="25"/>
      <c r="U45" s="26"/>
    </row>
    <row r="46" spans="1:22" ht="15.75" customHeight="1" x14ac:dyDescent="0.25">
      <c r="A46" s="27"/>
      <c r="B46" s="773" t="s">
        <v>43</v>
      </c>
      <c r="C46" s="773"/>
      <c r="D46" s="773"/>
      <c r="E46" s="773"/>
      <c r="F46" s="773"/>
      <c r="G46" s="773"/>
      <c r="H46" s="773"/>
      <c r="I46" s="773"/>
      <c r="J46" s="210">
        <f>+J44+J37+J17+J29</f>
        <v>40406</v>
      </c>
      <c r="L46" s="27"/>
      <c r="M46" s="773" t="s">
        <v>43</v>
      </c>
      <c r="N46" s="773"/>
      <c r="O46" s="773"/>
      <c r="P46" s="773"/>
      <c r="Q46" s="773"/>
      <c r="R46" s="773"/>
      <c r="S46" s="773"/>
      <c r="T46" s="773"/>
      <c r="U46" s="210">
        <f>+U44+U37+U17+U29</f>
        <v>40406</v>
      </c>
    </row>
    <row r="47" spans="1:22" x14ac:dyDescent="0.25">
      <c r="B47" s="21"/>
      <c r="C47" s="21"/>
      <c r="D47" s="21"/>
      <c r="E47" s="21"/>
      <c r="F47" s="21"/>
      <c r="G47" s="21"/>
      <c r="H47" s="21"/>
      <c r="I47" s="21"/>
      <c r="J47" s="21"/>
    </row>
    <row r="49" spans="8:10" ht="13.8" thickBot="1" x14ac:dyDescent="0.3"/>
    <row r="50" spans="8:10" x14ac:dyDescent="0.25">
      <c r="H50" s="251" t="s">
        <v>477</v>
      </c>
      <c r="I50" s="252"/>
      <c r="J50" s="253">
        <v>40998</v>
      </c>
    </row>
    <row r="51" spans="8:10" x14ac:dyDescent="0.25">
      <c r="H51" s="254" t="s">
        <v>469</v>
      </c>
      <c r="I51" s="239"/>
      <c r="J51" s="255">
        <f>+U46</f>
        <v>40406</v>
      </c>
    </row>
    <row r="52" spans="8:10" ht="13.8" thickBot="1" x14ac:dyDescent="0.3">
      <c r="H52" s="256" t="s">
        <v>470</v>
      </c>
      <c r="I52" s="257"/>
      <c r="J52" s="258">
        <f>J46</f>
        <v>40406</v>
      </c>
    </row>
  </sheetData>
  <mergeCells count="84">
    <mergeCell ref="A1:C4"/>
    <mergeCell ref="D1:J1"/>
    <mergeCell ref="L1:N4"/>
    <mergeCell ref="O1:U1"/>
    <mergeCell ref="D2:J2"/>
    <mergeCell ref="O2:U2"/>
    <mergeCell ref="D3:J3"/>
    <mergeCell ref="O3:U3"/>
    <mergeCell ref="D4:J4"/>
    <mergeCell ref="O4:U4"/>
    <mergeCell ref="E6:H6"/>
    <mergeCell ref="P6:S6"/>
    <mergeCell ref="B7:J7"/>
    <mergeCell ref="M7:U7"/>
    <mergeCell ref="B8:F8"/>
    <mergeCell ref="M8:Q8"/>
    <mergeCell ref="B9:F9"/>
    <mergeCell ref="M9:Q9"/>
    <mergeCell ref="B10:F10"/>
    <mergeCell ref="M10:Q10"/>
    <mergeCell ref="B11:F11"/>
    <mergeCell ref="M11:Q11"/>
    <mergeCell ref="B12:F12"/>
    <mergeCell ref="M12:Q12"/>
    <mergeCell ref="B13:F13"/>
    <mergeCell ref="M13:Q13"/>
    <mergeCell ref="B14:F14"/>
    <mergeCell ref="M14:Q14"/>
    <mergeCell ref="B15:F15"/>
    <mergeCell ref="M15:Q15"/>
    <mergeCell ref="B16:F16"/>
    <mergeCell ref="M16:Q16"/>
    <mergeCell ref="B17:I17"/>
    <mergeCell ref="M17:T17"/>
    <mergeCell ref="B19:J19"/>
    <mergeCell ref="M19:U19"/>
    <mergeCell ref="B20:E20"/>
    <mergeCell ref="M20:P20"/>
    <mergeCell ref="B21:E21"/>
    <mergeCell ref="M21:P21"/>
    <mergeCell ref="B22:E22"/>
    <mergeCell ref="M22:P22"/>
    <mergeCell ref="B23:E23"/>
    <mergeCell ref="M23:P23"/>
    <mergeCell ref="B24:E24"/>
    <mergeCell ref="M24:P24"/>
    <mergeCell ref="B25:E25"/>
    <mergeCell ref="M25:P25"/>
    <mergeCell ref="B26:E26"/>
    <mergeCell ref="M26:P26"/>
    <mergeCell ref="B27:E27"/>
    <mergeCell ref="M27:P27"/>
    <mergeCell ref="B28:E28"/>
    <mergeCell ref="M28:P28"/>
    <mergeCell ref="B29:I29"/>
    <mergeCell ref="M29:T29"/>
    <mergeCell ref="B31:J31"/>
    <mergeCell ref="M31:U31"/>
    <mergeCell ref="B32:F32"/>
    <mergeCell ref="M32:Q32"/>
    <mergeCell ref="B33:F33"/>
    <mergeCell ref="M33:Q33"/>
    <mergeCell ref="B34:F34"/>
    <mergeCell ref="M34:Q34"/>
    <mergeCell ref="B35:F35"/>
    <mergeCell ref="M35:Q35"/>
    <mergeCell ref="B36:F36"/>
    <mergeCell ref="M36:Q36"/>
    <mergeCell ref="B37:I37"/>
    <mergeCell ref="M37:T37"/>
    <mergeCell ref="B39:J39"/>
    <mergeCell ref="M39:U39"/>
    <mergeCell ref="B40:F40"/>
    <mergeCell ref="M40:Q40"/>
    <mergeCell ref="B41:F41"/>
    <mergeCell ref="M41:Q41"/>
    <mergeCell ref="B46:I46"/>
    <mergeCell ref="M46:T46"/>
    <mergeCell ref="B42:F42"/>
    <mergeCell ref="M42:Q42"/>
    <mergeCell ref="B43:F43"/>
    <mergeCell ref="M43:Q43"/>
    <mergeCell ref="B44:I44"/>
    <mergeCell ref="M44:T44"/>
  </mergeCells>
  <hyperlinks>
    <hyperlink ref="C6" location="'PPTO HOJA'!A124" display="'PPTO HOJA'!A124" xr:uid="{00000000-0004-0000-4000-000000000000}"/>
    <hyperlink ref="N6" location="'PPTO HOJA'!A124" display="'PPTO HOJA'!A124" xr:uid="{00000000-0004-0000-4000-000001000000}"/>
  </hyperlinks>
  <pageMargins left="0.7" right="0.7" top="0.75" bottom="0.75" header="0.3" footer="0.3"/>
  <pageSetup paperSize="9" scale="28" orientation="portrait" r:id="rId1"/>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tabColor theme="5" tint="0.59999389629810485"/>
  </sheetPr>
  <dimension ref="A1:W52"/>
  <sheetViews>
    <sheetView zoomScale="85" zoomScaleNormal="85" zoomScaleSheetLayoutView="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8" style="20" customWidth="1"/>
    <col min="11" max="11" width="7.33203125" style="20" customWidth="1"/>
    <col min="12" max="17" width="11.44140625" style="20"/>
    <col min="18" max="18" width="12.33203125" style="20" bestFit="1" customWidth="1"/>
    <col min="19" max="19" width="11.44140625" style="20"/>
    <col min="20" max="20" width="15.109375" style="20" customWidth="1"/>
    <col min="21" max="21" width="19.33203125" style="20" customWidth="1"/>
    <col min="22" max="22" width="8.6640625" style="20" customWidth="1"/>
    <col min="23" max="23" width="37.88671875" style="20" customWidth="1"/>
    <col min="24" max="16384" width="11.44140625" style="20"/>
  </cols>
  <sheetData>
    <row r="1" spans="1:22" x14ac:dyDescent="0.25">
      <c r="A1" s="768"/>
      <c r="B1" s="768"/>
      <c r="C1" s="768"/>
      <c r="D1" s="769" t="s">
        <v>1</v>
      </c>
      <c r="E1" s="769"/>
      <c r="F1" s="769"/>
      <c r="G1" s="769"/>
      <c r="H1" s="769"/>
      <c r="I1" s="769"/>
      <c r="J1" s="769"/>
      <c r="L1" s="821" t="s">
        <v>469</v>
      </c>
      <c r="M1" s="821"/>
      <c r="N1" s="821"/>
      <c r="O1" s="769" t="str">
        <f>D1</f>
        <v>DEPARTAMENTO DE ANTIOQUIA</v>
      </c>
      <c r="P1" s="769"/>
      <c r="Q1" s="769"/>
      <c r="R1" s="769"/>
      <c r="S1" s="769"/>
      <c r="T1" s="769"/>
      <c r="U1" s="769"/>
    </row>
    <row r="2" spans="1:22" x14ac:dyDescent="0.25">
      <c r="A2" s="768"/>
      <c r="B2" s="768"/>
      <c r="C2" s="768"/>
      <c r="D2" s="769" t="s">
        <v>2</v>
      </c>
      <c r="E2" s="769"/>
      <c r="F2" s="769"/>
      <c r="G2" s="769"/>
      <c r="H2" s="769"/>
      <c r="I2" s="769"/>
      <c r="J2" s="769"/>
      <c r="L2" s="821"/>
      <c r="M2" s="821"/>
      <c r="N2" s="821"/>
      <c r="O2" s="769" t="str">
        <f t="shared" ref="O2:O3" si="0">D2</f>
        <v>MUNICIPIO DE ARBOLETES</v>
      </c>
      <c r="P2" s="769"/>
      <c r="Q2" s="769"/>
      <c r="R2" s="769"/>
      <c r="S2" s="769"/>
      <c r="T2" s="769"/>
      <c r="U2" s="769"/>
    </row>
    <row r="3" spans="1:22" ht="58.2" customHeight="1" x14ac:dyDescent="0.25">
      <c r="A3" s="768"/>
      <c r="B3" s="768"/>
      <c r="C3" s="768"/>
      <c r="D3" s="770" t="s">
        <v>328</v>
      </c>
      <c r="E3" s="770"/>
      <c r="F3" s="770"/>
      <c r="G3" s="770"/>
      <c r="H3" s="770"/>
      <c r="I3" s="770"/>
      <c r="J3" s="770"/>
      <c r="L3" s="821"/>
      <c r="M3" s="821"/>
      <c r="N3" s="821"/>
      <c r="O3" s="770" t="str">
        <f t="shared" si="0"/>
        <v>CONSTRUCCION DE OBRAS CIVILES COMPLEMENTARIAS PARA EL CORRECTO FUNCIONAMIENTO DEL PROYECTO DENOMINADO “PARQUE GEOLÓGICO, NATURAL, AMBIENTAL, CULTURAL Y TURÍSTICO, VOLCÁN DE LODO DE ARBOLETES”, QUE SE LLEVARÁ A CABO EN EL MUNICIPIO DE ARBOLETES-ANTIOQUIA</v>
      </c>
      <c r="P3" s="770"/>
      <c r="Q3" s="770"/>
      <c r="R3" s="770"/>
      <c r="S3" s="770"/>
      <c r="T3" s="770"/>
      <c r="U3" s="770"/>
    </row>
    <row r="4" spans="1:22" x14ac:dyDescent="0.25">
      <c r="A4" s="768"/>
      <c r="B4" s="768"/>
      <c r="C4" s="768"/>
      <c r="D4" s="769" t="s">
        <v>20</v>
      </c>
      <c r="E4" s="769"/>
      <c r="F4" s="769"/>
      <c r="G4" s="769"/>
      <c r="H4" s="769"/>
      <c r="I4" s="769"/>
      <c r="J4" s="769"/>
      <c r="L4" s="821"/>
      <c r="M4" s="821"/>
      <c r="N4" s="821"/>
      <c r="O4" s="769" t="s">
        <v>20</v>
      </c>
      <c r="P4" s="769"/>
      <c r="Q4" s="769"/>
      <c r="R4" s="769"/>
      <c r="S4" s="769"/>
      <c r="T4" s="769"/>
      <c r="U4" s="769"/>
    </row>
    <row r="5" spans="1:22" ht="9.75" customHeight="1" x14ac:dyDescent="0.25">
      <c r="A5" s="22"/>
      <c r="J5" s="23"/>
      <c r="L5" s="22"/>
      <c r="U5" s="23"/>
    </row>
    <row r="6" spans="1:22" s="21" customFormat="1" ht="37.5" customHeight="1" x14ac:dyDescent="0.3">
      <c r="A6" s="202" t="s">
        <v>460</v>
      </c>
      <c r="B6" s="203" t="s">
        <v>22</v>
      </c>
      <c r="C6" s="204">
        <v>7.1299999999999972</v>
      </c>
      <c r="D6" s="205"/>
      <c r="E6" s="777" t="s">
        <v>373</v>
      </c>
      <c r="F6" s="777"/>
      <c r="G6" s="777"/>
      <c r="H6" s="777"/>
      <c r="I6" s="202" t="s">
        <v>23</v>
      </c>
      <c r="J6" s="206" t="s">
        <v>190</v>
      </c>
      <c r="L6" s="202" t="s">
        <v>460</v>
      </c>
      <c r="M6" s="203" t="s">
        <v>22</v>
      </c>
      <c r="N6" s="204">
        <f>C6</f>
        <v>7.1299999999999972</v>
      </c>
      <c r="O6" s="205"/>
      <c r="P6" s="777" t="str">
        <f>E6</f>
        <v xml:space="preserve">Suministros e Instalación de ductos en tuberia sch40 1" para alumbrado de senderos </v>
      </c>
      <c r="Q6" s="777"/>
      <c r="R6" s="777"/>
      <c r="S6" s="777"/>
      <c r="T6" s="202" t="s">
        <v>23</v>
      </c>
      <c r="U6" s="206" t="str">
        <f>J6</f>
        <v>m</v>
      </c>
    </row>
    <row r="7" spans="1:22" ht="15" customHeight="1" x14ac:dyDescent="0.25">
      <c r="A7" s="22"/>
      <c r="B7" s="772" t="s">
        <v>24</v>
      </c>
      <c r="C7" s="772"/>
      <c r="D7" s="772"/>
      <c r="E7" s="772"/>
      <c r="F7" s="772"/>
      <c r="G7" s="772"/>
      <c r="H7" s="772"/>
      <c r="I7" s="772"/>
      <c r="J7" s="772"/>
      <c r="L7" s="22"/>
      <c r="M7" s="772" t="s">
        <v>24</v>
      </c>
      <c r="N7" s="772"/>
      <c r="O7" s="772"/>
      <c r="P7" s="772"/>
      <c r="Q7" s="772"/>
      <c r="R7" s="772"/>
      <c r="S7" s="772"/>
      <c r="T7" s="772"/>
      <c r="U7" s="772"/>
    </row>
    <row r="8" spans="1:22"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2" ht="15" customHeight="1" x14ac:dyDescent="0.25">
      <c r="A9" s="22"/>
      <c r="B9" s="771" t="s">
        <v>30</v>
      </c>
      <c r="C9" s="771"/>
      <c r="D9" s="771"/>
      <c r="E9" s="771"/>
      <c r="F9" s="771"/>
      <c r="G9" s="206"/>
      <c r="H9" s="181"/>
      <c r="I9" s="208">
        <v>0.05</v>
      </c>
      <c r="J9" s="181">
        <f>ROUND(I9*J44,0)</f>
        <v>1065</v>
      </c>
      <c r="L9" s="22"/>
      <c r="M9" s="771" t="s">
        <v>30</v>
      </c>
      <c r="N9" s="771"/>
      <c r="O9" s="771"/>
      <c r="P9" s="771"/>
      <c r="Q9" s="771"/>
      <c r="R9" s="206"/>
      <c r="S9" s="181"/>
      <c r="T9" s="208">
        <v>0.05</v>
      </c>
      <c r="U9" s="181">
        <f>ROUND(T9*U44,0)</f>
        <v>1065</v>
      </c>
      <c r="V9" s="239" t="s">
        <v>461</v>
      </c>
    </row>
    <row r="10" spans="1:22" ht="15" customHeight="1" x14ac:dyDescent="0.25">
      <c r="A10" s="22"/>
      <c r="B10" s="777"/>
      <c r="C10" s="777"/>
      <c r="D10" s="777"/>
      <c r="E10" s="777"/>
      <c r="F10" s="777"/>
      <c r="G10" s="206"/>
      <c r="H10" s="181" t="s">
        <v>501</v>
      </c>
      <c r="I10" s="180"/>
      <c r="J10" s="181">
        <f>IF(B10="",0,ROUND(H10/I10,0))</f>
        <v>0</v>
      </c>
      <c r="L10" s="22"/>
      <c r="M10" s="777"/>
      <c r="N10" s="777"/>
      <c r="O10" s="777"/>
      <c r="P10" s="777"/>
      <c r="Q10" s="777"/>
      <c r="R10" s="206"/>
      <c r="S10" s="181" t="s">
        <v>501</v>
      </c>
      <c r="T10" s="180"/>
      <c r="U10" s="181">
        <f>IF(M10="",0,ROUND(S10/T10,0))</f>
        <v>0</v>
      </c>
    </row>
    <row r="11" spans="1:22" ht="15" customHeight="1" x14ac:dyDescent="0.25">
      <c r="A11" s="22"/>
      <c r="B11" s="771"/>
      <c r="C11" s="771"/>
      <c r="D11" s="771"/>
      <c r="E11" s="771"/>
      <c r="F11" s="771"/>
      <c r="G11" s="206"/>
      <c r="H11" s="181" t="s">
        <v>501</v>
      </c>
      <c r="I11" s="180"/>
      <c r="J11" s="181">
        <f t="shared" ref="J11:J15" si="1">IF(B11="",0,ROUND(H11/I11,0))</f>
        <v>0</v>
      </c>
      <c r="L11" s="22"/>
      <c r="M11" s="771"/>
      <c r="N11" s="771"/>
      <c r="O11" s="771"/>
      <c r="P11" s="771"/>
      <c r="Q11" s="771"/>
      <c r="R11" s="206"/>
      <c r="S11" s="181" t="s">
        <v>501</v>
      </c>
      <c r="T11" s="180"/>
      <c r="U11" s="181">
        <f t="shared" ref="U11:U15" si="2">IF(M11="",0,ROUND(S11/T11,0))</f>
        <v>0</v>
      </c>
    </row>
    <row r="12" spans="1:22" ht="15" customHeight="1" x14ac:dyDescent="0.25">
      <c r="A12" s="22"/>
      <c r="B12" s="771"/>
      <c r="C12" s="771"/>
      <c r="D12" s="771"/>
      <c r="E12" s="771"/>
      <c r="F12" s="771"/>
      <c r="G12" s="206" t="s">
        <v>501</v>
      </c>
      <c r="H12" s="181" t="s">
        <v>501</v>
      </c>
      <c r="I12" s="180"/>
      <c r="J12" s="181">
        <f t="shared" si="1"/>
        <v>0</v>
      </c>
      <c r="L12" s="22"/>
      <c r="M12" s="771"/>
      <c r="N12" s="771"/>
      <c r="O12" s="771"/>
      <c r="P12" s="771"/>
      <c r="Q12" s="771"/>
      <c r="R12" s="206" t="s">
        <v>501</v>
      </c>
      <c r="S12" s="181" t="s">
        <v>501</v>
      </c>
      <c r="T12" s="180"/>
      <c r="U12" s="181">
        <f t="shared" si="2"/>
        <v>0</v>
      </c>
    </row>
    <row r="13" spans="1:22" ht="15" customHeight="1" x14ac:dyDescent="0.25">
      <c r="A13" s="22"/>
      <c r="B13" s="771"/>
      <c r="C13" s="771"/>
      <c r="D13" s="771"/>
      <c r="E13" s="771"/>
      <c r="F13" s="771"/>
      <c r="G13" s="206" t="s">
        <v>501</v>
      </c>
      <c r="H13" s="181" t="s">
        <v>501</v>
      </c>
      <c r="I13" s="180"/>
      <c r="J13" s="181">
        <f t="shared" si="1"/>
        <v>0</v>
      </c>
      <c r="L13" s="22"/>
      <c r="M13" s="771"/>
      <c r="N13" s="771"/>
      <c r="O13" s="771"/>
      <c r="P13" s="771"/>
      <c r="Q13" s="771"/>
      <c r="R13" s="206" t="s">
        <v>501</v>
      </c>
      <c r="S13" s="181" t="s">
        <v>501</v>
      </c>
      <c r="T13" s="180"/>
      <c r="U13" s="181">
        <f t="shared" si="2"/>
        <v>0</v>
      </c>
    </row>
    <row r="14" spans="1:22" ht="15" customHeight="1" x14ac:dyDescent="0.25">
      <c r="A14" s="22"/>
      <c r="B14" s="771"/>
      <c r="C14" s="771"/>
      <c r="D14" s="771"/>
      <c r="E14" s="771"/>
      <c r="F14" s="771"/>
      <c r="G14" s="206" t="s">
        <v>501</v>
      </c>
      <c r="H14" s="181" t="s">
        <v>501</v>
      </c>
      <c r="I14" s="180"/>
      <c r="J14" s="181">
        <f t="shared" si="1"/>
        <v>0</v>
      </c>
      <c r="L14" s="22"/>
      <c r="M14" s="771"/>
      <c r="N14" s="771"/>
      <c r="O14" s="771"/>
      <c r="P14" s="771"/>
      <c r="Q14" s="771"/>
      <c r="R14" s="206" t="s">
        <v>501</v>
      </c>
      <c r="S14" s="181" t="s">
        <v>501</v>
      </c>
      <c r="T14" s="180"/>
      <c r="U14" s="181">
        <f t="shared" si="2"/>
        <v>0</v>
      </c>
    </row>
    <row r="15" spans="1:22" ht="15" customHeight="1" x14ac:dyDescent="0.25">
      <c r="A15" s="22"/>
      <c r="B15" s="771"/>
      <c r="C15" s="771"/>
      <c r="D15" s="771"/>
      <c r="E15" s="771"/>
      <c r="F15" s="771"/>
      <c r="G15" s="206" t="s">
        <v>501</v>
      </c>
      <c r="H15" s="181" t="s">
        <v>501</v>
      </c>
      <c r="I15" s="180"/>
      <c r="J15" s="181">
        <f t="shared" si="1"/>
        <v>0</v>
      </c>
      <c r="L15" s="22"/>
      <c r="M15" s="771"/>
      <c r="N15" s="771"/>
      <c r="O15" s="771"/>
      <c r="P15" s="771"/>
      <c r="Q15" s="771"/>
      <c r="R15" s="206" t="s">
        <v>501</v>
      </c>
      <c r="S15" s="181" t="s">
        <v>501</v>
      </c>
      <c r="T15" s="180"/>
      <c r="U15" s="181">
        <f t="shared" si="2"/>
        <v>0</v>
      </c>
    </row>
    <row r="16" spans="1:22" ht="15" customHeight="1" x14ac:dyDescent="0.25">
      <c r="A16" s="22"/>
      <c r="B16" s="771"/>
      <c r="C16" s="771"/>
      <c r="D16" s="771"/>
      <c r="E16" s="771"/>
      <c r="F16" s="771"/>
      <c r="G16" s="206" t="s">
        <v>501</v>
      </c>
      <c r="H16" s="181" t="s">
        <v>501</v>
      </c>
      <c r="I16" s="180"/>
      <c r="J16" s="181"/>
      <c r="L16" s="22"/>
      <c r="M16" s="771"/>
      <c r="N16" s="771"/>
      <c r="O16" s="771"/>
      <c r="P16" s="771"/>
      <c r="Q16" s="771"/>
      <c r="R16" s="206" t="s">
        <v>501</v>
      </c>
      <c r="S16" s="181" t="s">
        <v>501</v>
      </c>
      <c r="T16" s="180"/>
      <c r="U16" s="181"/>
    </row>
    <row r="17" spans="1:23" ht="15" customHeight="1" x14ac:dyDescent="0.25">
      <c r="A17" s="22"/>
      <c r="B17" s="772" t="s">
        <v>31</v>
      </c>
      <c r="C17" s="772"/>
      <c r="D17" s="772"/>
      <c r="E17" s="772"/>
      <c r="F17" s="772"/>
      <c r="G17" s="772"/>
      <c r="H17" s="772"/>
      <c r="I17" s="772"/>
      <c r="J17" s="181">
        <f>SUM(J9:J16)</f>
        <v>1065</v>
      </c>
      <c r="L17" s="22"/>
      <c r="M17" s="772" t="s">
        <v>31</v>
      </c>
      <c r="N17" s="772"/>
      <c r="O17" s="772"/>
      <c r="P17" s="772"/>
      <c r="Q17" s="772"/>
      <c r="R17" s="772"/>
      <c r="S17" s="772"/>
      <c r="T17" s="772"/>
      <c r="U17" s="181">
        <f>SUM(U9:U16)</f>
        <v>1065</v>
      </c>
    </row>
    <row r="18" spans="1:23" ht="7.5" customHeight="1" x14ac:dyDescent="0.25">
      <c r="A18" s="22"/>
      <c r="B18" s="25"/>
      <c r="C18" s="25"/>
      <c r="D18" s="25"/>
      <c r="E18" s="25"/>
      <c r="F18" s="25"/>
      <c r="G18" s="25"/>
      <c r="H18" s="25"/>
      <c r="I18" s="25"/>
      <c r="J18" s="26"/>
      <c r="L18" s="22"/>
      <c r="M18" s="25"/>
      <c r="N18" s="25"/>
      <c r="O18" s="25"/>
      <c r="P18" s="25"/>
      <c r="Q18" s="25"/>
      <c r="R18" s="25"/>
      <c r="S18" s="25"/>
      <c r="T18" s="25"/>
      <c r="U18" s="26"/>
    </row>
    <row r="19" spans="1:23" ht="15" customHeight="1" x14ac:dyDescent="0.25">
      <c r="A19" s="22"/>
      <c r="B19" s="772" t="s">
        <v>32</v>
      </c>
      <c r="C19" s="772"/>
      <c r="D19" s="772"/>
      <c r="E19" s="772"/>
      <c r="F19" s="772"/>
      <c r="G19" s="772"/>
      <c r="H19" s="772"/>
      <c r="I19" s="772"/>
      <c r="J19" s="772"/>
      <c r="L19" s="22"/>
      <c r="M19" s="772" t="s">
        <v>32</v>
      </c>
      <c r="N19" s="772"/>
      <c r="O19" s="772"/>
      <c r="P19" s="772"/>
      <c r="Q19" s="772"/>
      <c r="R19" s="772"/>
      <c r="S19" s="772"/>
      <c r="T19" s="772"/>
      <c r="U19" s="772"/>
    </row>
    <row r="20" spans="1:23" ht="26.4" x14ac:dyDescent="0.25">
      <c r="A20" s="22"/>
      <c r="B20" s="774" t="s">
        <v>33</v>
      </c>
      <c r="C20" s="774"/>
      <c r="D20" s="774"/>
      <c r="E20" s="774"/>
      <c r="F20" s="205" t="s">
        <v>19</v>
      </c>
      <c r="G20" s="206" t="s">
        <v>34</v>
      </c>
      <c r="H20" s="207" t="s">
        <v>35</v>
      </c>
      <c r="I20" s="207" t="s">
        <v>36</v>
      </c>
      <c r="J20" s="207" t="s">
        <v>29</v>
      </c>
      <c r="L20" s="22"/>
      <c r="M20" s="774" t="s">
        <v>33</v>
      </c>
      <c r="N20" s="774"/>
      <c r="O20" s="774"/>
      <c r="P20" s="774"/>
      <c r="Q20" s="205" t="s">
        <v>19</v>
      </c>
      <c r="R20" s="206" t="s">
        <v>34</v>
      </c>
      <c r="S20" s="207" t="s">
        <v>35</v>
      </c>
      <c r="T20" s="207" t="s">
        <v>36</v>
      </c>
      <c r="U20" s="207" t="s">
        <v>29</v>
      </c>
    </row>
    <row r="21" spans="1:23" ht="15" customHeight="1" x14ac:dyDescent="0.25">
      <c r="A21" s="22"/>
      <c r="B21" s="791" t="s">
        <v>428</v>
      </c>
      <c r="C21" s="792"/>
      <c r="D21" s="792"/>
      <c r="E21" s="793"/>
      <c r="F21" s="180">
        <v>1</v>
      </c>
      <c r="G21" s="206" t="s">
        <v>190</v>
      </c>
      <c r="H21" s="209">
        <v>0.05</v>
      </c>
      <c r="I21" s="181">
        <v>10500</v>
      </c>
      <c r="J21" s="181">
        <f>IF(I21="",0,ROUND((+F21*I21*(1+H21)),0))</f>
        <v>11025</v>
      </c>
      <c r="L21" s="22"/>
      <c r="M21" s="791" t="s">
        <v>428</v>
      </c>
      <c r="N21" s="792"/>
      <c r="O21" s="792"/>
      <c r="P21" s="793"/>
      <c r="Q21" s="180">
        <v>1</v>
      </c>
      <c r="R21" s="206" t="s">
        <v>190</v>
      </c>
      <c r="S21" s="209">
        <v>0.05</v>
      </c>
      <c r="T21" s="181">
        <v>10500</v>
      </c>
      <c r="U21" s="181">
        <f>IF(T21="",0,ROUND((+Q21*T21*(1+S21)),0))</f>
        <v>11025</v>
      </c>
      <c r="V21" s="239" t="s">
        <v>461</v>
      </c>
    </row>
    <row r="22" spans="1:23" ht="15" customHeight="1" x14ac:dyDescent="0.25">
      <c r="A22" s="22"/>
      <c r="B22" s="791" t="s">
        <v>429</v>
      </c>
      <c r="C22" s="792"/>
      <c r="D22" s="792"/>
      <c r="E22" s="793"/>
      <c r="F22" s="180">
        <v>0.66</v>
      </c>
      <c r="G22" s="206" t="s">
        <v>9</v>
      </c>
      <c r="H22" s="209"/>
      <c r="I22" s="181">
        <v>2000</v>
      </c>
      <c r="J22" s="181">
        <f t="shared" ref="J22:J27" si="3">IF(I22="",0,ROUND((+F22*I22*(1+H22)),0))</f>
        <v>1320</v>
      </c>
      <c r="K22" s="117"/>
      <c r="L22" s="22"/>
      <c r="M22" s="791" t="s">
        <v>429</v>
      </c>
      <c r="N22" s="792"/>
      <c r="O22" s="792"/>
      <c r="P22" s="793"/>
      <c r="Q22" s="180">
        <v>0.66</v>
      </c>
      <c r="R22" s="206" t="s">
        <v>9</v>
      </c>
      <c r="S22" s="209"/>
      <c r="T22" s="181">
        <v>2000</v>
      </c>
      <c r="U22" s="181">
        <f t="shared" ref="U22:U27" si="4">IF(T22="",0,ROUND((+Q22*T22*(1+S22)),0))</f>
        <v>1320</v>
      </c>
      <c r="V22" s="239" t="s">
        <v>461</v>
      </c>
      <c r="W22" s="261" t="s">
        <v>491</v>
      </c>
    </row>
    <row r="23" spans="1:23" ht="15" customHeight="1" x14ac:dyDescent="0.25">
      <c r="A23" s="22"/>
      <c r="B23" s="791"/>
      <c r="C23" s="792"/>
      <c r="D23" s="792"/>
      <c r="E23" s="793"/>
      <c r="F23" s="180"/>
      <c r="G23" s="206" t="s">
        <v>501</v>
      </c>
      <c r="H23" s="209"/>
      <c r="I23" s="181" t="s">
        <v>501</v>
      </c>
      <c r="J23" s="181">
        <f t="shared" si="3"/>
        <v>0</v>
      </c>
      <c r="K23" s="117"/>
      <c r="L23" s="22"/>
      <c r="M23" s="791"/>
      <c r="N23" s="792"/>
      <c r="O23" s="792"/>
      <c r="P23" s="793"/>
      <c r="Q23" s="180"/>
      <c r="R23" s="206" t="s">
        <v>501</v>
      </c>
      <c r="S23" s="209"/>
      <c r="T23" s="181" t="s">
        <v>501</v>
      </c>
      <c r="U23" s="181">
        <f t="shared" si="4"/>
        <v>0</v>
      </c>
    </row>
    <row r="24" spans="1:23" ht="15" customHeight="1" x14ac:dyDescent="0.25">
      <c r="A24" s="22"/>
      <c r="B24" s="791"/>
      <c r="C24" s="792"/>
      <c r="D24" s="792"/>
      <c r="E24" s="793"/>
      <c r="F24" s="180"/>
      <c r="G24" s="206" t="s">
        <v>501</v>
      </c>
      <c r="H24" s="209"/>
      <c r="I24" s="181" t="s">
        <v>501</v>
      </c>
      <c r="J24" s="181">
        <f t="shared" si="3"/>
        <v>0</v>
      </c>
      <c r="K24" s="117"/>
      <c r="L24" s="22"/>
      <c r="M24" s="791"/>
      <c r="N24" s="792"/>
      <c r="O24" s="792"/>
      <c r="P24" s="793"/>
      <c r="Q24" s="180"/>
      <c r="R24" s="206" t="s">
        <v>501</v>
      </c>
      <c r="S24" s="209"/>
      <c r="T24" s="181" t="s">
        <v>501</v>
      </c>
      <c r="U24" s="181">
        <f t="shared" si="4"/>
        <v>0</v>
      </c>
    </row>
    <row r="25" spans="1:23" ht="15" customHeight="1" x14ac:dyDescent="0.25">
      <c r="A25" s="22"/>
      <c r="B25" s="791"/>
      <c r="C25" s="792"/>
      <c r="D25" s="792"/>
      <c r="E25" s="793"/>
      <c r="F25" s="180"/>
      <c r="G25" s="206" t="s">
        <v>501</v>
      </c>
      <c r="H25" s="209"/>
      <c r="I25" s="181" t="s">
        <v>501</v>
      </c>
      <c r="J25" s="181">
        <f t="shared" si="3"/>
        <v>0</v>
      </c>
      <c r="L25" s="22"/>
      <c r="M25" s="791"/>
      <c r="N25" s="792"/>
      <c r="O25" s="792"/>
      <c r="P25" s="793"/>
      <c r="Q25" s="180"/>
      <c r="R25" s="206" t="s">
        <v>501</v>
      </c>
      <c r="S25" s="209"/>
      <c r="T25" s="181" t="s">
        <v>501</v>
      </c>
      <c r="U25" s="181">
        <f t="shared" si="4"/>
        <v>0</v>
      </c>
    </row>
    <row r="26" spans="1:23" ht="15" customHeight="1" x14ac:dyDescent="0.25">
      <c r="A26" s="22"/>
      <c r="B26" s="791"/>
      <c r="C26" s="792"/>
      <c r="D26" s="792"/>
      <c r="E26" s="793"/>
      <c r="F26" s="180"/>
      <c r="G26" s="206" t="s">
        <v>501</v>
      </c>
      <c r="H26" s="209"/>
      <c r="I26" s="181" t="s">
        <v>501</v>
      </c>
      <c r="J26" s="181">
        <f t="shared" si="3"/>
        <v>0</v>
      </c>
      <c r="L26" s="22"/>
      <c r="M26" s="791"/>
      <c r="N26" s="792"/>
      <c r="O26" s="792"/>
      <c r="P26" s="793"/>
      <c r="Q26" s="180"/>
      <c r="R26" s="206" t="s">
        <v>501</v>
      </c>
      <c r="S26" s="209"/>
      <c r="T26" s="181" t="s">
        <v>501</v>
      </c>
      <c r="U26" s="181">
        <f t="shared" si="4"/>
        <v>0</v>
      </c>
    </row>
    <row r="27" spans="1:23" ht="15" customHeight="1" x14ac:dyDescent="0.25">
      <c r="A27" s="22"/>
      <c r="B27" s="791"/>
      <c r="C27" s="792"/>
      <c r="D27" s="792"/>
      <c r="E27" s="793"/>
      <c r="F27" s="180"/>
      <c r="G27" s="206" t="s">
        <v>501</v>
      </c>
      <c r="H27" s="209"/>
      <c r="I27" s="181" t="s">
        <v>501</v>
      </c>
      <c r="J27" s="181">
        <f t="shared" si="3"/>
        <v>0</v>
      </c>
      <c r="L27" s="22"/>
      <c r="M27" s="791"/>
      <c r="N27" s="792"/>
      <c r="O27" s="792"/>
      <c r="P27" s="793"/>
      <c r="Q27" s="180"/>
      <c r="R27" s="206" t="s">
        <v>501</v>
      </c>
      <c r="S27" s="209"/>
      <c r="T27" s="181" t="s">
        <v>501</v>
      </c>
      <c r="U27" s="181">
        <f t="shared" si="4"/>
        <v>0</v>
      </c>
    </row>
    <row r="28" spans="1:23" ht="15" customHeight="1" x14ac:dyDescent="0.25">
      <c r="A28" s="22"/>
      <c r="B28" s="785"/>
      <c r="C28" s="786"/>
      <c r="D28" s="786"/>
      <c r="E28" s="787"/>
      <c r="F28" s="180"/>
      <c r="G28" s="206" t="s">
        <v>501</v>
      </c>
      <c r="H28" s="209"/>
      <c r="I28" s="181" t="s">
        <v>501</v>
      </c>
      <c r="J28" s="181"/>
      <c r="L28" s="22"/>
      <c r="M28" s="785"/>
      <c r="N28" s="786"/>
      <c r="O28" s="786"/>
      <c r="P28" s="787"/>
      <c r="Q28" s="180"/>
      <c r="R28" s="206" t="s">
        <v>501</v>
      </c>
      <c r="S28" s="209"/>
      <c r="T28" s="181" t="s">
        <v>501</v>
      </c>
      <c r="U28" s="181"/>
    </row>
    <row r="29" spans="1:23" ht="15" customHeight="1" x14ac:dyDescent="0.25">
      <c r="A29" s="22"/>
      <c r="B29" s="772" t="s">
        <v>37</v>
      </c>
      <c r="C29" s="772"/>
      <c r="D29" s="772"/>
      <c r="E29" s="772"/>
      <c r="F29" s="772"/>
      <c r="G29" s="772"/>
      <c r="H29" s="772"/>
      <c r="I29" s="772"/>
      <c r="J29" s="181">
        <f>SUM(J21:J28)</f>
        <v>12345</v>
      </c>
      <c r="L29" s="22"/>
      <c r="M29" s="772" t="s">
        <v>37</v>
      </c>
      <c r="N29" s="772"/>
      <c r="O29" s="772"/>
      <c r="P29" s="772"/>
      <c r="Q29" s="772"/>
      <c r="R29" s="772"/>
      <c r="S29" s="772"/>
      <c r="T29" s="772"/>
      <c r="U29" s="181">
        <f>SUM(U21:U28)</f>
        <v>12345</v>
      </c>
    </row>
    <row r="30" spans="1:23" ht="7.5" customHeight="1" x14ac:dyDescent="0.25">
      <c r="A30" s="22"/>
      <c r="B30" s="25"/>
      <c r="C30" s="25"/>
      <c r="D30" s="25"/>
      <c r="E30" s="25"/>
      <c r="F30" s="25"/>
      <c r="G30" s="25"/>
      <c r="H30" s="25"/>
      <c r="I30" s="25"/>
      <c r="J30" s="26"/>
      <c r="L30" s="22"/>
      <c r="M30" s="25"/>
      <c r="N30" s="25"/>
      <c r="O30" s="25"/>
      <c r="P30" s="25"/>
      <c r="Q30" s="25"/>
      <c r="R30" s="25"/>
      <c r="S30" s="25"/>
      <c r="T30" s="25"/>
      <c r="U30" s="26"/>
    </row>
    <row r="31" spans="1:23" ht="15" customHeight="1" x14ac:dyDescent="0.25">
      <c r="A31" s="22"/>
      <c r="B31" s="772" t="s">
        <v>38</v>
      </c>
      <c r="C31" s="772"/>
      <c r="D31" s="772"/>
      <c r="E31" s="772"/>
      <c r="F31" s="772"/>
      <c r="G31" s="772"/>
      <c r="H31" s="772"/>
      <c r="I31" s="772"/>
      <c r="J31" s="772"/>
      <c r="L31" s="22"/>
      <c r="M31" s="772" t="s">
        <v>38</v>
      </c>
      <c r="N31" s="772"/>
      <c r="O31" s="772"/>
      <c r="P31" s="772"/>
      <c r="Q31" s="772"/>
      <c r="R31" s="772"/>
      <c r="S31" s="772"/>
      <c r="T31" s="772"/>
      <c r="U31" s="772"/>
    </row>
    <row r="32" spans="1:23" x14ac:dyDescent="0.25">
      <c r="A32" s="22"/>
      <c r="B32" s="774" t="s">
        <v>33</v>
      </c>
      <c r="C32" s="774"/>
      <c r="D32" s="774"/>
      <c r="E32" s="774"/>
      <c r="F32" s="774"/>
      <c r="G32" s="206" t="s">
        <v>133</v>
      </c>
      <c r="H32" s="206" t="s">
        <v>132</v>
      </c>
      <c r="I32" s="206" t="s">
        <v>39</v>
      </c>
      <c r="J32" s="207" t="s">
        <v>29</v>
      </c>
      <c r="L32" s="22"/>
      <c r="M32" s="774" t="s">
        <v>33</v>
      </c>
      <c r="N32" s="774"/>
      <c r="O32" s="774"/>
      <c r="P32" s="774"/>
      <c r="Q32" s="774"/>
      <c r="R32" s="206" t="s">
        <v>133</v>
      </c>
      <c r="S32" s="206" t="s">
        <v>132</v>
      </c>
      <c r="T32" s="206" t="s">
        <v>39</v>
      </c>
      <c r="U32" s="207" t="s">
        <v>29</v>
      </c>
    </row>
    <row r="33" spans="1:22" ht="15" customHeight="1" x14ac:dyDescent="0.25">
      <c r="A33" s="22"/>
      <c r="B33" s="771"/>
      <c r="C33" s="771"/>
      <c r="D33" s="771"/>
      <c r="E33" s="771"/>
      <c r="F33" s="771"/>
      <c r="G33" s="206"/>
      <c r="H33" s="180"/>
      <c r="I33" s="181"/>
      <c r="J33" s="181">
        <f>ROUND(I33*H33,0)</f>
        <v>0</v>
      </c>
      <c r="L33" s="22"/>
      <c r="M33" s="771"/>
      <c r="N33" s="771"/>
      <c r="O33" s="771"/>
      <c r="P33" s="771"/>
      <c r="Q33" s="771"/>
      <c r="R33" s="206"/>
      <c r="S33" s="180"/>
      <c r="T33" s="181"/>
      <c r="U33" s="181">
        <f>ROUND(T33*S33,0)</f>
        <v>0</v>
      </c>
    </row>
    <row r="34" spans="1:22" ht="15" customHeight="1" x14ac:dyDescent="0.25">
      <c r="A34" s="22"/>
      <c r="B34" s="771"/>
      <c r="C34" s="771"/>
      <c r="D34" s="771"/>
      <c r="E34" s="771"/>
      <c r="F34" s="771"/>
      <c r="G34" s="206"/>
      <c r="H34" s="180"/>
      <c r="I34" s="181"/>
      <c r="J34" s="181">
        <v>0</v>
      </c>
      <c r="L34" s="22"/>
      <c r="M34" s="771"/>
      <c r="N34" s="771"/>
      <c r="O34" s="771"/>
      <c r="P34" s="771"/>
      <c r="Q34" s="771"/>
      <c r="R34" s="206"/>
      <c r="S34" s="180"/>
      <c r="T34" s="181"/>
      <c r="U34" s="181">
        <v>0</v>
      </c>
    </row>
    <row r="35" spans="1:22" ht="15" customHeight="1" x14ac:dyDescent="0.25">
      <c r="A35" s="22"/>
      <c r="B35" s="771"/>
      <c r="C35" s="771"/>
      <c r="D35" s="771"/>
      <c r="E35" s="771"/>
      <c r="F35" s="771"/>
      <c r="G35" s="206"/>
      <c r="H35" s="180"/>
      <c r="I35" s="181"/>
      <c r="J35" s="181">
        <v>0</v>
      </c>
      <c r="L35" s="22"/>
      <c r="M35" s="771"/>
      <c r="N35" s="771"/>
      <c r="O35" s="771"/>
      <c r="P35" s="771"/>
      <c r="Q35" s="771"/>
      <c r="R35" s="206"/>
      <c r="S35" s="180"/>
      <c r="T35" s="181"/>
      <c r="U35" s="181">
        <v>0</v>
      </c>
    </row>
    <row r="36" spans="1:22" ht="15" customHeight="1" x14ac:dyDescent="0.25">
      <c r="A36" s="22"/>
      <c r="B36" s="771"/>
      <c r="C36" s="771"/>
      <c r="D36" s="771"/>
      <c r="E36" s="771"/>
      <c r="F36" s="771"/>
      <c r="G36" s="206"/>
      <c r="H36" s="206"/>
      <c r="I36" s="181"/>
      <c r="J36" s="181">
        <v>0</v>
      </c>
      <c r="L36" s="22"/>
      <c r="M36" s="771"/>
      <c r="N36" s="771"/>
      <c r="O36" s="771"/>
      <c r="P36" s="771"/>
      <c r="Q36" s="771"/>
      <c r="R36" s="206"/>
      <c r="S36" s="206"/>
      <c r="T36" s="181"/>
      <c r="U36" s="181">
        <v>0</v>
      </c>
    </row>
    <row r="37" spans="1:22" ht="15" customHeight="1" x14ac:dyDescent="0.25">
      <c r="A37" s="22"/>
      <c r="B37" s="772" t="s">
        <v>40</v>
      </c>
      <c r="C37" s="772"/>
      <c r="D37" s="772"/>
      <c r="E37" s="772"/>
      <c r="F37" s="772"/>
      <c r="G37" s="772"/>
      <c r="H37" s="772"/>
      <c r="I37" s="772"/>
      <c r="J37" s="181">
        <f>SUM(J33:J36)</f>
        <v>0</v>
      </c>
      <c r="L37" s="22"/>
      <c r="M37" s="772" t="s">
        <v>40</v>
      </c>
      <c r="N37" s="772"/>
      <c r="O37" s="772"/>
      <c r="P37" s="772"/>
      <c r="Q37" s="772"/>
      <c r="R37" s="772"/>
      <c r="S37" s="772"/>
      <c r="T37" s="772"/>
      <c r="U37" s="181">
        <f>SUM(U33:U36)</f>
        <v>0</v>
      </c>
    </row>
    <row r="38" spans="1:22" ht="7.5" customHeight="1" x14ac:dyDescent="0.25">
      <c r="A38" s="22"/>
      <c r="B38" s="25"/>
      <c r="C38" s="25"/>
      <c r="D38" s="25"/>
      <c r="E38" s="25"/>
      <c r="F38" s="25"/>
      <c r="G38" s="25"/>
      <c r="H38" s="25"/>
      <c r="I38" s="25"/>
      <c r="J38" s="26"/>
      <c r="L38" s="22"/>
      <c r="M38" s="25"/>
      <c r="N38" s="25"/>
      <c r="O38" s="25"/>
      <c r="P38" s="25"/>
      <c r="Q38" s="25"/>
      <c r="R38" s="25"/>
      <c r="S38" s="25"/>
      <c r="T38" s="25"/>
      <c r="U38" s="26"/>
    </row>
    <row r="39" spans="1:22" ht="15" customHeight="1" x14ac:dyDescent="0.25">
      <c r="A39" s="22"/>
      <c r="B39" s="772" t="s">
        <v>41</v>
      </c>
      <c r="C39" s="772"/>
      <c r="D39" s="772"/>
      <c r="E39" s="772"/>
      <c r="F39" s="772"/>
      <c r="G39" s="772"/>
      <c r="H39" s="772"/>
      <c r="I39" s="772"/>
      <c r="J39" s="772"/>
      <c r="L39" s="22"/>
      <c r="M39" s="772" t="s">
        <v>41</v>
      </c>
      <c r="N39" s="772"/>
      <c r="O39" s="772"/>
      <c r="P39" s="772"/>
      <c r="Q39" s="772"/>
      <c r="R39" s="772"/>
      <c r="S39" s="772"/>
      <c r="T39" s="772"/>
      <c r="U39" s="772"/>
    </row>
    <row r="40" spans="1:22" ht="39.6" x14ac:dyDescent="0.25">
      <c r="A40" s="22"/>
      <c r="B40" s="774" t="s">
        <v>4</v>
      </c>
      <c r="C40" s="774"/>
      <c r="D40" s="774"/>
      <c r="E40" s="774"/>
      <c r="F40" s="774"/>
      <c r="G40" s="207" t="s">
        <v>51</v>
      </c>
      <c r="H40" s="207" t="s">
        <v>19</v>
      </c>
      <c r="I40" s="207" t="s">
        <v>28</v>
      </c>
      <c r="J40" s="207" t="s">
        <v>29</v>
      </c>
      <c r="L40" s="22"/>
      <c r="M40" s="774" t="s">
        <v>4</v>
      </c>
      <c r="N40" s="774"/>
      <c r="O40" s="774"/>
      <c r="P40" s="774"/>
      <c r="Q40" s="774"/>
      <c r="R40" s="207" t="s">
        <v>51</v>
      </c>
      <c r="S40" s="207" t="s">
        <v>19</v>
      </c>
      <c r="T40" s="207" t="s">
        <v>28</v>
      </c>
      <c r="U40" s="207" t="s">
        <v>29</v>
      </c>
    </row>
    <row r="41" spans="1:22" x14ac:dyDescent="0.25">
      <c r="A41" s="22"/>
      <c r="B41" s="814" t="s">
        <v>467</v>
      </c>
      <c r="C41" s="814"/>
      <c r="D41" s="814"/>
      <c r="E41" s="814"/>
      <c r="F41" s="814"/>
      <c r="G41" s="248">
        <v>172935.10666666669</v>
      </c>
      <c r="H41" s="246">
        <v>1</v>
      </c>
      <c r="I41" s="245">
        <v>15.5</v>
      </c>
      <c r="J41" s="248">
        <f>ROUND(+IF(I41=0,0,G41*H41/I41),0)</f>
        <v>11157</v>
      </c>
      <c r="L41" s="22"/>
      <c r="M41" s="771" t="s">
        <v>467</v>
      </c>
      <c r="N41" s="771"/>
      <c r="O41" s="771"/>
      <c r="P41" s="771"/>
      <c r="Q41" s="771"/>
      <c r="R41" s="181">
        <v>172935.10666666669</v>
      </c>
      <c r="S41" s="206">
        <v>1</v>
      </c>
      <c r="T41" s="180">
        <v>15.5</v>
      </c>
      <c r="U41" s="181">
        <f>ROUND(+IF(T41=0,0,R41*S41/T41),0)</f>
        <v>11157</v>
      </c>
      <c r="V41" s="264" t="s">
        <v>448</v>
      </c>
    </row>
    <row r="42" spans="1:22" ht="15" customHeight="1" x14ac:dyDescent="0.25">
      <c r="A42" s="22"/>
      <c r="B42" s="814" t="s">
        <v>386</v>
      </c>
      <c r="C42" s="814"/>
      <c r="D42" s="814"/>
      <c r="E42" s="814"/>
      <c r="F42" s="814"/>
      <c r="G42" s="248">
        <v>78606.866666666669</v>
      </c>
      <c r="H42" s="246">
        <v>2</v>
      </c>
      <c r="I42" s="245">
        <f>I41</f>
        <v>15.5</v>
      </c>
      <c r="J42" s="248">
        <f>ROUND(+IF(I42=0,0,G42*H42/I42),0)</f>
        <v>10143</v>
      </c>
      <c r="L42" s="22"/>
      <c r="M42" s="771" t="s">
        <v>386</v>
      </c>
      <c r="N42" s="771"/>
      <c r="O42" s="771"/>
      <c r="P42" s="771"/>
      <c r="Q42" s="771"/>
      <c r="R42" s="181">
        <v>78606.866666666669</v>
      </c>
      <c r="S42" s="206">
        <v>2</v>
      </c>
      <c r="T42" s="180">
        <f>T41</f>
        <v>15.5</v>
      </c>
      <c r="U42" s="181">
        <f>ROUND(+IF(T42=0,0,R42*S42/T42),0)</f>
        <v>10143</v>
      </c>
      <c r="V42" s="239" t="s">
        <v>448</v>
      </c>
    </row>
    <row r="43" spans="1:22" ht="15" customHeight="1" x14ac:dyDescent="0.25">
      <c r="A43" s="22"/>
      <c r="B43" s="771"/>
      <c r="C43" s="771"/>
      <c r="D43" s="771"/>
      <c r="E43" s="771"/>
      <c r="F43" s="771"/>
      <c r="G43" s="181" t="s">
        <v>501</v>
      </c>
      <c r="H43" s="206"/>
      <c r="I43" s="180"/>
      <c r="J43" s="181">
        <f t="shared" ref="J43" si="5">+IF(I43=0,0,G43*H43/I43)</f>
        <v>0</v>
      </c>
      <c r="L43" s="22"/>
      <c r="M43" s="771"/>
      <c r="N43" s="771"/>
      <c r="O43" s="771"/>
      <c r="P43" s="771"/>
      <c r="Q43" s="771"/>
      <c r="R43" s="181" t="s">
        <v>501</v>
      </c>
      <c r="S43" s="206"/>
      <c r="T43" s="180"/>
      <c r="U43" s="181">
        <f t="shared" ref="U43" si="6">+IF(T43=0,0,R43*S43/T43)</f>
        <v>0</v>
      </c>
    </row>
    <row r="44" spans="1:22" ht="15" customHeight="1" x14ac:dyDescent="0.25">
      <c r="A44" s="22"/>
      <c r="B44" s="772" t="s">
        <v>42</v>
      </c>
      <c r="C44" s="772"/>
      <c r="D44" s="772"/>
      <c r="E44" s="772"/>
      <c r="F44" s="772"/>
      <c r="G44" s="772"/>
      <c r="H44" s="772"/>
      <c r="I44" s="772"/>
      <c r="J44" s="181">
        <f>SUM(J41:J43)</f>
        <v>21300</v>
      </c>
      <c r="L44" s="22"/>
      <c r="M44" s="772" t="s">
        <v>42</v>
      </c>
      <c r="N44" s="772"/>
      <c r="O44" s="772"/>
      <c r="P44" s="772"/>
      <c r="Q44" s="772"/>
      <c r="R44" s="772"/>
      <c r="S44" s="772"/>
      <c r="T44" s="772"/>
      <c r="U44" s="181">
        <f>SUM(U41:U43)</f>
        <v>21300</v>
      </c>
    </row>
    <row r="45" spans="1:22" ht="7.5" customHeight="1" x14ac:dyDescent="0.25">
      <c r="A45" s="22"/>
      <c r="B45" s="25"/>
      <c r="C45" s="25"/>
      <c r="D45" s="25"/>
      <c r="E45" s="25"/>
      <c r="F45" s="25"/>
      <c r="G45" s="25"/>
      <c r="H45" s="25"/>
      <c r="I45" s="25"/>
      <c r="J45" s="26"/>
      <c r="L45" s="22"/>
      <c r="M45" s="25"/>
      <c r="N45" s="25"/>
      <c r="O45" s="25"/>
      <c r="P45" s="25"/>
      <c r="Q45" s="25"/>
      <c r="R45" s="25"/>
      <c r="S45" s="25"/>
      <c r="T45" s="25"/>
      <c r="U45" s="26"/>
    </row>
    <row r="46" spans="1:22" ht="15.75" customHeight="1" x14ac:dyDescent="0.25">
      <c r="A46" s="27"/>
      <c r="B46" s="773" t="s">
        <v>43</v>
      </c>
      <c r="C46" s="773"/>
      <c r="D46" s="773"/>
      <c r="E46" s="773"/>
      <c r="F46" s="773"/>
      <c r="G46" s="773"/>
      <c r="H46" s="773"/>
      <c r="I46" s="773"/>
      <c r="J46" s="210">
        <f>+J44+J37+J17+J29</f>
        <v>34710</v>
      </c>
      <c r="L46" s="27"/>
      <c r="M46" s="773" t="s">
        <v>43</v>
      </c>
      <c r="N46" s="773"/>
      <c r="O46" s="773"/>
      <c r="P46" s="773"/>
      <c r="Q46" s="773"/>
      <c r="R46" s="773"/>
      <c r="S46" s="773"/>
      <c r="T46" s="773"/>
      <c r="U46" s="210">
        <f>+U44+U37+U17+U29</f>
        <v>34710</v>
      </c>
    </row>
    <row r="47" spans="1:22" x14ac:dyDescent="0.25">
      <c r="B47" s="21"/>
      <c r="C47" s="21"/>
      <c r="D47" s="21"/>
      <c r="E47" s="21"/>
      <c r="F47" s="21"/>
      <c r="G47" s="21"/>
      <c r="H47" s="21"/>
      <c r="I47" s="21"/>
      <c r="J47" s="21"/>
    </row>
    <row r="49" spans="8:10" ht="13.8" thickBot="1" x14ac:dyDescent="0.3"/>
    <row r="50" spans="8:10" x14ac:dyDescent="0.25">
      <c r="H50" s="251" t="s">
        <v>477</v>
      </c>
      <c r="I50" s="252"/>
      <c r="J50" s="253">
        <v>35372</v>
      </c>
    </row>
    <row r="51" spans="8:10" x14ac:dyDescent="0.25">
      <c r="H51" s="254" t="s">
        <v>469</v>
      </c>
      <c r="I51" s="239"/>
      <c r="J51" s="255">
        <f>+U46</f>
        <v>34710</v>
      </c>
    </row>
    <row r="52" spans="8:10" ht="13.8" thickBot="1" x14ac:dyDescent="0.3">
      <c r="H52" s="256" t="s">
        <v>470</v>
      </c>
      <c r="I52" s="257"/>
      <c r="J52" s="258">
        <f>J46</f>
        <v>34710</v>
      </c>
    </row>
  </sheetData>
  <mergeCells count="84">
    <mergeCell ref="A1:C4"/>
    <mergeCell ref="D1:J1"/>
    <mergeCell ref="L1:N4"/>
    <mergeCell ref="O1:U1"/>
    <mergeCell ref="D2:J2"/>
    <mergeCell ref="O2:U2"/>
    <mergeCell ref="D3:J3"/>
    <mergeCell ref="O3:U3"/>
    <mergeCell ref="D4:J4"/>
    <mergeCell ref="O4:U4"/>
    <mergeCell ref="E6:H6"/>
    <mergeCell ref="P6:S6"/>
    <mergeCell ref="B7:J7"/>
    <mergeCell ref="M7:U7"/>
    <mergeCell ref="B8:F8"/>
    <mergeCell ref="M8:Q8"/>
    <mergeCell ref="B9:F9"/>
    <mergeCell ref="M9:Q9"/>
    <mergeCell ref="B10:F10"/>
    <mergeCell ref="M10:Q10"/>
    <mergeCell ref="B11:F11"/>
    <mergeCell ref="M11:Q11"/>
    <mergeCell ref="B12:F12"/>
    <mergeCell ref="M12:Q12"/>
    <mergeCell ref="B13:F13"/>
    <mergeCell ref="M13:Q13"/>
    <mergeCell ref="B14:F14"/>
    <mergeCell ref="M14:Q14"/>
    <mergeCell ref="B15:F15"/>
    <mergeCell ref="M15:Q15"/>
    <mergeCell ref="B16:F16"/>
    <mergeCell ref="M16:Q16"/>
    <mergeCell ref="B17:I17"/>
    <mergeCell ref="M17:T17"/>
    <mergeCell ref="B19:J19"/>
    <mergeCell ref="M19:U19"/>
    <mergeCell ref="B20:E20"/>
    <mergeCell ref="M20:P20"/>
    <mergeCell ref="B21:E21"/>
    <mergeCell ref="M21:P21"/>
    <mergeCell ref="B22:E22"/>
    <mergeCell ref="M22:P22"/>
    <mergeCell ref="B23:E23"/>
    <mergeCell ref="M23:P23"/>
    <mergeCell ref="B24:E24"/>
    <mergeCell ref="M24:P24"/>
    <mergeCell ref="B25:E25"/>
    <mergeCell ref="M25:P25"/>
    <mergeCell ref="B26:E26"/>
    <mergeCell ref="M26:P26"/>
    <mergeCell ref="B27:E27"/>
    <mergeCell ref="M27:P27"/>
    <mergeCell ref="B28:E28"/>
    <mergeCell ref="M28:P28"/>
    <mergeCell ref="B29:I29"/>
    <mergeCell ref="M29:T29"/>
    <mergeCell ref="B31:J31"/>
    <mergeCell ref="M31:U31"/>
    <mergeCell ref="B32:F32"/>
    <mergeCell ref="M32:Q32"/>
    <mergeCell ref="B33:F33"/>
    <mergeCell ref="M33:Q33"/>
    <mergeCell ref="B34:F34"/>
    <mergeCell ref="M34:Q34"/>
    <mergeCell ref="B35:F35"/>
    <mergeCell ref="M35:Q35"/>
    <mergeCell ref="B36:F36"/>
    <mergeCell ref="M36:Q36"/>
    <mergeCell ref="B37:I37"/>
    <mergeCell ref="M37:T37"/>
    <mergeCell ref="B39:J39"/>
    <mergeCell ref="M39:U39"/>
    <mergeCell ref="B40:F40"/>
    <mergeCell ref="M40:Q40"/>
    <mergeCell ref="B41:F41"/>
    <mergeCell ref="M41:Q41"/>
    <mergeCell ref="B46:I46"/>
    <mergeCell ref="M46:T46"/>
    <mergeCell ref="B42:F42"/>
    <mergeCell ref="M42:Q42"/>
    <mergeCell ref="B43:F43"/>
    <mergeCell ref="M43:Q43"/>
    <mergeCell ref="B44:I44"/>
    <mergeCell ref="M44:T44"/>
  </mergeCells>
  <hyperlinks>
    <hyperlink ref="C6" location="'PPTO HOJA'!A124" display="'PPTO HOJA'!A124" xr:uid="{00000000-0004-0000-4100-000000000000}"/>
    <hyperlink ref="N6" location="'PPTO HOJA'!A124" display="'PPTO HOJA'!A124" xr:uid="{00000000-0004-0000-4100-000001000000}"/>
  </hyperlinks>
  <pageMargins left="0.7" right="0.7" top="0.75" bottom="0.75" header="0.3" footer="0.3"/>
  <pageSetup paperSize="9" scale="28" orientation="portrait" r:id="rId1"/>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theme="5" tint="0.59999389629810485"/>
  </sheetPr>
  <dimension ref="A1:V52"/>
  <sheetViews>
    <sheetView zoomScale="85" zoomScaleNormal="85" zoomScaleSheetLayoutView="85" workbookViewId="0">
      <selection activeCell="B23" sqref="B23"/>
    </sheetView>
  </sheetViews>
  <sheetFormatPr baseColWidth="10" defaultColWidth="11.44140625" defaultRowHeight="13.2" x14ac:dyDescent="0.25"/>
  <cols>
    <col min="1" max="1" width="5.3320312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9.109375" style="20" customWidth="1"/>
    <col min="11" max="11" width="5.5546875" style="20" customWidth="1"/>
    <col min="12" max="12" width="7.109375" style="20" customWidth="1"/>
    <col min="13" max="17" width="11.44140625" style="20"/>
    <col min="18" max="18" width="12.33203125" style="20" bestFit="1" customWidth="1"/>
    <col min="19" max="20" width="11.44140625" style="20"/>
    <col min="21" max="21" width="16.33203125" style="20" customWidth="1"/>
    <col min="22" max="22" width="9.44140625" style="20" customWidth="1"/>
    <col min="23" max="16384" width="11.44140625" style="20"/>
  </cols>
  <sheetData>
    <row r="1" spans="1:22" x14ac:dyDescent="0.25">
      <c r="A1" s="768"/>
      <c r="B1" s="768"/>
      <c r="C1" s="768"/>
      <c r="D1" s="769" t="s">
        <v>1</v>
      </c>
      <c r="E1" s="769"/>
      <c r="F1" s="769"/>
      <c r="G1" s="769"/>
      <c r="H1" s="769"/>
      <c r="I1" s="769"/>
      <c r="J1" s="769"/>
      <c r="L1" s="768"/>
      <c r="M1" s="768"/>
      <c r="N1" s="768"/>
      <c r="O1" s="769" t="str">
        <f>D1</f>
        <v>DEPARTAMENTO DE ANTIOQUIA</v>
      </c>
      <c r="P1" s="769"/>
      <c r="Q1" s="769"/>
      <c r="R1" s="769"/>
      <c r="S1" s="769"/>
      <c r="T1" s="769"/>
      <c r="U1" s="769"/>
    </row>
    <row r="2" spans="1:22" x14ac:dyDescent="0.25">
      <c r="A2" s="768"/>
      <c r="B2" s="768"/>
      <c r="C2" s="768"/>
      <c r="D2" s="769" t="s">
        <v>2</v>
      </c>
      <c r="E2" s="769"/>
      <c r="F2" s="769"/>
      <c r="G2" s="769"/>
      <c r="H2" s="769"/>
      <c r="I2" s="769"/>
      <c r="J2" s="769"/>
      <c r="L2" s="768"/>
      <c r="M2" s="768"/>
      <c r="N2" s="768"/>
      <c r="O2" s="769" t="str">
        <f t="shared" ref="O2:O3" si="0">D2</f>
        <v>MUNICIPIO DE ARBOLETES</v>
      </c>
      <c r="P2" s="769"/>
      <c r="Q2" s="769"/>
      <c r="R2" s="769"/>
      <c r="S2" s="769"/>
      <c r="T2" s="769"/>
      <c r="U2" s="769"/>
    </row>
    <row r="3" spans="1:22" ht="67.2" customHeight="1" x14ac:dyDescent="0.25">
      <c r="A3" s="768"/>
      <c r="B3" s="768"/>
      <c r="C3" s="768"/>
      <c r="D3" s="770" t="s">
        <v>328</v>
      </c>
      <c r="E3" s="770"/>
      <c r="F3" s="770"/>
      <c r="G3" s="770"/>
      <c r="H3" s="770"/>
      <c r="I3" s="770"/>
      <c r="J3" s="770"/>
      <c r="L3" s="768"/>
      <c r="M3" s="768"/>
      <c r="N3" s="768"/>
      <c r="O3" s="770" t="str">
        <f t="shared" si="0"/>
        <v>CONSTRUCCION DE OBRAS CIVILES COMPLEMENTARIAS PARA EL CORRECTO FUNCIONAMIENTO DEL PROYECTO DENOMINADO “PARQUE GEOLÓGICO, NATURAL, AMBIENTAL, CULTURAL Y TURÍSTICO, VOLCÁN DE LODO DE ARBOLETES”, QUE SE LLEVARÁ A CABO EN EL MUNICIPIO DE ARBOLETES-ANTIOQUIA</v>
      </c>
      <c r="P3" s="770"/>
      <c r="Q3" s="770"/>
      <c r="R3" s="770"/>
      <c r="S3" s="770"/>
      <c r="T3" s="770"/>
      <c r="U3" s="770"/>
    </row>
    <row r="4" spans="1:22" x14ac:dyDescent="0.25">
      <c r="A4" s="768"/>
      <c r="B4" s="768"/>
      <c r="C4" s="768"/>
      <c r="D4" s="769" t="s">
        <v>20</v>
      </c>
      <c r="E4" s="769"/>
      <c r="F4" s="769"/>
      <c r="G4" s="769"/>
      <c r="H4" s="769"/>
      <c r="I4" s="769"/>
      <c r="J4" s="769"/>
      <c r="L4" s="768"/>
      <c r="M4" s="768"/>
      <c r="N4" s="768"/>
      <c r="O4" s="769" t="s">
        <v>20</v>
      </c>
      <c r="P4" s="769"/>
      <c r="Q4" s="769"/>
      <c r="R4" s="769"/>
      <c r="S4" s="769"/>
      <c r="T4" s="769"/>
      <c r="U4" s="769"/>
    </row>
    <row r="5" spans="1:22" ht="9.75" customHeight="1" x14ac:dyDescent="0.25">
      <c r="A5" s="22"/>
      <c r="J5" s="23"/>
      <c r="L5" s="22"/>
      <c r="U5" s="23"/>
    </row>
    <row r="6" spans="1:22" s="21" customFormat="1" ht="37.5" customHeight="1" x14ac:dyDescent="0.3">
      <c r="A6" s="202" t="s">
        <v>460</v>
      </c>
      <c r="B6" s="203" t="s">
        <v>22</v>
      </c>
      <c r="C6" s="204">
        <v>7.139999999999997</v>
      </c>
      <c r="D6" s="205"/>
      <c r="E6" s="777" t="s">
        <v>374</v>
      </c>
      <c r="F6" s="777"/>
      <c r="G6" s="777"/>
      <c r="H6" s="777"/>
      <c r="I6" s="202" t="s">
        <v>23</v>
      </c>
      <c r="J6" s="206" t="s">
        <v>190</v>
      </c>
      <c r="L6" s="202" t="s">
        <v>460</v>
      </c>
      <c r="M6" s="203" t="s">
        <v>22</v>
      </c>
      <c r="N6" s="204">
        <f>C6</f>
        <v>7.139999999999997</v>
      </c>
      <c r="O6" s="205"/>
      <c r="P6" s="777" t="str">
        <f>E6</f>
        <v xml:space="preserve">Suministros eInstalación de ductos en tuberia sch40 3/4" para alumbrado de senderos </v>
      </c>
      <c r="Q6" s="777"/>
      <c r="R6" s="777"/>
      <c r="S6" s="777"/>
      <c r="T6" s="202" t="s">
        <v>23</v>
      </c>
      <c r="U6" s="206" t="str">
        <f>J6</f>
        <v>m</v>
      </c>
    </row>
    <row r="7" spans="1:22" ht="15" customHeight="1" x14ac:dyDescent="0.25">
      <c r="A7" s="22"/>
      <c r="B7" s="772" t="s">
        <v>24</v>
      </c>
      <c r="C7" s="772"/>
      <c r="D7" s="772"/>
      <c r="E7" s="772"/>
      <c r="F7" s="772"/>
      <c r="G7" s="772"/>
      <c r="H7" s="772"/>
      <c r="I7" s="772"/>
      <c r="J7" s="772"/>
      <c r="L7" s="22"/>
      <c r="M7" s="772" t="s">
        <v>24</v>
      </c>
      <c r="N7" s="772"/>
      <c r="O7" s="772"/>
      <c r="P7" s="772"/>
      <c r="Q7" s="772"/>
      <c r="R7" s="772"/>
      <c r="S7" s="772"/>
      <c r="T7" s="772"/>
      <c r="U7" s="772"/>
    </row>
    <row r="8" spans="1:22" ht="26.4" customHeight="1"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2" ht="15" customHeight="1" x14ac:dyDescent="0.25">
      <c r="A9" s="22"/>
      <c r="B9" s="771" t="s">
        <v>30</v>
      </c>
      <c r="C9" s="771"/>
      <c r="D9" s="771"/>
      <c r="E9" s="771"/>
      <c r="F9" s="771"/>
      <c r="G9" s="206"/>
      <c r="H9" s="181"/>
      <c r="I9" s="208">
        <v>0.05</v>
      </c>
      <c r="J9" s="181">
        <f>ROUND(I9*J44,0)</f>
        <v>971</v>
      </c>
      <c r="L9" s="22"/>
      <c r="M9" s="771" t="s">
        <v>30</v>
      </c>
      <c r="N9" s="771"/>
      <c r="O9" s="771"/>
      <c r="P9" s="771"/>
      <c r="Q9" s="771"/>
      <c r="R9" s="206"/>
      <c r="S9" s="181"/>
      <c r="T9" s="208">
        <v>0.05</v>
      </c>
      <c r="U9" s="181">
        <f>ROUND(T9*U44,0)</f>
        <v>971</v>
      </c>
      <c r="V9" s="239" t="s">
        <v>461</v>
      </c>
    </row>
    <row r="10" spans="1:22" ht="15" customHeight="1" x14ac:dyDescent="0.25">
      <c r="A10" s="22"/>
      <c r="B10" s="777"/>
      <c r="C10" s="777"/>
      <c r="D10" s="777"/>
      <c r="E10" s="777"/>
      <c r="F10" s="777"/>
      <c r="G10" s="206"/>
      <c r="H10" s="181" t="s">
        <v>501</v>
      </c>
      <c r="I10" s="180"/>
      <c r="J10" s="181">
        <f>IF(B10="",0,ROUND(H10/I10,0))</f>
        <v>0</v>
      </c>
      <c r="L10" s="22"/>
      <c r="M10" s="777"/>
      <c r="N10" s="777"/>
      <c r="O10" s="777"/>
      <c r="P10" s="777"/>
      <c r="Q10" s="777"/>
      <c r="R10" s="206"/>
      <c r="S10" s="181" t="s">
        <v>501</v>
      </c>
      <c r="T10" s="180"/>
      <c r="U10" s="181">
        <f>IF(M10="",0,ROUND(S10/T10,0))</f>
        <v>0</v>
      </c>
    </row>
    <row r="11" spans="1:22" ht="15" customHeight="1" x14ac:dyDescent="0.25">
      <c r="A11" s="22"/>
      <c r="B11" s="771"/>
      <c r="C11" s="771"/>
      <c r="D11" s="771"/>
      <c r="E11" s="771"/>
      <c r="F11" s="771"/>
      <c r="G11" s="206"/>
      <c r="H11" s="181" t="s">
        <v>501</v>
      </c>
      <c r="I11" s="180"/>
      <c r="J11" s="181">
        <f t="shared" ref="J11:J15" si="1">IF(B11="",0,ROUND(H11/I11,0))</f>
        <v>0</v>
      </c>
      <c r="L11" s="22"/>
      <c r="M11" s="771"/>
      <c r="N11" s="771"/>
      <c r="O11" s="771"/>
      <c r="P11" s="771"/>
      <c r="Q11" s="771"/>
      <c r="R11" s="206"/>
      <c r="S11" s="181" t="s">
        <v>501</v>
      </c>
      <c r="T11" s="180"/>
      <c r="U11" s="181">
        <f t="shared" ref="U11:U15" si="2">IF(M11="",0,ROUND(S11/T11,0))</f>
        <v>0</v>
      </c>
    </row>
    <row r="12" spans="1:22" ht="15" customHeight="1" x14ac:dyDescent="0.25">
      <c r="A12" s="22"/>
      <c r="B12" s="771"/>
      <c r="C12" s="771"/>
      <c r="D12" s="771"/>
      <c r="E12" s="771"/>
      <c r="F12" s="771"/>
      <c r="G12" s="206" t="s">
        <v>501</v>
      </c>
      <c r="H12" s="181" t="s">
        <v>501</v>
      </c>
      <c r="I12" s="180"/>
      <c r="J12" s="181">
        <f t="shared" si="1"/>
        <v>0</v>
      </c>
      <c r="L12" s="22"/>
      <c r="M12" s="771"/>
      <c r="N12" s="771"/>
      <c r="O12" s="771"/>
      <c r="P12" s="771"/>
      <c r="Q12" s="771"/>
      <c r="R12" s="206" t="s">
        <v>501</v>
      </c>
      <c r="S12" s="181" t="s">
        <v>501</v>
      </c>
      <c r="T12" s="180"/>
      <c r="U12" s="181">
        <f t="shared" si="2"/>
        <v>0</v>
      </c>
    </row>
    <row r="13" spans="1:22" ht="15" customHeight="1" x14ac:dyDescent="0.25">
      <c r="A13" s="22"/>
      <c r="B13" s="771"/>
      <c r="C13" s="771"/>
      <c r="D13" s="771"/>
      <c r="E13" s="771"/>
      <c r="F13" s="771"/>
      <c r="G13" s="206" t="s">
        <v>501</v>
      </c>
      <c r="H13" s="181" t="s">
        <v>501</v>
      </c>
      <c r="I13" s="180"/>
      <c r="J13" s="181">
        <f t="shared" si="1"/>
        <v>0</v>
      </c>
      <c r="L13" s="22"/>
      <c r="M13" s="771"/>
      <c r="N13" s="771"/>
      <c r="O13" s="771"/>
      <c r="P13" s="771"/>
      <c r="Q13" s="771"/>
      <c r="R13" s="206" t="s">
        <v>501</v>
      </c>
      <c r="S13" s="181" t="s">
        <v>501</v>
      </c>
      <c r="T13" s="180"/>
      <c r="U13" s="181">
        <f t="shared" si="2"/>
        <v>0</v>
      </c>
    </row>
    <row r="14" spans="1:22" ht="15" customHeight="1" x14ac:dyDescent="0.25">
      <c r="A14" s="22"/>
      <c r="B14" s="771"/>
      <c r="C14" s="771"/>
      <c r="D14" s="771"/>
      <c r="E14" s="771"/>
      <c r="F14" s="771"/>
      <c r="G14" s="206" t="s">
        <v>501</v>
      </c>
      <c r="H14" s="181" t="s">
        <v>501</v>
      </c>
      <c r="I14" s="180"/>
      <c r="J14" s="181">
        <f t="shared" si="1"/>
        <v>0</v>
      </c>
      <c r="L14" s="22"/>
      <c r="M14" s="771"/>
      <c r="N14" s="771"/>
      <c r="O14" s="771"/>
      <c r="P14" s="771"/>
      <c r="Q14" s="771"/>
      <c r="R14" s="206" t="s">
        <v>501</v>
      </c>
      <c r="S14" s="181" t="s">
        <v>501</v>
      </c>
      <c r="T14" s="180"/>
      <c r="U14" s="181">
        <f t="shared" si="2"/>
        <v>0</v>
      </c>
    </row>
    <row r="15" spans="1:22" ht="15" customHeight="1" x14ac:dyDescent="0.25">
      <c r="A15" s="22"/>
      <c r="B15" s="771"/>
      <c r="C15" s="771"/>
      <c r="D15" s="771"/>
      <c r="E15" s="771"/>
      <c r="F15" s="771"/>
      <c r="G15" s="206" t="s">
        <v>501</v>
      </c>
      <c r="H15" s="181" t="s">
        <v>501</v>
      </c>
      <c r="I15" s="180"/>
      <c r="J15" s="181">
        <f t="shared" si="1"/>
        <v>0</v>
      </c>
      <c r="L15" s="22"/>
      <c r="M15" s="771"/>
      <c r="N15" s="771"/>
      <c r="O15" s="771"/>
      <c r="P15" s="771"/>
      <c r="Q15" s="771"/>
      <c r="R15" s="206" t="s">
        <v>501</v>
      </c>
      <c r="S15" s="181" t="s">
        <v>501</v>
      </c>
      <c r="T15" s="180"/>
      <c r="U15" s="181">
        <f t="shared" si="2"/>
        <v>0</v>
      </c>
    </row>
    <row r="16" spans="1:22" ht="15" customHeight="1" x14ac:dyDescent="0.25">
      <c r="A16" s="22"/>
      <c r="B16" s="771"/>
      <c r="C16" s="771"/>
      <c r="D16" s="771"/>
      <c r="E16" s="771"/>
      <c r="F16" s="771"/>
      <c r="G16" s="206" t="s">
        <v>501</v>
      </c>
      <c r="H16" s="181" t="s">
        <v>501</v>
      </c>
      <c r="I16" s="180"/>
      <c r="J16" s="181"/>
      <c r="L16" s="22"/>
      <c r="M16" s="771"/>
      <c r="N16" s="771"/>
      <c r="O16" s="771"/>
      <c r="P16" s="771"/>
      <c r="Q16" s="771"/>
      <c r="R16" s="206" t="s">
        <v>501</v>
      </c>
      <c r="S16" s="181" t="s">
        <v>501</v>
      </c>
      <c r="T16" s="180"/>
      <c r="U16" s="181"/>
    </row>
    <row r="17" spans="1:22" ht="15" customHeight="1" x14ac:dyDescent="0.25">
      <c r="A17" s="22"/>
      <c r="B17" s="772" t="s">
        <v>31</v>
      </c>
      <c r="C17" s="772"/>
      <c r="D17" s="772"/>
      <c r="E17" s="772"/>
      <c r="F17" s="772"/>
      <c r="G17" s="772"/>
      <c r="H17" s="772"/>
      <c r="I17" s="772"/>
      <c r="J17" s="181">
        <f>SUM(J9:J16)</f>
        <v>971</v>
      </c>
      <c r="L17" s="22"/>
      <c r="M17" s="772" t="s">
        <v>31</v>
      </c>
      <c r="N17" s="772"/>
      <c r="O17" s="772"/>
      <c r="P17" s="772"/>
      <c r="Q17" s="772"/>
      <c r="R17" s="772"/>
      <c r="S17" s="772"/>
      <c r="T17" s="772"/>
      <c r="U17" s="181">
        <f>SUM(U9:U16)</f>
        <v>971</v>
      </c>
    </row>
    <row r="18" spans="1:22" ht="7.5" customHeight="1" x14ac:dyDescent="0.25">
      <c r="A18" s="22"/>
      <c r="B18" s="25"/>
      <c r="C18" s="25"/>
      <c r="D18" s="25"/>
      <c r="E18" s="25"/>
      <c r="F18" s="25"/>
      <c r="G18" s="25"/>
      <c r="H18" s="25"/>
      <c r="I18" s="25"/>
      <c r="J18" s="26"/>
      <c r="L18" s="22"/>
      <c r="M18" s="25"/>
      <c r="N18" s="25"/>
      <c r="O18" s="25"/>
      <c r="P18" s="25"/>
      <c r="Q18" s="25"/>
      <c r="R18" s="25"/>
      <c r="S18" s="25"/>
      <c r="T18" s="25"/>
      <c r="U18" s="26"/>
    </row>
    <row r="19" spans="1:22" ht="15" customHeight="1" x14ac:dyDescent="0.25">
      <c r="A19" s="22"/>
      <c r="B19" s="772" t="s">
        <v>32</v>
      </c>
      <c r="C19" s="772"/>
      <c r="D19" s="772"/>
      <c r="E19" s="772"/>
      <c r="F19" s="772"/>
      <c r="G19" s="772"/>
      <c r="H19" s="772"/>
      <c r="I19" s="772"/>
      <c r="J19" s="772"/>
      <c r="L19" s="22"/>
      <c r="M19" s="772" t="s">
        <v>32</v>
      </c>
      <c r="N19" s="772"/>
      <c r="O19" s="772"/>
      <c r="P19" s="772"/>
      <c r="Q19" s="772"/>
      <c r="R19" s="772"/>
      <c r="S19" s="772"/>
      <c r="T19" s="772"/>
      <c r="U19" s="772"/>
    </row>
    <row r="20" spans="1:22" ht="26.4" x14ac:dyDescent="0.25">
      <c r="A20" s="22"/>
      <c r="B20" s="774" t="s">
        <v>33</v>
      </c>
      <c r="C20" s="774"/>
      <c r="D20" s="774"/>
      <c r="E20" s="774"/>
      <c r="F20" s="205" t="s">
        <v>19</v>
      </c>
      <c r="G20" s="206" t="s">
        <v>34</v>
      </c>
      <c r="H20" s="207" t="s">
        <v>35</v>
      </c>
      <c r="I20" s="207" t="s">
        <v>36</v>
      </c>
      <c r="J20" s="207" t="s">
        <v>29</v>
      </c>
      <c r="L20" s="22"/>
      <c r="M20" s="774" t="s">
        <v>33</v>
      </c>
      <c r="N20" s="774"/>
      <c r="O20" s="774"/>
      <c r="P20" s="774"/>
      <c r="Q20" s="205" t="s">
        <v>19</v>
      </c>
      <c r="R20" s="206" t="s">
        <v>34</v>
      </c>
      <c r="S20" s="207" t="s">
        <v>35</v>
      </c>
      <c r="T20" s="207" t="s">
        <v>36</v>
      </c>
      <c r="U20" s="207" t="s">
        <v>29</v>
      </c>
    </row>
    <row r="21" spans="1:22" ht="15" customHeight="1" x14ac:dyDescent="0.25">
      <c r="A21" s="22"/>
      <c r="B21" s="791" t="s">
        <v>430</v>
      </c>
      <c r="C21" s="792"/>
      <c r="D21" s="792"/>
      <c r="E21" s="793"/>
      <c r="F21" s="180">
        <v>1</v>
      </c>
      <c r="G21" s="206" t="s">
        <v>190</v>
      </c>
      <c r="H21" s="209">
        <v>0.05</v>
      </c>
      <c r="I21" s="181">
        <v>6800</v>
      </c>
      <c r="J21" s="181">
        <f>IF(I21="",0,ROUND((+F21*I21*(1+H21)),0))</f>
        <v>7140</v>
      </c>
      <c r="L21" s="22"/>
      <c r="M21" s="791" t="s">
        <v>430</v>
      </c>
      <c r="N21" s="792"/>
      <c r="O21" s="792"/>
      <c r="P21" s="793"/>
      <c r="Q21" s="180">
        <v>1</v>
      </c>
      <c r="R21" s="206" t="s">
        <v>190</v>
      </c>
      <c r="S21" s="209">
        <v>0.05</v>
      </c>
      <c r="T21" s="181">
        <v>6800</v>
      </c>
      <c r="U21" s="181">
        <f>IF(T21="",0,ROUND((+Q21*T21*(1+S21)),0))</f>
        <v>7140</v>
      </c>
      <c r="V21" s="239" t="s">
        <v>461</v>
      </c>
    </row>
    <row r="22" spans="1:22" ht="15" customHeight="1" x14ac:dyDescent="0.25">
      <c r="A22" s="22"/>
      <c r="B22" s="791" t="s">
        <v>431</v>
      </c>
      <c r="C22" s="792"/>
      <c r="D22" s="792"/>
      <c r="E22" s="793"/>
      <c r="F22" s="180">
        <v>1</v>
      </c>
      <c r="G22" s="206" t="s">
        <v>9</v>
      </c>
      <c r="H22" s="209"/>
      <c r="I22" s="181">
        <v>500</v>
      </c>
      <c r="J22" s="181">
        <f t="shared" ref="J22:J27" si="3">IF(I22="",0,ROUND((+F22*I22*(1+H22)),0))</f>
        <v>500</v>
      </c>
      <c r="K22" s="117"/>
      <c r="L22" s="22"/>
      <c r="M22" s="791" t="s">
        <v>431</v>
      </c>
      <c r="N22" s="792"/>
      <c r="O22" s="792"/>
      <c r="P22" s="793"/>
      <c r="Q22" s="180">
        <v>1</v>
      </c>
      <c r="R22" s="206" t="s">
        <v>9</v>
      </c>
      <c r="S22" s="209"/>
      <c r="T22" s="181">
        <v>500</v>
      </c>
      <c r="U22" s="181">
        <f t="shared" ref="U22:U27" si="4">IF(T22="",0,ROUND((+Q22*T22*(1+S22)),0))</f>
        <v>500</v>
      </c>
      <c r="V22" s="239" t="s">
        <v>461</v>
      </c>
    </row>
    <row r="23" spans="1:22" ht="15" customHeight="1" x14ac:dyDescent="0.25">
      <c r="A23" s="22"/>
      <c r="B23" s="791"/>
      <c r="C23" s="792"/>
      <c r="D23" s="792"/>
      <c r="E23" s="793"/>
      <c r="F23" s="180"/>
      <c r="G23" s="206" t="s">
        <v>501</v>
      </c>
      <c r="H23" s="209"/>
      <c r="I23" s="181" t="s">
        <v>501</v>
      </c>
      <c r="J23" s="181">
        <f t="shared" si="3"/>
        <v>0</v>
      </c>
      <c r="K23" s="117"/>
      <c r="L23" s="22"/>
      <c r="M23" s="791"/>
      <c r="N23" s="792"/>
      <c r="O23" s="792"/>
      <c r="P23" s="793"/>
      <c r="Q23" s="180"/>
      <c r="R23" s="206" t="s">
        <v>501</v>
      </c>
      <c r="S23" s="209"/>
      <c r="T23" s="181" t="s">
        <v>501</v>
      </c>
      <c r="U23" s="181">
        <f t="shared" si="4"/>
        <v>0</v>
      </c>
    </row>
    <row r="24" spans="1:22" ht="15" customHeight="1" x14ac:dyDescent="0.25">
      <c r="A24" s="22"/>
      <c r="B24" s="791"/>
      <c r="C24" s="792"/>
      <c r="D24" s="792"/>
      <c r="E24" s="793"/>
      <c r="F24" s="180"/>
      <c r="G24" s="206" t="s">
        <v>501</v>
      </c>
      <c r="H24" s="209"/>
      <c r="I24" s="181" t="s">
        <v>501</v>
      </c>
      <c r="J24" s="181">
        <f t="shared" si="3"/>
        <v>0</v>
      </c>
      <c r="K24" s="117"/>
      <c r="L24" s="22"/>
      <c r="M24" s="791"/>
      <c r="N24" s="792"/>
      <c r="O24" s="792"/>
      <c r="P24" s="793"/>
      <c r="Q24" s="180"/>
      <c r="R24" s="206" t="s">
        <v>501</v>
      </c>
      <c r="S24" s="209"/>
      <c r="T24" s="181" t="s">
        <v>501</v>
      </c>
      <c r="U24" s="181">
        <f t="shared" si="4"/>
        <v>0</v>
      </c>
    </row>
    <row r="25" spans="1:22" ht="15" customHeight="1" x14ac:dyDescent="0.25">
      <c r="A25" s="22"/>
      <c r="B25" s="791"/>
      <c r="C25" s="792"/>
      <c r="D25" s="792"/>
      <c r="E25" s="793"/>
      <c r="F25" s="180"/>
      <c r="G25" s="206" t="s">
        <v>501</v>
      </c>
      <c r="H25" s="209"/>
      <c r="I25" s="181" t="s">
        <v>501</v>
      </c>
      <c r="J25" s="181">
        <f t="shared" si="3"/>
        <v>0</v>
      </c>
      <c r="L25" s="22"/>
      <c r="M25" s="791"/>
      <c r="N25" s="792"/>
      <c r="O25" s="792"/>
      <c r="P25" s="793"/>
      <c r="Q25" s="180"/>
      <c r="R25" s="206" t="s">
        <v>501</v>
      </c>
      <c r="S25" s="209"/>
      <c r="T25" s="181" t="s">
        <v>501</v>
      </c>
      <c r="U25" s="181">
        <f t="shared" si="4"/>
        <v>0</v>
      </c>
    </row>
    <row r="26" spans="1:22" ht="15" customHeight="1" x14ac:dyDescent="0.25">
      <c r="A26" s="22"/>
      <c r="B26" s="791"/>
      <c r="C26" s="792"/>
      <c r="D26" s="792"/>
      <c r="E26" s="793"/>
      <c r="F26" s="180"/>
      <c r="G26" s="206" t="s">
        <v>501</v>
      </c>
      <c r="H26" s="209"/>
      <c r="I26" s="181" t="s">
        <v>501</v>
      </c>
      <c r="J26" s="181">
        <f t="shared" si="3"/>
        <v>0</v>
      </c>
      <c r="L26" s="22"/>
      <c r="M26" s="791"/>
      <c r="N26" s="792"/>
      <c r="O26" s="792"/>
      <c r="P26" s="793"/>
      <c r="Q26" s="180"/>
      <c r="R26" s="206" t="s">
        <v>501</v>
      </c>
      <c r="S26" s="209"/>
      <c r="T26" s="181" t="s">
        <v>501</v>
      </c>
      <c r="U26" s="181">
        <f t="shared" si="4"/>
        <v>0</v>
      </c>
    </row>
    <row r="27" spans="1:22" ht="15" customHeight="1" x14ac:dyDescent="0.25">
      <c r="A27" s="22"/>
      <c r="B27" s="791"/>
      <c r="C27" s="792"/>
      <c r="D27" s="792"/>
      <c r="E27" s="793"/>
      <c r="F27" s="180"/>
      <c r="G27" s="206" t="s">
        <v>501</v>
      </c>
      <c r="H27" s="209"/>
      <c r="I27" s="181" t="s">
        <v>501</v>
      </c>
      <c r="J27" s="181">
        <f t="shared" si="3"/>
        <v>0</v>
      </c>
      <c r="L27" s="22"/>
      <c r="M27" s="791"/>
      <c r="N27" s="792"/>
      <c r="O27" s="792"/>
      <c r="P27" s="793"/>
      <c r="Q27" s="180"/>
      <c r="R27" s="206" t="s">
        <v>501</v>
      </c>
      <c r="S27" s="209"/>
      <c r="T27" s="181" t="s">
        <v>501</v>
      </c>
      <c r="U27" s="181">
        <f t="shared" si="4"/>
        <v>0</v>
      </c>
    </row>
    <row r="28" spans="1:22" ht="15" customHeight="1" x14ac:dyDescent="0.25">
      <c r="A28" s="22"/>
      <c r="B28" s="785"/>
      <c r="C28" s="786"/>
      <c r="D28" s="786"/>
      <c r="E28" s="787"/>
      <c r="F28" s="180"/>
      <c r="G28" s="206" t="s">
        <v>501</v>
      </c>
      <c r="H28" s="209"/>
      <c r="I28" s="181" t="s">
        <v>501</v>
      </c>
      <c r="J28" s="181"/>
      <c r="L28" s="22"/>
      <c r="M28" s="785"/>
      <c r="N28" s="786"/>
      <c r="O28" s="786"/>
      <c r="P28" s="787"/>
      <c r="Q28" s="180"/>
      <c r="R28" s="206" t="s">
        <v>501</v>
      </c>
      <c r="S28" s="209"/>
      <c r="T28" s="181" t="s">
        <v>501</v>
      </c>
      <c r="U28" s="181"/>
    </row>
    <row r="29" spans="1:22" ht="15" customHeight="1" x14ac:dyDescent="0.25">
      <c r="A29" s="22"/>
      <c r="B29" s="772" t="s">
        <v>37</v>
      </c>
      <c r="C29" s="772"/>
      <c r="D29" s="772"/>
      <c r="E29" s="772"/>
      <c r="F29" s="772"/>
      <c r="G29" s="772"/>
      <c r="H29" s="772"/>
      <c r="I29" s="772"/>
      <c r="J29" s="181">
        <f>SUM(J21:J28)</f>
        <v>7640</v>
      </c>
      <c r="L29" s="22"/>
      <c r="M29" s="772" t="s">
        <v>37</v>
      </c>
      <c r="N29" s="772"/>
      <c r="O29" s="772"/>
      <c r="P29" s="772"/>
      <c r="Q29" s="772"/>
      <c r="R29" s="772"/>
      <c r="S29" s="772"/>
      <c r="T29" s="772"/>
      <c r="U29" s="181">
        <f>SUM(U21:U28)</f>
        <v>7640</v>
      </c>
    </row>
    <row r="30" spans="1:22" ht="7.5" customHeight="1" x14ac:dyDescent="0.25">
      <c r="A30" s="22"/>
      <c r="B30" s="25"/>
      <c r="C30" s="25"/>
      <c r="D30" s="25"/>
      <c r="E30" s="25"/>
      <c r="F30" s="25"/>
      <c r="G30" s="25"/>
      <c r="H30" s="25"/>
      <c r="I30" s="25"/>
      <c r="J30" s="26"/>
      <c r="L30" s="22"/>
      <c r="M30" s="25"/>
      <c r="N30" s="25"/>
      <c r="O30" s="25"/>
      <c r="P30" s="25"/>
      <c r="Q30" s="25"/>
      <c r="R30" s="25"/>
      <c r="S30" s="25"/>
      <c r="T30" s="25"/>
      <c r="U30" s="26"/>
    </row>
    <row r="31" spans="1:22" ht="15" customHeight="1" x14ac:dyDescent="0.25">
      <c r="A31" s="22"/>
      <c r="B31" s="772" t="s">
        <v>38</v>
      </c>
      <c r="C31" s="772"/>
      <c r="D31" s="772"/>
      <c r="E31" s="772"/>
      <c r="F31" s="772"/>
      <c r="G31" s="772"/>
      <c r="H31" s="772"/>
      <c r="I31" s="772"/>
      <c r="J31" s="772"/>
      <c r="L31" s="22"/>
      <c r="M31" s="772" t="s">
        <v>38</v>
      </c>
      <c r="N31" s="772"/>
      <c r="O31" s="772"/>
      <c r="P31" s="772"/>
      <c r="Q31" s="772"/>
      <c r="R31" s="772"/>
      <c r="S31" s="772"/>
      <c r="T31" s="772"/>
      <c r="U31" s="772"/>
    </row>
    <row r="32" spans="1:22" ht="26.4" customHeight="1" x14ac:dyDescent="0.25">
      <c r="A32" s="22"/>
      <c r="B32" s="774" t="s">
        <v>33</v>
      </c>
      <c r="C32" s="774"/>
      <c r="D32" s="774"/>
      <c r="E32" s="774"/>
      <c r="F32" s="774"/>
      <c r="G32" s="206" t="s">
        <v>133</v>
      </c>
      <c r="H32" s="206" t="s">
        <v>132</v>
      </c>
      <c r="I32" s="206" t="s">
        <v>39</v>
      </c>
      <c r="J32" s="207" t="s">
        <v>29</v>
      </c>
      <c r="L32" s="22"/>
      <c r="M32" s="774" t="s">
        <v>33</v>
      </c>
      <c r="N32" s="774"/>
      <c r="O32" s="774"/>
      <c r="P32" s="774"/>
      <c r="Q32" s="774"/>
      <c r="R32" s="206" t="s">
        <v>133</v>
      </c>
      <c r="S32" s="206" t="s">
        <v>132</v>
      </c>
      <c r="T32" s="206" t="s">
        <v>39</v>
      </c>
      <c r="U32" s="207" t="s">
        <v>29</v>
      </c>
    </row>
    <row r="33" spans="1:22" ht="15" customHeight="1" x14ac:dyDescent="0.25">
      <c r="A33" s="22"/>
      <c r="B33" s="771"/>
      <c r="C33" s="771"/>
      <c r="D33" s="771"/>
      <c r="E33" s="771"/>
      <c r="F33" s="771"/>
      <c r="G33" s="206"/>
      <c r="H33" s="180"/>
      <c r="I33" s="181"/>
      <c r="J33" s="181">
        <f>ROUND(I33*H33,0)</f>
        <v>0</v>
      </c>
      <c r="L33" s="22"/>
      <c r="M33" s="771"/>
      <c r="N33" s="771"/>
      <c r="O33" s="771"/>
      <c r="P33" s="771"/>
      <c r="Q33" s="771"/>
      <c r="R33" s="206"/>
      <c r="S33" s="180"/>
      <c r="T33" s="181"/>
      <c r="U33" s="181">
        <f>ROUND(T33*S33,0)</f>
        <v>0</v>
      </c>
    </row>
    <row r="34" spans="1:22" ht="15" customHeight="1" x14ac:dyDescent="0.25">
      <c r="A34" s="22"/>
      <c r="B34" s="771"/>
      <c r="C34" s="771"/>
      <c r="D34" s="771"/>
      <c r="E34" s="771"/>
      <c r="F34" s="771"/>
      <c r="G34" s="206"/>
      <c r="H34" s="180"/>
      <c r="I34" s="181"/>
      <c r="J34" s="181">
        <v>0</v>
      </c>
      <c r="L34" s="22"/>
      <c r="M34" s="771"/>
      <c r="N34" s="771"/>
      <c r="O34" s="771"/>
      <c r="P34" s="771"/>
      <c r="Q34" s="771"/>
      <c r="R34" s="206"/>
      <c r="S34" s="180"/>
      <c r="T34" s="181"/>
      <c r="U34" s="181">
        <v>0</v>
      </c>
    </row>
    <row r="35" spans="1:22" ht="15" customHeight="1" x14ac:dyDescent="0.25">
      <c r="A35" s="22"/>
      <c r="B35" s="771"/>
      <c r="C35" s="771"/>
      <c r="D35" s="771"/>
      <c r="E35" s="771"/>
      <c r="F35" s="771"/>
      <c r="G35" s="206"/>
      <c r="H35" s="180"/>
      <c r="I35" s="181"/>
      <c r="J35" s="181">
        <v>0</v>
      </c>
      <c r="L35" s="22"/>
      <c r="M35" s="771"/>
      <c r="N35" s="771"/>
      <c r="O35" s="771"/>
      <c r="P35" s="771"/>
      <c r="Q35" s="771"/>
      <c r="R35" s="206"/>
      <c r="S35" s="180"/>
      <c r="T35" s="181"/>
      <c r="U35" s="181">
        <v>0</v>
      </c>
    </row>
    <row r="36" spans="1:22" ht="15" customHeight="1" x14ac:dyDescent="0.25">
      <c r="A36" s="22"/>
      <c r="B36" s="771"/>
      <c r="C36" s="771"/>
      <c r="D36" s="771"/>
      <c r="E36" s="771"/>
      <c r="F36" s="771"/>
      <c r="G36" s="206"/>
      <c r="H36" s="206"/>
      <c r="I36" s="181"/>
      <c r="J36" s="181">
        <v>0</v>
      </c>
      <c r="L36" s="22"/>
      <c r="M36" s="771"/>
      <c r="N36" s="771"/>
      <c r="O36" s="771"/>
      <c r="P36" s="771"/>
      <c r="Q36" s="771"/>
      <c r="R36" s="206"/>
      <c r="S36" s="206"/>
      <c r="T36" s="181"/>
      <c r="U36" s="181">
        <v>0</v>
      </c>
    </row>
    <row r="37" spans="1:22" ht="15" customHeight="1" x14ac:dyDescent="0.25">
      <c r="A37" s="22"/>
      <c r="B37" s="772" t="s">
        <v>40</v>
      </c>
      <c r="C37" s="772"/>
      <c r="D37" s="772"/>
      <c r="E37" s="772"/>
      <c r="F37" s="772"/>
      <c r="G37" s="772"/>
      <c r="H37" s="772"/>
      <c r="I37" s="772"/>
      <c r="J37" s="181">
        <f>SUM(J33:J36)</f>
        <v>0</v>
      </c>
      <c r="L37" s="22"/>
      <c r="M37" s="772" t="s">
        <v>40</v>
      </c>
      <c r="N37" s="772"/>
      <c r="O37" s="772"/>
      <c r="P37" s="772"/>
      <c r="Q37" s="772"/>
      <c r="R37" s="772"/>
      <c r="S37" s="772"/>
      <c r="T37" s="772"/>
      <c r="U37" s="181">
        <f>SUM(U33:U36)</f>
        <v>0</v>
      </c>
    </row>
    <row r="38" spans="1:22" ht="7.5" customHeight="1" x14ac:dyDescent="0.25">
      <c r="A38" s="22"/>
      <c r="B38" s="25"/>
      <c r="C38" s="25"/>
      <c r="D38" s="25"/>
      <c r="E38" s="25"/>
      <c r="F38" s="25"/>
      <c r="G38" s="25"/>
      <c r="H38" s="25"/>
      <c r="I38" s="25"/>
      <c r="J38" s="26"/>
      <c r="L38" s="22"/>
      <c r="M38" s="25"/>
      <c r="N38" s="25"/>
      <c r="O38" s="25"/>
      <c r="P38" s="25"/>
      <c r="Q38" s="25"/>
      <c r="R38" s="25"/>
      <c r="S38" s="25"/>
      <c r="T38" s="25"/>
      <c r="U38" s="26"/>
    </row>
    <row r="39" spans="1:22" ht="15" customHeight="1" x14ac:dyDescent="0.25">
      <c r="A39" s="22"/>
      <c r="B39" s="772" t="s">
        <v>41</v>
      </c>
      <c r="C39" s="772"/>
      <c r="D39" s="772"/>
      <c r="E39" s="772"/>
      <c r="F39" s="772"/>
      <c r="G39" s="772"/>
      <c r="H39" s="772"/>
      <c r="I39" s="772"/>
      <c r="J39" s="772"/>
      <c r="L39" s="22"/>
      <c r="M39" s="772" t="s">
        <v>41</v>
      </c>
      <c r="N39" s="772"/>
      <c r="O39" s="772"/>
      <c r="P39" s="772"/>
      <c r="Q39" s="772"/>
      <c r="R39" s="772"/>
      <c r="S39" s="772"/>
      <c r="T39" s="772"/>
      <c r="U39" s="772"/>
    </row>
    <row r="40" spans="1:22" ht="39.6" x14ac:dyDescent="0.25">
      <c r="A40" s="22"/>
      <c r="B40" s="774" t="s">
        <v>4</v>
      </c>
      <c r="C40" s="774"/>
      <c r="D40" s="774"/>
      <c r="E40" s="774"/>
      <c r="F40" s="774"/>
      <c r="G40" s="207" t="s">
        <v>51</v>
      </c>
      <c r="H40" s="207" t="s">
        <v>19</v>
      </c>
      <c r="I40" s="207" t="s">
        <v>28</v>
      </c>
      <c r="J40" s="207" t="s">
        <v>29</v>
      </c>
      <c r="L40" s="22"/>
      <c r="M40" s="774" t="s">
        <v>4</v>
      </c>
      <c r="N40" s="774"/>
      <c r="O40" s="774"/>
      <c r="P40" s="774"/>
      <c r="Q40" s="774"/>
      <c r="R40" s="207" t="s">
        <v>51</v>
      </c>
      <c r="S40" s="207" t="s">
        <v>19</v>
      </c>
      <c r="T40" s="207" t="s">
        <v>28</v>
      </c>
      <c r="U40" s="207" t="s">
        <v>29</v>
      </c>
    </row>
    <row r="41" spans="1:22" x14ac:dyDescent="0.25">
      <c r="A41" s="22"/>
      <c r="B41" s="814" t="s">
        <v>467</v>
      </c>
      <c r="C41" s="814"/>
      <c r="D41" s="814"/>
      <c r="E41" s="814"/>
      <c r="F41" s="814"/>
      <c r="G41" s="248">
        <v>172935.10666666669</v>
      </c>
      <c r="H41" s="246">
        <v>1</v>
      </c>
      <c r="I41" s="245">
        <v>17</v>
      </c>
      <c r="J41" s="248">
        <f>ROUND(+IF(I41=0,0,G41*H41/I41),0)</f>
        <v>10173</v>
      </c>
      <c r="L41" s="22"/>
      <c r="M41" s="814" t="s">
        <v>467</v>
      </c>
      <c r="N41" s="814"/>
      <c r="O41" s="814"/>
      <c r="P41" s="814"/>
      <c r="Q41" s="814"/>
      <c r="R41" s="248">
        <v>172935.10666666669</v>
      </c>
      <c r="S41" s="246">
        <v>1</v>
      </c>
      <c r="T41" s="245">
        <v>17</v>
      </c>
      <c r="U41" s="248">
        <f>ROUND(+IF(T41=0,0,R41*S41/T41),0)</f>
        <v>10173</v>
      </c>
      <c r="V41" s="264" t="s">
        <v>448</v>
      </c>
    </row>
    <row r="42" spans="1:22" ht="15" customHeight="1" x14ac:dyDescent="0.25">
      <c r="A42" s="22"/>
      <c r="B42" s="814" t="s">
        <v>386</v>
      </c>
      <c r="C42" s="814"/>
      <c r="D42" s="814"/>
      <c r="E42" s="814"/>
      <c r="F42" s="814"/>
      <c r="G42" s="248">
        <v>78606.866666666669</v>
      </c>
      <c r="H42" s="246">
        <v>2</v>
      </c>
      <c r="I42" s="245">
        <f>I41</f>
        <v>17</v>
      </c>
      <c r="J42" s="248">
        <f>ROUND(+IF(I42=0,0,G42*H42/I42),0)</f>
        <v>9248</v>
      </c>
      <c r="L42" s="22"/>
      <c r="M42" s="814" t="s">
        <v>386</v>
      </c>
      <c r="N42" s="814"/>
      <c r="O42" s="814"/>
      <c r="P42" s="814"/>
      <c r="Q42" s="814"/>
      <c r="R42" s="248">
        <v>78606.866666666669</v>
      </c>
      <c r="S42" s="246">
        <v>2</v>
      </c>
      <c r="T42" s="245">
        <f>T41</f>
        <v>17</v>
      </c>
      <c r="U42" s="248">
        <f>ROUND(+IF(T42=0,0,R42*S42/T42),0)</f>
        <v>9248</v>
      </c>
      <c r="V42" s="239" t="s">
        <v>448</v>
      </c>
    </row>
    <row r="43" spans="1:22" ht="15" customHeight="1" x14ac:dyDescent="0.25">
      <c r="A43" s="22"/>
      <c r="B43" s="771"/>
      <c r="C43" s="771"/>
      <c r="D43" s="771"/>
      <c r="E43" s="771"/>
      <c r="F43" s="771"/>
      <c r="G43" s="181" t="s">
        <v>501</v>
      </c>
      <c r="H43" s="206"/>
      <c r="I43" s="180"/>
      <c r="J43" s="181">
        <f t="shared" ref="J43" si="5">+IF(I43=0,0,G43*H43/I43)</f>
        <v>0</v>
      </c>
      <c r="L43" s="22"/>
      <c r="M43" s="771"/>
      <c r="N43" s="771"/>
      <c r="O43" s="771"/>
      <c r="P43" s="771"/>
      <c r="Q43" s="771"/>
      <c r="R43" s="181" t="s">
        <v>501</v>
      </c>
      <c r="S43" s="206"/>
      <c r="T43" s="180"/>
      <c r="U43" s="181">
        <f t="shared" ref="U43" si="6">+IF(T43=0,0,R43*S43/T43)</f>
        <v>0</v>
      </c>
    </row>
    <row r="44" spans="1:22" ht="15" customHeight="1" x14ac:dyDescent="0.25">
      <c r="A44" s="22"/>
      <c r="B44" s="772" t="s">
        <v>42</v>
      </c>
      <c r="C44" s="772"/>
      <c r="D44" s="772"/>
      <c r="E44" s="772"/>
      <c r="F44" s="772"/>
      <c r="G44" s="772"/>
      <c r="H44" s="772"/>
      <c r="I44" s="772"/>
      <c r="J44" s="181">
        <f>SUM(J41:J43)</f>
        <v>19421</v>
      </c>
      <c r="L44" s="22"/>
      <c r="M44" s="772" t="s">
        <v>42</v>
      </c>
      <c r="N44" s="772"/>
      <c r="O44" s="772"/>
      <c r="P44" s="772"/>
      <c r="Q44" s="772"/>
      <c r="R44" s="772"/>
      <c r="S44" s="772"/>
      <c r="T44" s="772"/>
      <c r="U44" s="181">
        <f>SUM(U41:U43)</f>
        <v>19421</v>
      </c>
    </row>
    <row r="45" spans="1:22" ht="7.5" customHeight="1" x14ac:dyDescent="0.25">
      <c r="A45" s="22"/>
      <c r="B45" s="25"/>
      <c r="C45" s="25"/>
      <c r="D45" s="25"/>
      <c r="E45" s="25"/>
      <c r="F45" s="25"/>
      <c r="G45" s="25"/>
      <c r="H45" s="25"/>
      <c r="I45" s="25"/>
      <c r="J45" s="26"/>
      <c r="L45" s="22"/>
      <c r="M45" s="25"/>
      <c r="N45" s="25"/>
      <c r="O45" s="25"/>
      <c r="P45" s="25"/>
      <c r="Q45" s="25"/>
      <c r="R45" s="25"/>
      <c r="S45" s="25"/>
      <c r="T45" s="25"/>
      <c r="U45" s="26"/>
    </row>
    <row r="46" spans="1:22" ht="15.75" customHeight="1" x14ac:dyDescent="0.25">
      <c r="A46" s="27"/>
      <c r="B46" s="773" t="s">
        <v>43</v>
      </c>
      <c r="C46" s="773"/>
      <c r="D46" s="773"/>
      <c r="E46" s="773"/>
      <c r="F46" s="773"/>
      <c r="G46" s="773"/>
      <c r="H46" s="773"/>
      <c r="I46" s="773"/>
      <c r="J46" s="210">
        <f>+J44+J37+J17+J29</f>
        <v>28032</v>
      </c>
      <c r="L46" s="27"/>
      <c r="M46" s="773" t="s">
        <v>43</v>
      </c>
      <c r="N46" s="773"/>
      <c r="O46" s="773"/>
      <c r="P46" s="773"/>
      <c r="Q46" s="773"/>
      <c r="R46" s="773"/>
      <c r="S46" s="773"/>
      <c r="T46" s="773"/>
      <c r="U46" s="210">
        <f>+U44+U37+U17+U29</f>
        <v>28032</v>
      </c>
    </row>
    <row r="47" spans="1:22" x14ac:dyDescent="0.25">
      <c r="B47" s="21"/>
      <c r="C47" s="21"/>
      <c r="D47" s="21"/>
      <c r="E47" s="21"/>
      <c r="F47" s="21"/>
      <c r="G47" s="21"/>
      <c r="H47" s="21"/>
      <c r="I47" s="21"/>
      <c r="J47" s="21"/>
    </row>
    <row r="49" spans="8:10" ht="13.8" thickBot="1" x14ac:dyDescent="0.3"/>
    <row r="50" spans="8:10" x14ac:dyDescent="0.25">
      <c r="H50" s="251" t="s">
        <v>477</v>
      </c>
      <c r="I50" s="252"/>
      <c r="J50" s="253">
        <v>29143</v>
      </c>
    </row>
    <row r="51" spans="8:10" x14ac:dyDescent="0.25">
      <c r="H51" s="254" t="s">
        <v>469</v>
      </c>
      <c r="I51" s="239"/>
      <c r="J51" s="255">
        <f>+U46</f>
        <v>28032</v>
      </c>
    </row>
    <row r="52" spans="8:10" ht="13.8" thickBot="1" x14ac:dyDescent="0.3">
      <c r="H52" s="256" t="s">
        <v>470</v>
      </c>
      <c r="I52" s="257"/>
      <c r="J52" s="258">
        <f>J46</f>
        <v>28032</v>
      </c>
    </row>
  </sheetData>
  <mergeCells count="84">
    <mergeCell ref="A1:C4"/>
    <mergeCell ref="D1:J1"/>
    <mergeCell ref="L1:N4"/>
    <mergeCell ref="O1:U1"/>
    <mergeCell ref="D2:J2"/>
    <mergeCell ref="O2:U2"/>
    <mergeCell ref="D3:J3"/>
    <mergeCell ref="O3:U3"/>
    <mergeCell ref="D4:J4"/>
    <mergeCell ref="O4:U4"/>
    <mergeCell ref="E6:H6"/>
    <mergeCell ref="P6:S6"/>
    <mergeCell ref="B7:J7"/>
    <mergeCell ref="M7:U7"/>
    <mergeCell ref="B8:F8"/>
    <mergeCell ref="M8:Q8"/>
    <mergeCell ref="B9:F9"/>
    <mergeCell ref="M9:Q9"/>
    <mergeCell ref="B10:F10"/>
    <mergeCell ref="M10:Q10"/>
    <mergeCell ref="B11:F11"/>
    <mergeCell ref="M11:Q11"/>
    <mergeCell ref="B12:F12"/>
    <mergeCell ref="M12:Q12"/>
    <mergeCell ref="B13:F13"/>
    <mergeCell ref="M13:Q13"/>
    <mergeCell ref="B14:F14"/>
    <mergeCell ref="M14:Q14"/>
    <mergeCell ref="B15:F15"/>
    <mergeCell ref="M15:Q15"/>
    <mergeCell ref="B16:F16"/>
    <mergeCell ref="M16:Q16"/>
    <mergeCell ref="B17:I17"/>
    <mergeCell ref="M17:T17"/>
    <mergeCell ref="B19:J19"/>
    <mergeCell ref="M19:U19"/>
    <mergeCell ref="B20:E20"/>
    <mergeCell ref="M20:P20"/>
    <mergeCell ref="B21:E21"/>
    <mergeCell ref="M21:P21"/>
    <mergeCell ref="B22:E22"/>
    <mergeCell ref="M22:P22"/>
    <mergeCell ref="B23:E23"/>
    <mergeCell ref="M23:P23"/>
    <mergeCell ref="B24:E24"/>
    <mergeCell ref="M24:P24"/>
    <mergeCell ref="B25:E25"/>
    <mergeCell ref="M25:P25"/>
    <mergeCell ref="B26:E26"/>
    <mergeCell ref="M26:P26"/>
    <mergeCell ref="B27:E27"/>
    <mergeCell ref="M27:P27"/>
    <mergeCell ref="B28:E28"/>
    <mergeCell ref="M28:P28"/>
    <mergeCell ref="B29:I29"/>
    <mergeCell ref="M29:T29"/>
    <mergeCell ref="B31:J31"/>
    <mergeCell ref="M31:U31"/>
    <mergeCell ref="B32:F32"/>
    <mergeCell ref="M32:Q32"/>
    <mergeCell ref="B33:F33"/>
    <mergeCell ref="M33:Q33"/>
    <mergeCell ref="B34:F34"/>
    <mergeCell ref="M34:Q34"/>
    <mergeCell ref="B35:F35"/>
    <mergeCell ref="M35:Q35"/>
    <mergeCell ref="B36:F36"/>
    <mergeCell ref="M36:Q36"/>
    <mergeCell ref="B37:I37"/>
    <mergeCell ref="M37:T37"/>
    <mergeCell ref="B39:J39"/>
    <mergeCell ref="M39:U39"/>
    <mergeCell ref="B40:F40"/>
    <mergeCell ref="M40:Q40"/>
    <mergeCell ref="B41:F41"/>
    <mergeCell ref="M41:Q41"/>
    <mergeCell ref="B46:I46"/>
    <mergeCell ref="M46:T46"/>
    <mergeCell ref="B42:F42"/>
    <mergeCell ref="M42:Q42"/>
    <mergeCell ref="B43:F43"/>
    <mergeCell ref="M43:Q43"/>
    <mergeCell ref="B44:I44"/>
    <mergeCell ref="M44:T44"/>
  </mergeCells>
  <hyperlinks>
    <hyperlink ref="C6" location="'PPTO HOJA'!A124" display="'PPTO HOJA'!A124" xr:uid="{00000000-0004-0000-4200-000000000000}"/>
    <hyperlink ref="N6" location="'PPTO HOJA'!A124" display="'PPTO HOJA'!A124" xr:uid="{00000000-0004-0000-4200-000001000000}"/>
  </hyperlinks>
  <pageMargins left="0.7" right="0.7" top="0.75" bottom="0.75" header="0.3" footer="0.3"/>
  <pageSetup paperSize="9" scale="31" orientation="portrait" r:id="rId1"/>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tabColor theme="5" tint="0.59999389629810485"/>
  </sheetPr>
  <dimension ref="A1:W52"/>
  <sheetViews>
    <sheetView zoomScale="85" zoomScaleNormal="85" zoomScaleSheetLayoutView="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4.88671875" style="20" bestFit="1" customWidth="1"/>
    <col min="11" max="17" width="11.44140625" style="20"/>
    <col min="18" max="18" width="12.33203125" style="20" bestFit="1" customWidth="1"/>
    <col min="19" max="20" width="11.44140625" style="20"/>
    <col min="21" max="21" width="17" style="20" customWidth="1"/>
    <col min="22" max="22" width="9.33203125" style="20" customWidth="1"/>
    <col min="23" max="23" width="30.88671875" style="20" customWidth="1"/>
    <col min="24" max="16384" width="11.44140625" style="20"/>
  </cols>
  <sheetData>
    <row r="1" spans="1:22" x14ac:dyDescent="0.25">
      <c r="A1" s="768"/>
      <c r="B1" s="768"/>
      <c r="C1" s="768"/>
      <c r="D1" s="769" t="s">
        <v>1</v>
      </c>
      <c r="E1" s="769"/>
      <c r="F1" s="769"/>
      <c r="G1" s="769"/>
      <c r="H1" s="769"/>
      <c r="I1" s="769"/>
      <c r="J1" s="769"/>
      <c r="L1" s="768"/>
      <c r="M1" s="768"/>
      <c r="N1" s="768"/>
      <c r="O1" s="769" t="str">
        <f>D1</f>
        <v>DEPARTAMENTO DE ANTIOQUIA</v>
      </c>
      <c r="P1" s="769"/>
      <c r="Q1" s="769"/>
      <c r="R1" s="769"/>
      <c r="S1" s="769"/>
      <c r="T1" s="769"/>
      <c r="U1" s="769"/>
    </row>
    <row r="2" spans="1:22" x14ac:dyDescent="0.25">
      <c r="A2" s="768"/>
      <c r="B2" s="768"/>
      <c r="C2" s="768"/>
      <c r="D2" s="769" t="s">
        <v>2</v>
      </c>
      <c r="E2" s="769"/>
      <c r="F2" s="769"/>
      <c r="G2" s="769"/>
      <c r="H2" s="769"/>
      <c r="I2" s="769"/>
      <c r="J2" s="769"/>
      <c r="L2" s="768"/>
      <c r="M2" s="768"/>
      <c r="N2" s="768"/>
      <c r="O2" s="769" t="str">
        <f t="shared" ref="O2:O3" si="0">D2</f>
        <v>MUNICIPIO DE ARBOLETES</v>
      </c>
      <c r="P2" s="769"/>
      <c r="Q2" s="769"/>
      <c r="R2" s="769"/>
      <c r="S2" s="769"/>
      <c r="T2" s="769"/>
      <c r="U2" s="769"/>
    </row>
    <row r="3" spans="1:22" ht="46.5" customHeight="1" x14ac:dyDescent="0.25">
      <c r="A3" s="768"/>
      <c r="B3" s="768"/>
      <c r="C3" s="768"/>
      <c r="D3" s="770" t="s">
        <v>328</v>
      </c>
      <c r="E3" s="770"/>
      <c r="F3" s="770"/>
      <c r="G3" s="770"/>
      <c r="H3" s="770"/>
      <c r="I3" s="770"/>
      <c r="J3" s="770"/>
      <c r="L3" s="768"/>
      <c r="M3" s="768"/>
      <c r="N3" s="768"/>
      <c r="O3" s="770" t="str">
        <f t="shared" si="0"/>
        <v>CONSTRUCCION DE OBRAS CIVILES COMPLEMENTARIAS PARA EL CORRECTO FUNCIONAMIENTO DEL PROYECTO DENOMINADO “PARQUE GEOLÓGICO, NATURAL, AMBIENTAL, CULTURAL Y TURÍSTICO, VOLCÁN DE LODO DE ARBOLETES”, QUE SE LLEVARÁ A CABO EN EL MUNICIPIO DE ARBOLETES-ANTIOQUIA</v>
      </c>
      <c r="P3" s="770"/>
      <c r="Q3" s="770"/>
      <c r="R3" s="770"/>
      <c r="S3" s="770"/>
      <c r="T3" s="770"/>
      <c r="U3" s="770"/>
    </row>
    <row r="4" spans="1:22" x14ac:dyDescent="0.25">
      <c r="A4" s="768"/>
      <c r="B4" s="768"/>
      <c r="C4" s="768"/>
      <c r="D4" s="769" t="s">
        <v>20</v>
      </c>
      <c r="E4" s="769"/>
      <c r="F4" s="769"/>
      <c r="G4" s="769"/>
      <c r="H4" s="769"/>
      <c r="I4" s="769"/>
      <c r="J4" s="769"/>
      <c r="L4" s="768"/>
      <c r="M4" s="768"/>
      <c r="N4" s="768"/>
      <c r="O4" s="769" t="s">
        <v>20</v>
      </c>
      <c r="P4" s="769"/>
      <c r="Q4" s="769"/>
      <c r="R4" s="769"/>
      <c r="S4" s="769"/>
      <c r="T4" s="769"/>
      <c r="U4" s="769"/>
    </row>
    <row r="5" spans="1:22" ht="9.75" customHeight="1" x14ac:dyDescent="0.25">
      <c r="A5" s="22"/>
      <c r="J5" s="23"/>
      <c r="L5" s="22"/>
      <c r="U5" s="23"/>
    </row>
    <row r="6" spans="1:22" s="21" customFormat="1" ht="52.5" customHeight="1" x14ac:dyDescent="0.3">
      <c r="A6" s="202" t="s">
        <v>460</v>
      </c>
      <c r="B6" s="203" t="s">
        <v>22</v>
      </c>
      <c r="C6" s="204">
        <v>7.1499999999999968</v>
      </c>
      <c r="D6" s="205"/>
      <c r="E6" s="777" t="s">
        <v>375</v>
      </c>
      <c r="F6" s="777"/>
      <c r="G6" s="777"/>
      <c r="H6" s="777"/>
      <c r="I6" s="202" t="s">
        <v>23</v>
      </c>
      <c r="J6" s="206" t="s">
        <v>190</v>
      </c>
      <c r="L6" s="202" t="s">
        <v>460</v>
      </c>
      <c r="M6" s="203" t="s">
        <v>22</v>
      </c>
      <c r="N6" s="204">
        <f>C6</f>
        <v>7.1499999999999968</v>
      </c>
      <c r="O6" s="205"/>
      <c r="P6" s="777" t="str">
        <f>E6</f>
        <v>Suministro e Instalacion de cable encauchetado 3x14 thnnw incluye accesorios de fijación en poste, para alimentacion desde acometida de iluminacion exterrior hasta reflectores led de 200w</v>
      </c>
      <c r="Q6" s="777"/>
      <c r="R6" s="777"/>
      <c r="S6" s="777"/>
      <c r="T6" s="202" t="s">
        <v>23</v>
      </c>
      <c r="U6" s="206" t="str">
        <f>J6</f>
        <v>m</v>
      </c>
    </row>
    <row r="7" spans="1:22" ht="15" customHeight="1" x14ac:dyDescent="0.25">
      <c r="A7" s="22"/>
      <c r="B7" s="772" t="s">
        <v>24</v>
      </c>
      <c r="C7" s="772"/>
      <c r="D7" s="772"/>
      <c r="E7" s="772"/>
      <c r="F7" s="772"/>
      <c r="G7" s="772"/>
      <c r="H7" s="772"/>
      <c r="I7" s="772"/>
      <c r="J7" s="772"/>
      <c r="L7" s="22"/>
      <c r="M7" s="772" t="s">
        <v>24</v>
      </c>
      <c r="N7" s="772"/>
      <c r="O7" s="772"/>
      <c r="P7" s="772"/>
      <c r="Q7" s="772"/>
      <c r="R7" s="772"/>
      <c r="S7" s="772"/>
      <c r="T7" s="772"/>
      <c r="U7" s="772"/>
    </row>
    <row r="8" spans="1:22" ht="26.4"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2" ht="15" customHeight="1" x14ac:dyDescent="0.25">
      <c r="A9" s="22"/>
      <c r="B9" s="771" t="s">
        <v>30</v>
      </c>
      <c r="C9" s="771"/>
      <c r="D9" s="771"/>
      <c r="E9" s="771"/>
      <c r="F9" s="771"/>
      <c r="G9" s="206"/>
      <c r="H9" s="181"/>
      <c r="I9" s="208">
        <v>0.05</v>
      </c>
      <c r="J9" s="181">
        <f>ROUND(I9*J44,0)</f>
        <v>2201</v>
      </c>
      <c r="L9" s="22"/>
      <c r="M9" s="771" t="s">
        <v>30</v>
      </c>
      <c r="N9" s="771"/>
      <c r="O9" s="771"/>
      <c r="P9" s="771"/>
      <c r="Q9" s="771"/>
      <c r="R9" s="206"/>
      <c r="S9" s="181"/>
      <c r="T9" s="208">
        <v>0.05</v>
      </c>
      <c r="U9" s="181">
        <f>ROUND(T9*U44,0)</f>
        <v>2201</v>
      </c>
      <c r="V9" s="239" t="s">
        <v>461</v>
      </c>
    </row>
    <row r="10" spans="1:22" ht="15" customHeight="1" x14ac:dyDescent="0.25">
      <c r="A10" s="22"/>
      <c r="B10" s="777"/>
      <c r="C10" s="777"/>
      <c r="D10" s="777"/>
      <c r="E10" s="777"/>
      <c r="F10" s="777"/>
      <c r="G10" s="206"/>
      <c r="H10" s="181" t="s">
        <v>501</v>
      </c>
      <c r="I10" s="180"/>
      <c r="J10" s="181">
        <f>IF(B10="",0,ROUND(H10/I10,0))</f>
        <v>0</v>
      </c>
      <c r="L10" s="22"/>
      <c r="M10" s="777"/>
      <c r="N10" s="777"/>
      <c r="O10" s="777"/>
      <c r="P10" s="777"/>
      <c r="Q10" s="777"/>
      <c r="R10" s="206"/>
      <c r="S10" s="181" t="s">
        <v>501</v>
      </c>
      <c r="T10" s="180"/>
      <c r="U10" s="181">
        <f>IF(M10="",0,ROUND(S10/T10,0))</f>
        <v>0</v>
      </c>
    </row>
    <row r="11" spans="1:22" ht="15" customHeight="1" x14ac:dyDescent="0.25">
      <c r="A11" s="22"/>
      <c r="B11" s="771"/>
      <c r="C11" s="771"/>
      <c r="D11" s="771"/>
      <c r="E11" s="771"/>
      <c r="F11" s="771"/>
      <c r="G11" s="206"/>
      <c r="H11" s="181" t="s">
        <v>501</v>
      </c>
      <c r="I11" s="180"/>
      <c r="J11" s="181">
        <f t="shared" ref="J11:J15" si="1">IF(B11="",0,ROUND(H11/I11,0))</f>
        <v>0</v>
      </c>
      <c r="L11" s="22"/>
      <c r="M11" s="771"/>
      <c r="N11" s="771"/>
      <c r="O11" s="771"/>
      <c r="P11" s="771"/>
      <c r="Q11" s="771"/>
      <c r="R11" s="206"/>
      <c r="S11" s="181" t="s">
        <v>501</v>
      </c>
      <c r="T11" s="180"/>
      <c r="U11" s="181">
        <f t="shared" ref="U11:U15" si="2">IF(M11="",0,ROUND(S11/T11,0))</f>
        <v>0</v>
      </c>
    </row>
    <row r="12" spans="1:22" ht="15" customHeight="1" x14ac:dyDescent="0.25">
      <c r="A12" s="22"/>
      <c r="B12" s="771"/>
      <c r="C12" s="771"/>
      <c r="D12" s="771"/>
      <c r="E12" s="771"/>
      <c r="F12" s="771"/>
      <c r="G12" s="206" t="s">
        <v>501</v>
      </c>
      <c r="H12" s="181" t="s">
        <v>501</v>
      </c>
      <c r="I12" s="180"/>
      <c r="J12" s="181">
        <f t="shared" si="1"/>
        <v>0</v>
      </c>
      <c r="L12" s="22"/>
      <c r="M12" s="771"/>
      <c r="N12" s="771"/>
      <c r="O12" s="771"/>
      <c r="P12" s="771"/>
      <c r="Q12" s="771"/>
      <c r="R12" s="206" t="s">
        <v>501</v>
      </c>
      <c r="S12" s="181" t="s">
        <v>501</v>
      </c>
      <c r="T12" s="180"/>
      <c r="U12" s="181">
        <f t="shared" si="2"/>
        <v>0</v>
      </c>
    </row>
    <row r="13" spans="1:22" ht="15" customHeight="1" x14ac:dyDescent="0.25">
      <c r="A13" s="22"/>
      <c r="B13" s="771"/>
      <c r="C13" s="771"/>
      <c r="D13" s="771"/>
      <c r="E13" s="771"/>
      <c r="F13" s="771"/>
      <c r="G13" s="206" t="s">
        <v>501</v>
      </c>
      <c r="H13" s="181" t="s">
        <v>501</v>
      </c>
      <c r="I13" s="180"/>
      <c r="J13" s="181">
        <f t="shared" si="1"/>
        <v>0</v>
      </c>
      <c r="L13" s="22"/>
      <c r="M13" s="771"/>
      <c r="N13" s="771"/>
      <c r="O13" s="771"/>
      <c r="P13" s="771"/>
      <c r="Q13" s="771"/>
      <c r="R13" s="206" t="s">
        <v>501</v>
      </c>
      <c r="S13" s="181" t="s">
        <v>501</v>
      </c>
      <c r="T13" s="180"/>
      <c r="U13" s="181">
        <f t="shared" si="2"/>
        <v>0</v>
      </c>
    </row>
    <row r="14" spans="1:22" ht="15" customHeight="1" x14ac:dyDescent="0.25">
      <c r="A14" s="22"/>
      <c r="B14" s="771"/>
      <c r="C14" s="771"/>
      <c r="D14" s="771"/>
      <c r="E14" s="771"/>
      <c r="F14" s="771"/>
      <c r="G14" s="206" t="s">
        <v>501</v>
      </c>
      <c r="H14" s="181" t="s">
        <v>501</v>
      </c>
      <c r="I14" s="180"/>
      <c r="J14" s="181">
        <f t="shared" si="1"/>
        <v>0</v>
      </c>
      <c r="L14" s="22"/>
      <c r="M14" s="771"/>
      <c r="N14" s="771"/>
      <c r="O14" s="771"/>
      <c r="P14" s="771"/>
      <c r="Q14" s="771"/>
      <c r="R14" s="206" t="s">
        <v>501</v>
      </c>
      <c r="S14" s="181" t="s">
        <v>501</v>
      </c>
      <c r="T14" s="180"/>
      <c r="U14" s="181">
        <f t="shared" si="2"/>
        <v>0</v>
      </c>
    </row>
    <row r="15" spans="1:22" ht="15" customHeight="1" x14ac:dyDescent="0.25">
      <c r="A15" s="22"/>
      <c r="B15" s="771"/>
      <c r="C15" s="771"/>
      <c r="D15" s="771"/>
      <c r="E15" s="771"/>
      <c r="F15" s="771"/>
      <c r="G15" s="206" t="s">
        <v>501</v>
      </c>
      <c r="H15" s="181" t="s">
        <v>501</v>
      </c>
      <c r="I15" s="180"/>
      <c r="J15" s="181">
        <f t="shared" si="1"/>
        <v>0</v>
      </c>
      <c r="L15" s="22"/>
      <c r="M15" s="771"/>
      <c r="N15" s="771"/>
      <c r="O15" s="771"/>
      <c r="P15" s="771"/>
      <c r="Q15" s="771"/>
      <c r="R15" s="206" t="s">
        <v>501</v>
      </c>
      <c r="S15" s="181" t="s">
        <v>501</v>
      </c>
      <c r="T15" s="180"/>
      <c r="U15" s="181">
        <f t="shared" si="2"/>
        <v>0</v>
      </c>
    </row>
    <row r="16" spans="1:22" ht="15" customHeight="1" x14ac:dyDescent="0.25">
      <c r="A16" s="22"/>
      <c r="B16" s="771"/>
      <c r="C16" s="771"/>
      <c r="D16" s="771"/>
      <c r="E16" s="771"/>
      <c r="F16" s="771"/>
      <c r="G16" s="206" t="s">
        <v>501</v>
      </c>
      <c r="H16" s="181" t="s">
        <v>501</v>
      </c>
      <c r="I16" s="180"/>
      <c r="J16" s="181"/>
      <c r="L16" s="22"/>
      <c r="M16" s="771"/>
      <c r="N16" s="771"/>
      <c r="O16" s="771"/>
      <c r="P16" s="771"/>
      <c r="Q16" s="771"/>
      <c r="R16" s="206" t="s">
        <v>501</v>
      </c>
      <c r="S16" s="181" t="s">
        <v>501</v>
      </c>
      <c r="T16" s="180"/>
      <c r="U16" s="181"/>
    </row>
    <row r="17" spans="1:23" ht="15" customHeight="1" x14ac:dyDescent="0.25">
      <c r="A17" s="22"/>
      <c r="B17" s="772" t="s">
        <v>31</v>
      </c>
      <c r="C17" s="772"/>
      <c r="D17" s="772"/>
      <c r="E17" s="772"/>
      <c r="F17" s="772"/>
      <c r="G17" s="772"/>
      <c r="H17" s="772"/>
      <c r="I17" s="772"/>
      <c r="J17" s="181">
        <f>SUM(J9:J16)</f>
        <v>2201</v>
      </c>
      <c r="L17" s="22"/>
      <c r="M17" s="772" t="s">
        <v>31</v>
      </c>
      <c r="N17" s="772"/>
      <c r="O17" s="772"/>
      <c r="P17" s="772"/>
      <c r="Q17" s="772"/>
      <c r="R17" s="772"/>
      <c r="S17" s="772"/>
      <c r="T17" s="772"/>
      <c r="U17" s="181">
        <f>SUM(U9:U16)</f>
        <v>2201</v>
      </c>
    </row>
    <row r="18" spans="1:23" ht="7.5" customHeight="1" x14ac:dyDescent="0.25">
      <c r="A18" s="22"/>
      <c r="B18" s="25"/>
      <c r="C18" s="25"/>
      <c r="D18" s="25"/>
      <c r="E18" s="25"/>
      <c r="F18" s="25"/>
      <c r="G18" s="25"/>
      <c r="H18" s="25"/>
      <c r="I18" s="25"/>
      <c r="J18" s="26"/>
      <c r="L18" s="22"/>
      <c r="M18" s="25"/>
      <c r="N18" s="25"/>
      <c r="O18" s="25"/>
      <c r="P18" s="25"/>
      <c r="Q18" s="25"/>
      <c r="R18" s="25"/>
      <c r="S18" s="25"/>
      <c r="T18" s="25"/>
      <c r="U18" s="26"/>
    </row>
    <row r="19" spans="1:23" ht="15" customHeight="1" x14ac:dyDescent="0.25">
      <c r="A19" s="22"/>
      <c r="B19" s="772" t="s">
        <v>32</v>
      </c>
      <c r="C19" s="772"/>
      <c r="D19" s="772"/>
      <c r="E19" s="772"/>
      <c r="F19" s="772"/>
      <c r="G19" s="772"/>
      <c r="H19" s="772"/>
      <c r="I19" s="772"/>
      <c r="J19" s="772"/>
      <c r="L19" s="22"/>
      <c r="M19" s="772" t="s">
        <v>32</v>
      </c>
      <c r="N19" s="772"/>
      <c r="O19" s="772"/>
      <c r="P19" s="772"/>
      <c r="Q19" s="772"/>
      <c r="R19" s="772"/>
      <c r="S19" s="772"/>
      <c r="T19" s="772"/>
      <c r="U19" s="772"/>
    </row>
    <row r="20" spans="1:23" ht="26.4" x14ac:dyDescent="0.25">
      <c r="A20" s="22"/>
      <c r="B20" s="774" t="s">
        <v>33</v>
      </c>
      <c r="C20" s="774"/>
      <c r="D20" s="774"/>
      <c r="E20" s="774"/>
      <c r="F20" s="205" t="s">
        <v>19</v>
      </c>
      <c r="G20" s="206" t="s">
        <v>34</v>
      </c>
      <c r="H20" s="207" t="s">
        <v>35</v>
      </c>
      <c r="I20" s="207" t="s">
        <v>36</v>
      </c>
      <c r="J20" s="207" t="s">
        <v>29</v>
      </c>
      <c r="L20" s="22"/>
      <c r="M20" s="774" t="s">
        <v>33</v>
      </c>
      <c r="N20" s="774"/>
      <c r="O20" s="774"/>
      <c r="P20" s="774"/>
      <c r="Q20" s="205" t="s">
        <v>19</v>
      </c>
      <c r="R20" s="206" t="s">
        <v>34</v>
      </c>
      <c r="S20" s="207" t="s">
        <v>35</v>
      </c>
      <c r="T20" s="207" t="s">
        <v>36</v>
      </c>
      <c r="U20" s="207" t="s">
        <v>29</v>
      </c>
    </row>
    <row r="21" spans="1:23" x14ac:dyDescent="0.25">
      <c r="A21" s="22"/>
      <c r="B21" s="815" t="s">
        <v>432</v>
      </c>
      <c r="C21" s="816"/>
      <c r="D21" s="816"/>
      <c r="E21" s="817"/>
      <c r="F21" s="245">
        <v>1</v>
      </c>
      <c r="G21" s="246" t="s">
        <v>190</v>
      </c>
      <c r="H21" s="247">
        <v>0.05</v>
      </c>
      <c r="I21" s="248">
        <v>8500</v>
      </c>
      <c r="J21" s="248">
        <f>IF(I21="",0,ROUND((+F21*I21*(1+H21)),0))</f>
        <v>8925</v>
      </c>
      <c r="L21" s="22"/>
      <c r="M21" s="815" t="s">
        <v>432</v>
      </c>
      <c r="N21" s="816"/>
      <c r="O21" s="816"/>
      <c r="P21" s="817"/>
      <c r="Q21" s="245">
        <v>1</v>
      </c>
      <c r="R21" s="246" t="s">
        <v>190</v>
      </c>
      <c r="S21" s="247">
        <v>0.05</v>
      </c>
      <c r="T21" s="248">
        <v>8500</v>
      </c>
      <c r="U21" s="248">
        <f>IF(T21="",0,ROUND((+Q21*T21*(1+S21)),0))</f>
        <v>8925</v>
      </c>
      <c r="V21" s="264" t="s">
        <v>448</v>
      </c>
      <c r="W21" s="265" t="s">
        <v>492</v>
      </c>
    </row>
    <row r="22" spans="1:23" ht="26.25" customHeight="1" x14ac:dyDescent="0.25">
      <c r="A22" s="22"/>
      <c r="B22" s="815" t="s">
        <v>433</v>
      </c>
      <c r="C22" s="816"/>
      <c r="D22" s="816"/>
      <c r="E22" s="817"/>
      <c r="F22" s="245">
        <v>0.33</v>
      </c>
      <c r="G22" s="246" t="s">
        <v>9</v>
      </c>
      <c r="H22" s="247"/>
      <c r="I22" s="248">
        <v>4300</v>
      </c>
      <c r="J22" s="248">
        <f t="shared" ref="J22:J27" si="3">IF(I22="",0,ROUND((+F22*I22*(1+H22)),0))</f>
        <v>1419</v>
      </c>
      <c r="K22" s="117"/>
      <c r="L22" s="22"/>
      <c r="M22" s="815" t="s">
        <v>433</v>
      </c>
      <c r="N22" s="816"/>
      <c r="O22" s="816"/>
      <c r="P22" s="817"/>
      <c r="Q22" s="245">
        <v>0.33</v>
      </c>
      <c r="R22" s="246" t="s">
        <v>9</v>
      </c>
      <c r="S22" s="247"/>
      <c r="T22" s="248">
        <v>4300</v>
      </c>
      <c r="U22" s="248">
        <f t="shared" ref="U22:U27" si="4">IF(T22="",0,ROUND((+Q22*T22*(1+S22)),0))</f>
        <v>1419</v>
      </c>
      <c r="V22" s="239" t="s">
        <v>448</v>
      </c>
    </row>
    <row r="23" spans="1:23" ht="15" customHeight="1" x14ac:dyDescent="0.25">
      <c r="A23" s="22"/>
      <c r="B23" s="791"/>
      <c r="C23" s="792"/>
      <c r="D23" s="792"/>
      <c r="E23" s="793"/>
      <c r="F23" s="180"/>
      <c r="G23" s="206" t="s">
        <v>501</v>
      </c>
      <c r="H23" s="209"/>
      <c r="I23" s="181" t="s">
        <v>501</v>
      </c>
      <c r="J23" s="181">
        <f t="shared" si="3"/>
        <v>0</v>
      </c>
      <c r="K23" s="117"/>
      <c r="L23" s="22"/>
      <c r="M23" s="791"/>
      <c r="N23" s="792"/>
      <c r="O23" s="792"/>
      <c r="P23" s="793"/>
      <c r="Q23" s="180"/>
      <c r="R23" s="206" t="s">
        <v>501</v>
      </c>
      <c r="S23" s="209"/>
      <c r="T23" s="181" t="s">
        <v>501</v>
      </c>
      <c r="U23" s="181">
        <f t="shared" si="4"/>
        <v>0</v>
      </c>
    </row>
    <row r="24" spans="1:23" ht="15" customHeight="1" x14ac:dyDescent="0.25">
      <c r="A24" s="22"/>
      <c r="B24" s="791"/>
      <c r="C24" s="792"/>
      <c r="D24" s="792"/>
      <c r="E24" s="793"/>
      <c r="F24" s="180"/>
      <c r="G24" s="206" t="s">
        <v>501</v>
      </c>
      <c r="H24" s="209"/>
      <c r="I24" s="181" t="s">
        <v>501</v>
      </c>
      <c r="J24" s="181">
        <f t="shared" si="3"/>
        <v>0</v>
      </c>
      <c r="K24" s="117"/>
      <c r="L24" s="22"/>
      <c r="M24" s="791"/>
      <c r="N24" s="792"/>
      <c r="O24" s="792"/>
      <c r="P24" s="793"/>
      <c r="Q24" s="180"/>
      <c r="R24" s="206" t="s">
        <v>501</v>
      </c>
      <c r="S24" s="209"/>
      <c r="T24" s="181" t="s">
        <v>501</v>
      </c>
      <c r="U24" s="181">
        <f t="shared" si="4"/>
        <v>0</v>
      </c>
    </row>
    <row r="25" spans="1:23" ht="15" customHeight="1" x14ac:dyDescent="0.25">
      <c r="A25" s="22"/>
      <c r="B25" s="791"/>
      <c r="C25" s="792"/>
      <c r="D25" s="792"/>
      <c r="E25" s="793"/>
      <c r="F25" s="180"/>
      <c r="G25" s="206" t="s">
        <v>501</v>
      </c>
      <c r="H25" s="209"/>
      <c r="I25" s="181" t="s">
        <v>501</v>
      </c>
      <c r="J25" s="181">
        <f t="shared" si="3"/>
        <v>0</v>
      </c>
      <c r="L25" s="22"/>
      <c r="M25" s="791"/>
      <c r="N25" s="792"/>
      <c r="O25" s="792"/>
      <c r="P25" s="793"/>
      <c r="Q25" s="180"/>
      <c r="R25" s="206" t="s">
        <v>501</v>
      </c>
      <c r="S25" s="209"/>
      <c r="T25" s="181" t="s">
        <v>501</v>
      </c>
      <c r="U25" s="181">
        <f t="shared" si="4"/>
        <v>0</v>
      </c>
    </row>
    <row r="26" spans="1:23" ht="15" customHeight="1" x14ac:dyDescent="0.25">
      <c r="A26" s="22"/>
      <c r="B26" s="791"/>
      <c r="C26" s="792"/>
      <c r="D26" s="792"/>
      <c r="E26" s="793"/>
      <c r="F26" s="180"/>
      <c r="G26" s="206" t="s">
        <v>501</v>
      </c>
      <c r="H26" s="209"/>
      <c r="I26" s="181" t="s">
        <v>501</v>
      </c>
      <c r="J26" s="181">
        <f t="shared" si="3"/>
        <v>0</v>
      </c>
      <c r="L26" s="22"/>
      <c r="M26" s="791"/>
      <c r="N26" s="792"/>
      <c r="O26" s="792"/>
      <c r="P26" s="793"/>
      <c r="Q26" s="180"/>
      <c r="R26" s="206" t="s">
        <v>501</v>
      </c>
      <c r="S26" s="209"/>
      <c r="T26" s="181" t="s">
        <v>501</v>
      </c>
      <c r="U26" s="181">
        <f t="shared" si="4"/>
        <v>0</v>
      </c>
    </row>
    <row r="27" spans="1:23" ht="15" customHeight="1" x14ac:dyDescent="0.25">
      <c r="A27" s="22"/>
      <c r="B27" s="791"/>
      <c r="C27" s="792"/>
      <c r="D27" s="792"/>
      <c r="E27" s="793"/>
      <c r="F27" s="180"/>
      <c r="G27" s="206" t="s">
        <v>501</v>
      </c>
      <c r="H27" s="209"/>
      <c r="I27" s="181" t="s">
        <v>501</v>
      </c>
      <c r="J27" s="181">
        <f t="shared" si="3"/>
        <v>0</v>
      </c>
      <c r="L27" s="22"/>
      <c r="M27" s="791"/>
      <c r="N27" s="792"/>
      <c r="O27" s="792"/>
      <c r="P27" s="793"/>
      <c r="Q27" s="180"/>
      <c r="R27" s="206" t="s">
        <v>501</v>
      </c>
      <c r="S27" s="209"/>
      <c r="T27" s="181" t="s">
        <v>501</v>
      </c>
      <c r="U27" s="181">
        <f t="shared" si="4"/>
        <v>0</v>
      </c>
    </row>
    <row r="28" spans="1:23" ht="15" customHeight="1" x14ac:dyDescent="0.25">
      <c r="A28" s="22"/>
      <c r="B28" s="785"/>
      <c r="C28" s="786"/>
      <c r="D28" s="786"/>
      <c r="E28" s="787"/>
      <c r="F28" s="180"/>
      <c r="G28" s="206" t="s">
        <v>501</v>
      </c>
      <c r="H28" s="209"/>
      <c r="I28" s="181" t="s">
        <v>501</v>
      </c>
      <c r="J28" s="181"/>
      <c r="L28" s="22"/>
      <c r="M28" s="785"/>
      <c r="N28" s="786"/>
      <c r="O28" s="786"/>
      <c r="P28" s="787"/>
      <c r="Q28" s="180"/>
      <c r="R28" s="206" t="s">
        <v>501</v>
      </c>
      <c r="S28" s="209"/>
      <c r="T28" s="181" t="s">
        <v>501</v>
      </c>
      <c r="U28" s="181"/>
    </row>
    <row r="29" spans="1:23" ht="15" customHeight="1" x14ac:dyDescent="0.25">
      <c r="A29" s="22"/>
      <c r="B29" s="772" t="s">
        <v>37</v>
      </c>
      <c r="C29" s="772"/>
      <c r="D29" s="772"/>
      <c r="E29" s="772"/>
      <c r="F29" s="772"/>
      <c r="G29" s="772"/>
      <c r="H29" s="772"/>
      <c r="I29" s="772"/>
      <c r="J29" s="181">
        <f>SUM(J21:J28)</f>
        <v>10344</v>
      </c>
      <c r="L29" s="22"/>
      <c r="M29" s="772" t="s">
        <v>37</v>
      </c>
      <c r="N29" s="772"/>
      <c r="O29" s="772"/>
      <c r="P29" s="772"/>
      <c r="Q29" s="772"/>
      <c r="R29" s="772"/>
      <c r="S29" s="772"/>
      <c r="T29" s="772"/>
      <c r="U29" s="181">
        <f>SUM(U21:U28)</f>
        <v>10344</v>
      </c>
    </row>
    <row r="30" spans="1:23" ht="7.5" customHeight="1" x14ac:dyDescent="0.25">
      <c r="A30" s="22"/>
      <c r="B30" s="25"/>
      <c r="C30" s="25"/>
      <c r="D30" s="25"/>
      <c r="E30" s="25"/>
      <c r="F30" s="25"/>
      <c r="G30" s="25"/>
      <c r="H30" s="25"/>
      <c r="I30" s="25"/>
      <c r="J30" s="26"/>
      <c r="L30" s="22"/>
      <c r="M30" s="25"/>
      <c r="N30" s="25"/>
      <c r="O30" s="25"/>
      <c r="P30" s="25"/>
      <c r="Q30" s="25"/>
      <c r="R30" s="25"/>
      <c r="S30" s="25"/>
      <c r="T30" s="25"/>
      <c r="U30" s="26"/>
    </row>
    <row r="31" spans="1:23" ht="15" customHeight="1" x14ac:dyDescent="0.25">
      <c r="A31" s="22"/>
      <c r="B31" s="772" t="s">
        <v>38</v>
      </c>
      <c r="C31" s="772"/>
      <c r="D31" s="772"/>
      <c r="E31" s="772"/>
      <c r="F31" s="772"/>
      <c r="G31" s="772"/>
      <c r="H31" s="772"/>
      <c r="I31" s="772"/>
      <c r="J31" s="772"/>
      <c r="L31" s="22"/>
      <c r="M31" s="772" t="s">
        <v>38</v>
      </c>
      <c r="N31" s="772"/>
      <c r="O31" s="772"/>
      <c r="P31" s="772"/>
      <c r="Q31" s="772"/>
      <c r="R31" s="772"/>
      <c r="S31" s="772"/>
      <c r="T31" s="772"/>
      <c r="U31" s="772"/>
    </row>
    <row r="32" spans="1:23" ht="26.4" x14ac:dyDescent="0.25">
      <c r="A32" s="22"/>
      <c r="B32" s="774" t="s">
        <v>33</v>
      </c>
      <c r="C32" s="774"/>
      <c r="D32" s="774"/>
      <c r="E32" s="774"/>
      <c r="F32" s="774"/>
      <c r="G32" s="206" t="s">
        <v>133</v>
      </c>
      <c r="H32" s="206" t="s">
        <v>132</v>
      </c>
      <c r="I32" s="206" t="s">
        <v>39</v>
      </c>
      <c r="J32" s="207" t="s">
        <v>29</v>
      </c>
      <c r="L32" s="22"/>
      <c r="M32" s="774" t="s">
        <v>33</v>
      </c>
      <c r="N32" s="774"/>
      <c r="O32" s="774"/>
      <c r="P32" s="774"/>
      <c r="Q32" s="774"/>
      <c r="R32" s="206" t="s">
        <v>133</v>
      </c>
      <c r="S32" s="206" t="s">
        <v>132</v>
      </c>
      <c r="T32" s="206" t="s">
        <v>39</v>
      </c>
      <c r="U32" s="207" t="s">
        <v>29</v>
      </c>
    </row>
    <row r="33" spans="1:22" ht="15" customHeight="1" x14ac:dyDescent="0.25">
      <c r="A33" s="22"/>
      <c r="B33" s="771"/>
      <c r="C33" s="771"/>
      <c r="D33" s="771"/>
      <c r="E33" s="771"/>
      <c r="F33" s="771"/>
      <c r="G33" s="206"/>
      <c r="H33" s="180"/>
      <c r="I33" s="181"/>
      <c r="J33" s="181">
        <f>ROUND(I33*H33,0)</f>
        <v>0</v>
      </c>
      <c r="L33" s="22"/>
      <c r="M33" s="771"/>
      <c r="N33" s="771"/>
      <c r="O33" s="771"/>
      <c r="P33" s="771"/>
      <c r="Q33" s="771"/>
      <c r="R33" s="206"/>
      <c r="S33" s="180"/>
      <c r="T33" s="181"/>
      <c r="U33" s="181">
        <f>ROUND(T33*S33,0)</f>
        <v>0</v>
      </c>
    </row>
    <row r="34" spans="1:22" ht="15" customHeight="1" x14ac:dyDescent="0.25">
      <c r="A34" s="22"/>
      <c r="B34" s="771"/>
      <c r="C34" s="771"/>
      <c r="D34" s="771"/>
      <c r="E34" s="771"/>
      <c r="F34" s="771"/>
      <c r="G34" s="206"/>
      <c r="H34" s="180"/>
      <c r="I34" s="181"/>
      <c r="J34" s="181">
        <v>0</v>
      </c>
      <c r="L34" s="22"/>
      <c r="M34" s="771"/>
      <c r="N34" s="771"/>
      <c r="O34" s="771"/>
      <c r="P34" s="771"/>
      <c r="Q34" s="771"/>
      <c r="R34" s="206"/>
      <c r="S34" s="180"/>
      <c r="T34" s="181"/>
      <c r="U34" s="181">
        <v>0</v>
      </c>
    </row>
    <row r="35" spans="1:22" ht="15" customHeight="1" x14ac:dyDescent="0.25">
      <c r="A35" s="22"/>
      <c r="B35" s="771"/>
      <c r="C35" s="771"/>
      <c r="D35" s="771"/>
      <c r="E35" s="771"/>
      <c r="F35" s="771"/>
      <c r="G35" s="206"/>
      <c r="H35" s="180"/>
      <c r="I35" s="181"/>
      <c r="J35" s="181">
        <v>0</v>
      </c>
      <c r="L35" s="22"/>
      <c r="M35" s="771"/>
      <c r="N35" s="771"/>
      <c r="O35" s="771"/>
      <c r="P35" s="771"/>
      <c r="Q35" s="771"/>
      <c r="R35" s="206"/>
      <c r="S35" s="180"/>
      <c r="T35" s="181"/>
      <c r="U35" s="181">
        <v>0</v>
      </c>
    </row>
    <row r="36" spans="1:22" ht="15" customHeight="1" x14ac:dyDescent="0.25">
      <c r="A36" s="22"/>
      <c r="B36" s="771"/>
      <c r="C36" s="771"/>
      <c r="D36" s="771"/>
      <c r="E36" s="771"/>
      <c r="F36" s="771"/>
      <c r="G36" s="206"/>
      <c r="H36" s="206"/>
      <c r="I36" s="181"/>
      <c r="J36" s="181">
        <v>0</v>
      </c>
      <c r="L36" s="22"/>
      <c r="M36" s="771"/>
      <c r="N36" s="771"/>
      <c r="O36" s="771"/>
      <c r="P36" s="771"/>
      <c r="Q36" s="771"/>
      <c r="R36" s="206"/>
      <c r="S36" s="206"/>
      <c r="T36" s="181"/>
      <c r="U36" s="181">
        <v>0</v>
      </c>
    </row>
    <row r="37" spans="1:22" ht="15" customHeight="1" x14ac:dyDescent="0.25">
      <c r="A37" s="22"/>
      <c r="B37" s="772" t="s">
        <v>40</v>
      </c>
      <c r="C37" s="772"/>
      <c r="D37" s="772"/>
      <c r="E37" s="772"/>
      <c r="F37" s="772"/>
      <c r="G37" s="772"/>
      <c r="H37" s="772"/>
      <c r="I37" s="772"/>
      <c r="J37" s="181">
        <f>SUM(J33:J36)</f>
        <v>0</v>
      </c>
      <c r="L37" s="22"/>
      <c r="M37" s="772" t="s">
        <v>40</v>
      </c>
      <c r="N37" s="772"/>
      <c r="O37" s="772"/>
      <c r="P37" s="772"/>
      <c r="Q37" s="772"/>
      <c r="R37" s="772"/>
      <c r="S37" s="772"/>
      <c r="T37" s="772"/>
      <c r="U37" s="181">
        <f>SUM(U33:U36)</f>
        <v>0</v>
      </c>
    </row>
    <row r="38" spans="1:22" ht="7.5" customHeight="1" x14ac:dyDescent="0.25">
      <c r="A38" s="22"/>
      <c r="B38" s="25"/>
      <c r="C38" s="25"/>
      <c r="D38" s="25"/>
      <c r="E38" s="25"/>
      <c r="F38" s="25"/>
      <c r="G38" s="25"/>
      <c r="H38" s="25"/>
      <c r="I38" s="25"/>
      <c r="J38" s="26"/>
      <c r="L38" s="22"/>
      <c r="M38" s="25"/>
      <c r="N38" s="25"/>
      <c r="O38" s="25"/>
      <c r="P38" s="25"/>
      <c r="Q38" s="25"/>
      <c r="R38" s="25"/>
      <c r="S38" s="25"/>
      <c r="T38" s="25"/>
      <c r="U38" s="26"/>
    </row>
    <row r="39" spans="1:22" ht="15" customHeight="1" x14ac:dyDescent="0.25">
      <c r="A39" s="22"/>
      <c r="B39" s="772" t="s">
        <v>41</v>
      </c>
      <c r="C39" s="772"/>
      <c r="D39" s="772"/>
      <c r="E39" s="772"/>
      <c r="F39" s="772"/>
      <c r="G39" s="772"/>
      <c r="H39" s="772"/>
      <c r="I39" s="772"/>
      <c r="J39" s="772"/>
      <c r="L39" s="22"/>
      <c r="M39" s="772" t="s">
        <v>41</v>
      </c>
      <c r="N39" s="772"/>
      <c r="O39" s="772"/>
      <c r="P39" s="772"/>
      <c r="Q39" s="772"/>
      <c r="R39" s="772"/>
      <c r="S39" s="772"/>
      <c r="T39" s="772"/>
      <c r="U39" s="772"/>
    </row>
    <row r="40" spans="1:22" ht="39.6" x14ac:dyDescent="0.25">
      <c r="A40" s="22"/>
      <c r="B40" s="774" t="s">
        <v>4</v>
      </c>
      <c r="C40" s="774"/>
      <c r="D40" s="774"/>
      <c r="E40" s="774"/>
      <c r="F40" s="774"/>
      <c r="G40" s="207" t="s">
        <v>51</v>
      </c>
      <c r="H40" s="207" t="s">
        <v>19</v>
      </c>
      <c r="I40" s="207" t="s">
        <v>28</v>
      </c>
      <c r="J40" s="207" t="s">
        <v>29</v>
      </c>
      <c r="L40" s="22"/>
      <c r="M40" s="774" t="s">
        <v>4</v>
      </c>
      <c r="N40" s="774"/>
      <c r="O40" s="774"/>
      <c r="P40" s="774"/>
      <c r="Q40" s="774"/>
      <c r="R40" s="207" t="s">
        <v>51</v>
      </c>
      <c r="S40" s="207" t="s">
        <v>19</v>
      </c>
      <c r="T40" s="207" t="s">
        <v>28</v>
      </c>
      <c r="U40" s="207" t="s">
        <v>29</v>
      </c>
    </row>
    <row r="41" spans="1:22" ht="15" customHeight="1" x14ac:dyDescent="0.25">
      <c r="A41" s="22"/>
      <c r="B41" s="814" t="s">
        <v>467</v>
      </c>
      <c r="C41" s="814"/>
      <c r="D41" s="814"/>
      <c r="E41" s="814"/>
      <c r="F41" s="814"/>
      <c r="G41" s="248">
        <v>172935.10666666669</v>
      </c>
      <c r="H41" s="246">
        <v>1</v>
      </c>
      <c r="I41" s="245">
        <v>7.5</v>
      </c>
      <c r="J41" s="248">
        <f>ROUND(+IF(I41=0,0,G41*H41/I41),0)</f>
        <v>23058</v>
      </c>
      <c r="L41" s="22"/>
      <c r="M41" s="814" t="s">
        <v>467</v>
      </c>
      <c r="N41" s="814"/>
      <c r="O41" s="814"/>
      <c r="P41" s="814"/>
      <c r="Q41" s="814"/>
      <c r="R41" s="248">
        <v>172935.10666666669</v>
      </c>
      <c r="S41" s="246">
        <v>1</v>
      </c>
      <c r="T41" s="245">
        <v>7.5</v>
      </c>
      <c r="U41" s="248">
        <f>ROUND(+IF(T41=0,0,R41*S41/T41),0)</f>
        <v>23058</v>
      </c>
      <c r="V41" s="264" t="s">
        <v>448</v>
      </c>
    </row>
    <row r="42" spans="1:22" ht="15" customHeight="1" x14ac:dyDescent="0.25">
      <c r="A42" s="22"/>
      <c r="B42" s="814" t="s">
        <v>386</v>
      </c>
      <c r="C42" s="814"/>
      <c r="D42" s="814"/>
      <c r="E42" s="814"/>
      <c r="F42" s="814"/>
      <c r="G42" s="248">
        <v>78606.866666666669</v>
      </c>
      <c r="H42" s="246">
        <v>2</v>
      </c>
      <c r="I42" s="245">
        <f>I41</f>
        <v>7.5</v>
      </c>
      <c r="J42" s="248">
        <f>ROUND(+IF(I42=0,0,G42*H42/I42),0)</f>
        <v>20962</v>
      </c>
      <c r="L42" s="22"/>
      <c r="M42" s="814" t="s">
        <v>386</v>
      </c>
      <c r="N42" s="814"/>
      <c r="O42" s="814"/>
      <c r="P42" s="814"/>
      <c r="Q42" s="814"/>
      <c r="R42" s="248">
        <v>78606.866666666669</v>
      </c>
      <c r="S42" s="246">
        <v>2</v>
      </c>
      <c r="T42" s="245">
        <f>T41</f>
        <v>7.5</v>
      </c>
      <c r="U42" s="248">
        <f>ROUND(+IF(T42=0,0,R42*S42/T42),0)</f>
        <v>20962</v>
      </c>
      <c r="V42" s="239" t="s">
        <v>448</v>
      </c>
    </row>
    <row r="43" spans="1:22" ht="15" customHeight="1" x14ac:dyDescent="0.25">
      <c r="A43" s="22"/>
      <c r="B43" s="771"/>
      <c r="C43" s="771"/>
      <c r="D43" s="771"/>
      <c r="E43" s="771"/>
      <c r="F43" s="771"/>
      <c r="G43" s="181" t="s">
        <v>501</v>
      </c>
      <c r="H43" s="206"/>
      <c r="I43" s="180"/>
      <c r="J43" s="181">
        <f t="shared" ref="J43" si="5">+IF(I43=0,0,G43*H43/I43)</f>
        <v>0</v>
      </c>
      <c r="L43" s="22"/>
      <c r="M43" s="771"/>
      <c r="N43" s="771"/>
      <c r="O43" s="771"/>
      <c r="P43" s="771"/>
      <c r="Q43" s="771"/>
      <c r="R43" s="181" t="s">
        <v>501</v>
      </c>
      <c r="S43" s="206"/>
      <c r="T43" s="180"/>
      <c r="U43" s="181">
        <f t="shared" ref="U43" si="6">+IF(T43=0,0,R43*S43/T43)</f>
        <v>0</v>
      </c>
    </row>
    <row r="44" spans="1:22" ht="15" customHeight="1" x14ac:dyDescent="0.25">
      <c r="A44" s="22"/>
      <c r="B44" s="772" t="s">
        <v>42</v>
      </c>
      <c r="C44" s="772"/>
      <c r="D44" s="772"/>
      <c r="E44" s="772"/>
      <c r="F44" s="772"/>
      <c r="G44" s="772"/>
      <c r="H44" s="772"/>
      <c r="I44" s="772"/>
      <c r="J44" s="181">
        <f>SUM(J41:J43)</f>
        <v>44020</v>
      </c>
      <c r="L44" s="22"/>
      <c r="M44" s="772" t="s">
        <v>42</v>
      </c>
      <c r="N44" s="772"/>
      <c r="O44" s="772"/>
      <c r="P44" s="772"/>
      <c r="Q44" s="772"/>
      <c r="R44" s="772"/>
      <c r="S44" s="772"/>
      <c r="T44" s="772"/>
      <c r="U44" s="181">
        <f>SUM(U41:U43)</f>
        <v>44020</v>
      </c>
    </row>
    <row r="45" spans="1:22" ht="7.5" customHeight="1" x14ac:dyDescent="0.25">
      <c r="A45" s="22"/>
      <c r="B45" s="25"/>
      <c r="C45" s="25"/>
      <c r="D45" s="25"/>
      <c r="E45" s="25"/>
      <c r="F45" s="25"/>
      <c r="G45" s="25"/>
      <c r="H45" s="25"/>
      <c r="I45" s="25"/>
      <c r="J45" s="26"/>
      <c r="L45" s="22"/>
      <c r="M45" s="25"/>
      <c r="N45" s="25"/>
      <c r="O45" s="25"/>
      <c r="P45" s="25"/>
      <c r="Q45" s="25"/>
      <c r="R45" s="25"/>
      <c r="S45" s="25"/>
      <c r="T45" s="25"/>
      <c r="U45" s="26"/>
    </row>
    <row r="46" spans="1:22" ht="15.75" customHeight="1" x14ac:dyDescent="0.25">
      <c r="A46" s="27"/>
      <c r="B46" s="773" t="s">
        <v>43</v>
      </c>
      <c r="C46" s="773"/>
      <c r="D46" s="773"/>
      <c r="E46" s="773"/>
      <c r="F46" s="773"/>
      <c r="G46" s="773"/>
      <c r="H46" s="773"/>
      <c r="I46" s="773"/>
      <c r="J46" s="210">
        <f>+J44+J37+J17+J29</f>
        <v>56565</v>
      </c>
      <c r="L46" s="27"/>
      <c r="M46" s="773" t="s">
        <v>43</v>
      </c>
      <c r="N46" s="773"/>
      <c r="O46" s="773"/>
      <c r="P46" s="773"/>
      <c r="Q46" s="773"/>
      <c r="R46" s="773"/>
      <c r="S46" s="773"/>
      <c r="T46" s="773"/>
      <c r="U46" s="210">
        <f>+U44+U37+U17+U29</f>
        <v>56565</v>
      </c>
    </row>
    <row r="47" spans="1:22" x14ac:dyDescent="0.25">
      <c r="B47" s="21"/>
      <c r="C47" s="21"/>
      <c r="D47" s="21"/>
      <c r="E47" s="21"/>
      <c r="F47" s="21"/>
      <c r="G47" s="21"/>
      <c r="H47" s="21"/>
      <c r="I47" s="21"/>
      <c r="J47" s="21"/>
    </row>
    <row r="49" spans="8:10" ht="13.8" thickBot="1" x14ac:dyDescent="0.3"/>
    <row r="50" spans="8:10" x14ac:dyDescent="0.25">
      <c r="H50" s="251" t="s">
        <v>477</v>
      </c>
      <c r="I50" s="252"/>
      <c r="J50" s="253">
        <v>57757</v>
      </c>
    </row>
    <row r="51" spans="8:10" x14ac:dyDescent="0.25">
      <c r="H51" s="254" t="s">
        <v>469</v>
      </c>
      <c r="I51" s="239"/>
      <c r="J51" s="255">
        <f>+U46</f>
        <v>56565</v>
      </c>
    </row>
    <row r="52" spans="8:10" ht="13.8" thickBot="1" x14ac:dyDescent="0.3">
      <c r="H52" s="256" t="s">
        <v>470</v>
      </c>
      <c r="I52" s="257"/>
      <c r="J52" s="258">
        <f>J46</f>
        <v>56565</v>
      </c>
    </row>
  </sheetData>
  <mergeCells count="84">
    <mergeCell ref="A1:C4"/>
    <mergeCell ref="D1:J1"/>
    <mergeCell ref="L1:N4"/>
    <mergeCell ref="O1:U1"/>
    <mergeCell ref="D2:J2"/>
    <mergeCell ref="O2:U2"/>
    <mergeCell ref="D3:J3"/>
    <mergeCell ref="O3:U3"/>
    <mergeCell ref="D4:J4"/>
    <mergeCell ref="O4:U4"/>
    <mergeCell ref="E6:H6"/>
    <mergeCell ref="P6:S6"/>
    <mergeCell ref="B7:J7"/>
    <mergeCell ref="M7:U7"/>
    <mergeCell ref="B8:F8"/>
    <mergeCell ref="M8:Q8"/>
    <mergeCell ref="B9:F9"/>
    <mergeCell ref="M9:Q9"/>
    <mergeCell ref="B10:F10"/>
    <mergeCell ref="M10:Q10"/>
    <mergeCell ref="B11:F11"/>
    <mergeCell ref="M11:Q11"/>
    <mergeCell ref="B12:F12"/>
    <mergeCell ref="M12:Q12"/>
    <mergeCell ref="B13:F13"/>
    <mergeCell ref="M13:Q13"/>
    <mergeCell ref="B14:F14"/>
    <mergeCell ref="M14:Q14"/>
    <mergeCell ref="B15:F15"/>
    <mergeCell ref="M15:Q15"/>
    <mergeCell ref="B16:F16"/>
    <mergeCell ref="M16:Q16"/>
    <mergeCell ref="B17:I17"/>
    <mergeCell ref="M17:T17"/>
    <mergeCell ref="B19:J19"/>
    <mergeCell ref="M19:U19"/>
    <mergeCell ref="B20:E20"/>
    <mergeCell ref="M20:P20"/>
    <mergeCell ref="B21:E21"/>
    <mergeCell ref="M21:P21"/>
    <mergeCell ref="B22:E22"/>
    <mergeCell ref="M22:P22"/>
    <mergeCell ref="B23:E23"/>
    <mergeCell ref="M23:P23"/>
    <mergeCell ref="B24:E24"/>
    <mergeCell ref="M24:P24"/>
    <mergeCell ref="B25:E25"/>
    <mergeCell ref="M25:P25"/>
    <mergeCell ref="B26:E26"/>
    <mergeCell ref="M26:P26"/>
    <mergeCell ref="B27:E27"/>
    <mergeCell ref="M27:P27"/>
    <mergeCell ref="B28:E28"/>
    <mergeCell ref="M28:P28"/>
    <mergeCell ref="B29:I29"/>
    <mergeCell ref="M29:T29"/>
    <mergeCell ref="B31:J31"/>
    <mergeCell ref="M31:U31"/>
    <mergeCell ref="B32:F32"/>
    <mergeCell ref="M32:Q32"/>
    <mergeCell ref="B33:F33"/>
    <mergeCell ref="M33:Q33"/>
    <mergeCell ref="B34:F34"/>
    <mergeCell ref="M34:Q34"/>
    <mergeCell ref="B35:F35"/>
    <mergeCell ref="M35:Q35"/>
    <mergeCell ref="B36:F36"/>
    <mergeCell ref="M36:Q36"/>
    <mergeCell ref="B37:I37"/>
    <mergeCell ref="M37:T37"/>
    <mergeCell ref="B39:J39"/>
    <mergeCell ref="M39:U39"/>
    <mergeCell ref="B40:F40"/>
    <mergeCell ref="M40:Q40"/>
    <mergeCell ref="B41:F41"/>
    <mergeCell ref="M41:Q41"/>
    <mergeCell ref="B46:I46"/>
    <mergeCell ref="M46:T46"/>
    <mergeCell ref="B42:F42"/>
    <mergeCell ref="M42:Q42"/>
    <mergeCell ref="B43:F43"/>
    <mergeCell ref="M43:Q43"/>
    <mergeCell ref="B44:I44"/>
    <mergeCell ref="M44:T44"/>
  </mergeCells>
  <hyperlinks>
    <hyperlink ref="C6" location="'PPTO HOJA'!A124" display="'PPTO HOJA'!A124" xr:uid="{00000000-0004-0000-4300-000000000000}"/>
    <hyperlink ref="N6" location="'PPTO HOJA'!A124" display="'PPTO HOJA'!A124" xr:uid="{00000000-0004-0000-4300-000001000000}"/>
  </hyperlinks>
  <pageMargins left="0.7" right="0.7" top="0.75" bottom="0.75" header="0.3" footer="0.3"/>
  <pageSetup paperSize="9" scale="28" orientation="portrait" r:id="rId1"/>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tabColor theme="5" tint="0.59999389629810485"/>
  </sheetPr>
  <dimension ref="A1:V48"/>
  <sheetViews>
    <sheetView topLeftCell="A3" zoomScale="85" zoomScaleNormal="85" zoomScaleSheetLayoutView="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8" width="14.33203125" style="20" customWidth="1"/>
    <col min="9" max="9" width="18" style="20" customWidth="1"/>
    <col min="10" max="10" width="25.6640625" style="20" customWidth="1"/>
    <col min="11" max="11" width="3.6640625" style="20" customWidth="1"/>
    <col min="12" max="17" width="11.44140625" style="20"/>
    <col min="18" max="18" width="15.33203125" style="20" customWidth="1"/>
    <col min="19" max="19" width="11.44140625" style="20"/>
    <col min="20" max="20" width="16.109375" style="20" customWidth="1"/>
    <col min="21" max="21" width="20.109375" style="20" customWidth="1"/>
    <col min="22" max="22" width="27.33203125" style="20" customWidth="1"/>
    <col min="23" max="16384" width="11.44140625" style="20"/>
  </cols>
  <sheetData>
    <row r="1" spans="1:22" x14ac:dyDescent="0.25">
      <c r="A1" s="768"/>
      <c r="B1" s="768"/>
      <c r="C1" s="768"/>
      <c r="D1" s="769" t="s">
        <v>1</v>
      </c>
      <c r="E1" s="769"/>
      <c r="F1" s="769"/>
      <c r="G1" s="769"/>
      <c r="H1" s="769"/>
      <c r="I1" s="769"/>
      <c r="J1" s="769"/>
      <c r="L1" s="768"/>
      <c r="M1" s="768"/>
      <c r="N1" s="768"/>
      <c r="O1" s="769" t="str">
        <f>D1</f>
        <v>DEPARTAMENTO DE ANTIOQUIA</v>
      </c>
      <c r="P1" s="769"/>
      <c r="Q1" s="769"/>
      <c r="R1" s="769"/>
      <c r="S1" s="769"/>
      <c r="T1" s="769"/>
      <c r="U1" s="769"/>
    </row>
    <row r="2" spans="1:22" x14ac:dyDescent="0.25">
      <c r="A2" s="768"/>
      <c r="B2" s="768"/>
      <c r="C2" s="768"/>
      <c r="D2" s="769" t="s">
        <v>2</v>
      </c>
      <c r="E2" s="769"/>
      <c r="F2" s="769"/>
      <c r="G2" s="769"/>
      <c r="H2" s="769"/>
      <c r="I2" s="769"/>
      <c r="J2" s="769"/>
      <c r="L2" s="768"/>
      <c r="M2" s="768"/>
      <c r="N2" s="768"/>
      <c r="O2" s="769" t="str">
        <f t="shared" ref="O2:O3" si="0">D2</f>
        <v>MUNICIPIO DE ARBOLETES</v>
      </c>
      <c r="P2" s="769"/>
      <c r="Q2" s="769"/>
      <c r="R2" s="769"/>
      <c r="S2" s="769"/>
      <c r="T2" s="769"/>
      <c r="U2" s="769"/>
    </row>
    <row r="3" spans="1:22" ht="46.5" customHeight="1" x14ac:dyDescent="0.25">
      <c r="A3" s="768"/>
      <c r="B3" s="768"/>
      <c r="C3" s="768"/>
      <c r="D3" s="770" t="s">
        <v>328</v>
      </c>
      <c r="E3" s="770"/>
      <c r="F3" s="770"/>
      <c r="G3" s="770"/>
      <c r="H3" s="770"/>
      <c r="I3" s="770"/>
      <c r="J3" s="770"/>
      <c r="L3" s="768"/>
      <c r="M3" s="768"/>
      <c r="N3" s="768"/>
      <c r="O3" s="770" t="str">
        <f t="shared" si="0"/>
        <v>CONSTRUCCION DE OBRAS CIVILES COMPLEMENTARIAS PARA EL CORRECTO FUNCIONAMIENTO DEL PROYECTO DENOMINADO “PARQUE GEOLÓGICO, NATURAL, AMBIENTAL, CULTURAL Y TURÍSTICO, VOLCÁN DE LODO DE ARBOLETES”, QUE SE LLEVARÁ A CABO EN EL MUNICIPIO DE ARBOLETES-ANTIOQUIA</v>
      </c>
      <c r="P3" s="770"/>
      <c r="Q3" s="770"/>
      <c r="R3" s="770"/>
      <c r="S3" s="770"/>
      <c r="T3" s="770"/>
      <c r="U3" s="770"/>
    </row>
    <row r="4" spans="1:22" x14ac:dyDescent="0.25">
      <c r="A4" s="768"/>
      <c r="B4" s="768"/>
      <c r="C4" s="768"/>
      <c r="D4" s="769" t="s">
        <v>20</v>
      </c>
      <c r="E4" s="769"/>
      <c r="F4" s="769"/>
      <c r="G4" s="769"/>
      <c r="H4" s="769"/>
      <c r="I4" s="769"/>
      <c r="J4" s="769"/>
      <c r="L4" s="768"/>
      <c r="M4" s="768"/>
      <c r="N4" s="768"/>
      <c r="O4" s="769" t="s">
        <v>20</v>
      </c>
      <c r="P4" s="769"/>
      <c r="Q4" s="769"/>
      <c r="R4" s="769"/>
      <c r="S4" s="769"/>
      <c r="T4" s="769"/>
      <c r="U4" s="769"/>
    </row>
    <row r="5" spans="1:22" ht="9.75" customHeight="1" x14ac:dyDescent="0.25">
      <c r="A5" s="22"/>
      <c r="J5" s="23"/>
      <c r="L5" s="22"/>
      <c r="U5" s="23"/>
    </row>
    <row r="6" spans="1:22" s="21" customFormat="1" ht="52.5" customHeight="1" x14ac:dyDescent="0.3">
      <c r="A6" s="202" t="s">
        <v>460</v>
      </c>
      <c r="B6" s="203" t="s">
        <v>22</v>
      </c>
      <c r="C6" s="204">
        <v>7.1599999999999966</v>
      </c>
      <c r="D6" s="205"/>
      <c r="E6" s="777" t="s">
        <v>376</v>
      </c>
      <c r="F6" s="777"/>
      <c r="G6" s="777"/>
      <c r="H6" s="777"/>
      <c r="I6" s="202" t="s">
        <v>23</v>
      </c>
      <c r="J6" s="206" t="s">
        <v>9</v>
      </c>
      <c r="L6" s="202" t="s">
        <v>460</v>
      </c>
      <c r="M6" s="203" t="s">
        <v>22</v>
      </c>
      <c r="N6" s="204">
        <f>C6</f>
        <v>7.1599999999999966</v>
      </c>
      <c r="O6" s="205"/>
      <c r="P6" s="777" t="str">
        <f>E6</f>
        <v>Certificacion RETIE ( Distribución y transformacion), No incluye uso final de las instalaciones.</v>
      </c>
      <c r="Q6" s="777"/>
      <c r="R6" s="777"/>
      <c r="S6" s="777"/>
      <c r="T6" s="202" t="s">
        <v>23</v>
      </c>
      <c r="U6" s="206" t="str">
        <f>J6</f>
        <v>und</v>
      </c>
    </row>
    <row r="7" spans="1:22" ht="15" customHeight="1" x14ac:dyDescent="0.25">
      <c r="A7" s="22"/>
      <c r="B7" s="772" t="s">
        <v>24</v>
      </c>
      <c r="C7" s="772"/>
      <c r="D7" s="772"/>
      <c r="E7" s="772"/>
      <c r="F7" s="772"/>
      <c r="G7" s="772"/>
      <c r="H7" s="772"/>
      <c r="I7" s="772"/>
      <c r="J7" s="772"/>
      <c r="L7" s="22"/>
      <c r="M7" s="772" t="s">
        <v>24</v>
      </c>
      <c r="N7" s="772"/>
      <c r="O7" s="772"/>
      <c r="P7" s="772"/>
      <c r="Q7" s="772"/>
      <c r="R7" s="772"/>
      <c r="S7" s="772"/>
      <c r="T7" s="772"/>
      <c r="U7" s="772"/>
    </row>
    <row r="8" spans="1:22" x14ac:dyDescent="0.25">
      <c r="A8" s="22"/>
      <c r="B8" s="774" t="s">
        <v>25</v>
      </c>
      <c r="C8" s="774"/>
      <c r="D8" s="774"/>
      <c r="E8" s="774"/>
      <c r="F8" s="774"/>
      <c r="G8" s="206" t="s">
        <v>26</v>
      </c>
      <c r="H8" s="206" t="s">
        <v>27</v>
      </c>
      <c r="I8" s="206" t="s">
        <v>28</v>
      </c>
      <c r="J8" s="207" t="s">
        <v>29</v>
      </c>
      <c r="L8" s="22"/>
      <c r="M8" s="774" t="s">
        <v>25</v>
      </c>
      <c r="N8" s="774"/>
      <c r="O8" s="774"/>
      <c r="P8" s="774"/>
      <c r="Q8" s="774"/>
      <c r="R8" s="206" t="s">
        <v>26</v>
      </c>
      <c r="S8" s="206" t="s">
        <v>27</v>
      </c>
      <c r="T8" s="206" t="s">
        <v>28</v>
      </c>
      <c r="U8" s="207" t="s">
        <v>29</v>
      </c>
    </row>
    <row r="9" spans="1:22" ht="15" customHeight="1" x14ac:dyDescent="0.25">
      <c r="A9" s="22"/>
      <c r="B9" s="771" t="s">
        <v>30</v>
      </c>
      <c r="C9" s="771"/>
      <c r="D9" s="771"/>
      <c r="E9" s="771"/>
      <c r="F9" s="771"/>
      <c r="G9" s="206"/>
      <c r="H9" s="181"/>
      <c r="I9" s="208">
        <v>0.05</v>
      </c>
      <c r="J9" s="181">
        <f>ROUND(I9*J45,0)</f>
        <v>248922</v>
      </c>
      <c r="L9" s="22"/>
      <c r="M9" s="771" t="s">
        <v>30</v>
      </c>
      <c r="N9" s="771"/>
      <c r="O9" s="771"/>
      <c r="P9" s="771"/>
      <c r="Q9" s="771"/>
      <c r="R9" s="206"/>
      <c r="S9" s="181"/>
      <c r="T9" s="208">
        <v>0.05</v>
      </c>
      <c r="U9" s="181">
        <f>ROUND(T9*U45,0)</f>
        <v>248922</v>
      </c>
      <c r="V9" s="239" t="s">
        <v>448</v>
      </c>
    </row>
    <row r="10" spans="1:22" ht="15" customHeight="1" x14ac:dyDescent="0.25">
      <c r="A10" s="22"/>
      <c r="B10" s="777"/>
      <c r="C10" s="777"/>
      <c r="D10" s="777"/>
      <c r="E10" s="777"/>
      <c r="F10" s="777"/>
      <c r="G10" s="206"/>
      <c r="H10" s="181" t="s">
        <v>501</v>
      </c>
      <c r="I10" s="180"/>
      <c r="J10" s="181">
        <f>IF(B10="",0,ROUND(H10/I10,0))</f>
        <v>0</v>
      </c>
      <c r="L10" s="22"/>
      <c r="M10" s="777"/>
      <c r="N10" s="777"/>
      <c r="O10" s="777"/>
      <c r="P10" s="777"/>
      <c r="Q10" s="777"/>
      <c r="R10" s="206"/>
      <c r="S10" s="181" t="s">
        <v>501</v>
      </c>
      <c r="T10" s="180"/>
      <c r="U10" s="181">
        <f>IF(M10="",0,ROUND(S10/T10,0))</f>
        <v>0</v>
      </c>
    </row>
    <row r="11" spans="1:22" ht="15" customHeight="1" x14ac:dyDescent="0.25">
      <c r="A11" s="22"/>
      <c r="B11" s="771"/>
      <c r="C11" s="771"/>
      <c r="D11" s="771"/>
      <c r="E11" s="771"/>
      <c r="F11" s="771"/>
      <c r="G11" s="206"/>
      <c r="H11" s="181" t="s">
        <v>501</v>
      </c>
      <c r="I11" s="180"/>
      <c r="J11" s="181">
        <f t="shared" ref="J11:J15" si="1">IF(B11="",0,ROUND(H11/I11,0))</f>
        <v>0</v>
      </c>
      <c r="L11" s="22"/>
      <c r="M11" s="771"/>
      <c r="N11" s="771"/>
      <c r="O11" s="771"/>
      <c r="P11" s="771"/>
      <c r="Q11" s="771"/>
      <c r="R11" s="206"/>
      <c r="S11" s="181" t="s">
        <v>501</v>
      </c>
      <c r="T11" s="180"/>
      <c r="U11" s="181">
        <f t="shared" ref="U11:U15" si="2">IF(M11="",0,ROUND(S11/T11,0))</f>
        <v>0</v>
      </c>
    </row>
    <row r="12" spans="1:22" ht="15" customHeight="1" x14ac:dyDescent="0.25">
      <c r="A12" s="22"/>
      <c r="B12" s="771"/>
      <c r="C12" s="771"/>
      <c r="D12" s="771"/>
      <c r="E12" s="771"/>
      <c r="F12" s="771"/>
      <c r="G12" s="206" t="s">
        <v>501</v>
      </c>
      <c r="H12" s="181" t="s">
        <v>501</v>
      </c>
      <c r="I12" s="180"/>
      <c r="J12" s="181">
        <f t="shared" si="1"/>
        <v>0</v>
      </c>
      <c r="L12" s="22"/>
      <c r="M12" s="771"/>
      <c r="N12" s="771"/>
      <c r="O12" s="771"/>
      <c r="P12" s="771"/>
      <c r="Q12" s="771"/>
      <c r="R12" s="206" t="s">
        <v>501</v>
      </c>
      <c r="S12" s="181" t="s">
        <v>501</v>
      </c>
      <c r="T12" s="180"/>
      <c r="U12" s="181">
        <f t="shared" si="2"/>
        <v>0</v>
      </c>
    </row>
    <row r="13" spans="1:22" ht="15" customHeight="1" x14ac:dyDescent="0.25">
      <c r="A13" s="22"/>
      <c r="B13" s="771"/>
      <c r="C13" s="771"/>
      <c r="D13" s="771"/>
      <c r="E13" s="771"/>
      <c r="F13" s="771"/>
      <c r="G13" s="206" t="s">
        <v>501</v>
      </c>
      <c r="H13" s="181" t="s">
        <v>501</v>
      </c>
      <c r="I13" s="180"/>
      <c r="J13" s="181">
        <f t="shared" si="1"/>
        <v>0</v>
      </c>
      <c r="L13" s="22"/>
      <c r="M13" s="771"/>
      <c r="N13" s="771"/>
      <c r="O13" s="771"/>
      <c r="P13" s="771"/>
      <c r="Q13" s="771"/>
      <c r="R13" s="206" t="s">
        <v>501</v>
      </c>
      <c r="S13" s="181" t="s">
        <v>501</v>
      </c>
      <c r="T13" s="180"/>
      <c r="U13" s="181">
        <f t="shared" si="2"/>
        <v>0</v>
      </c>
    </row>
    <row r="14" spans="1:22" ht="15" customHeight="1" x14ac:dyDescent="0.25">
      <c r="A14" s="22"/>
      <c r="B14" s="771"/>
      <c r="C14" s="771"/>
      <c r="D14" s="771"/>
      <c r="E14" s="771"/>
      <c r="F14" s="771"/>
      <c r="G14" s="206" t="s">
        <v>501</v>
      </c>
      <c r="H14" s="181" t="s">
        <v>501</v>
      </c>
      <c r="I14" s="180"/>
      <c r="J14" s="181">
        <f t="shared" si="1"/>
        <v>0</v>
      </c>
      <c r="L14" s="22"/>
      <c r="M14" s="771"/>
      <c r="N14" s="771"/>
      <c r="O14" s="771"/>
      <c r="P14" s="771"/>
      <c r="Q14" s="771"/>
      <c r="R14" s="206" t="s">
        <v>501</v>
      </c>
      <c r="S14" s="181" t="s">
        <v>501</v>
      </c>
      <c r="T14" s="180"/>
      <c r="U14" s="181">
        <f t="shared" si="2"/>
        <v>0</v>
      </c>
    </row>
    <row r="15" spans="1:22" ht="15" customHeight="1" x14ac:dyDescent="0.25">
      <c r="A15" s="22"/>
      <c r="B15" s="771"/>
      <c r="C15" s="771"/>
      <c r="D15" s="771"/>
      <c r="E15" s="771"/>
      <c r="F15" s="771"/>
      <c r="G15" s="206" t="s">
        <v>501</v>
      </c>
      <c r="H15" s="181" t="s">
        <v>501</v>
      </c>
      <c r="I15" s="180"/>
      <c r="J15" s="181">
        <f t="shared" si="1"/>
        <v>0</v>
      </c>
      <c r="L15" s="22"/>
      <c r="M15" s="771"/>
      <c r="N15" s="771"/>
      <c r="O15" s="771"/>
      <c r="P15" s="771"/>
      <c r="Q15" s="771"/>
      <c r="R15" s="206" t="s">
        <v>501</v>
      </c>
      <c r="S15" s="181" t="s">
        <v>501</v>
      </c>
      <c r="T15" s="180"/>
      <c r="U15" s="181">
        <f t="shared" si="2"/>
        <v>0</v>
      </c>
    </row>
    <row r="16" spans="1:22" ht="15" customHeight="1" x14ac:dyDescent="0.25">
      <c r="A16" s="22"/>
      <c r="B16" s="771"/>
      <c r="C16" s="771"/>
      <c r="D16" s="771"/>
      <c r="E16" s="771"/>
      <c r="F16" s="771"/>
      <c r="G16" s="206" t="s">
        <v>501</v>
      </c>
      <c r="H16" s="181" t="s">
        <v>501</v>
      </c>
      <c r="I16" s="180"/>
      <c r="J16" s="181"/>
      <c r="L16" s="22"/>
      <c r="M16" s="771"/>
      <c r="N16" s="771"/>
      <c r="O16" s="771"/>
      <c r="P16" s="771"/>
      <c r="Q16" s="771"/>
      <c r="R16" s="206" t="s">
        <v>501</v>
      </c>
      <c r="S16" s="181" t="s">
        <v>501</v>
      </c>
      <c r="T16" s="180"/>
      <c r="U16" s="181"/>
    </row>
    <row r="17" spans="1:22" ht="15" customHeight="1" x14ac:dyDescent="0.25">
      <c r="A17" s="22"/>
      <c r="B17" s="772" t="s">
        <v>31</v>
      </c>
      <c r="C17" s="772"/>
      <c r="D17" s="772"/>
      <c r="E17" s="772"/>
      <c r="F17" s="772"/>
      <c r="G17" s="772"/>
      <c r="H17" s="772"/>
      <c r="I17" s="772"/>
      <c r="J17" s="181">
        <f>SUM(J9:J16)</f>
        <v>248922</v>
      </c>
      <c r="L17" s="22"/>
      <c r="M17" s="772" t="s">
        <v>31</v>
      </c>
      <c r="N17" s="772"/>
      <c r="O17" s="772"/>
      <c r="P17" s="772"/>
      <c r="Q17" s="772"/>
      <c r="R17" s="772"/>
      <c r="S17" s="772"/>
      <c r="T17" s="772"/>
      <c r="U17" s="181">
        <f>SUM(U9:U16)</f>
        <v>248922</v>
      </c>
    </row>
    <row r="18" spans="1:22" ht="7.5" customHeight="1" x14ac:dyDescent="0.25">
      <c r="A18" s="22"/>
      <c r="B18" s="25"/>
      <c r="C18" s="25"/>
      <c r="D18" s="25"/>
      <c r="E18" s="25"/>
      <c r="F18" s="25"/>
      <c r="G18" s="25"/>
      <c r="H18" s="25"/>
      <c r="I18" s="25"/>
      <c r="J18" s="26"/>
      <c r="L18" s="22"/>
      <c r="M18" s="25"/>
      <c r="N18" s="25"/>
      <c r="O18" s="25"/>
      <c r="P18" s="25"/>
      <c r="Q18" s="25"/>
      <c r="R18" s="25"/>
      <c r="S18" s="25"/>
      <c r="T18" s="25"/>
      <c r="U18" s="26"/>
    </row>
    <row r="19" spans="1:22" ht="15" customHeight="1" x14ac:dyDescent="0.25">
      <c r="A19" s="22"/>
      <c r="B19" s="772" t="s">
        <v>32</v>
      </c>
      <c r="C19" s="772"/>
      <c r="D19" s="772"/>
      <c r="E19" s="772"/>
      <c r="F19" s="772"/>
      <c r="G19" s="772"/>
      <c r="H19" s="772"/>
      <c r="I19" s="772"/>
      <c r="J19" s="772"/>
      <c r="L19" s="22"/>
      <c r="M19" s="772" t="s">
        <v>32</v>
      </c>
      <c r="N19" s="772"/>
      <c r="O19" s="772"/>
      <c r="P19" s="772"/>
      <c r="Q19" s="772"/>
      <c r="R19" s="772"/>
      <c r="S19" s="772"/>
      <c r="T19" s="772"/>
      <c r="U19" s="772"/>
    </row>
    <row r="20" spans="1:22" ht="26.4" x14ac:dyDescent="0.25">
      <c r="A20" s="22"/>
      <c r="B20" s="774" t="s">
        <v>33</v>
      </c>
      <c r="C20" s="774"/>
      <c r="D20" s="774"/>
      <c r="E20" s="774"/>
      <c r="F20" s="205" t="s">
        <v>19</v>
      </c>
      <c r="G20" s="206" t="s">
        <v>34</v>
      </c>
      <c r="H20" s="207" t="s">
        <v>35</v>
      </c>
      <c r="I20" s="207" t="s">
        <v>36</v>
      </c>
      <c r="J20" s="207" t="s">
        <v>29</v>
      </c>
      <c r="L20" s="22"/>
      <c r="M20" s="774" t="s">
        <v>33</v>
      </c>
      <c r="N20" s="774"/>
      <c r="O20" s="774"/>
      <c r="P20" s="774"/>
      <c r="Q20" s="205" t="s">
        <v>19</v>
      </c>
      <c r="R20" s="206" t="s">
        <v>34</v>
      </c>
      <c r="S20" s="207" t="s">
        <v>35</v>
      </c>
      <c r="T20" s="207" t="s">
        <v>36</v>
      </c>
      <c r="U20" s="207" t="s">
        <v>29</v>
      </c>
    </row>
    <row r="21" spans="1:22" ht="15" customHeight="1" x14ac:dyDescent="0.25">
      <c r="A21" s="22"/>
      <c r="B21" s="791" t="s">
        <v>434</v>
      </c>
      <c r="C21" s="792"/>
      <c r="D21" s="792"/>
      <c r="E21" s="793"/>
      <c r="F21" s="180">
        <v>1</v>
      </c>
      <c r="G21" s="206" t="s">
        <v>9</v>
      </c>
      <c r="H21" s="209"/>
      <c r="I21" s="181">
        <v>8016365</v>
      </c>
      <c r="J21" s="181">
        <f>IF(I21="",0,ROUND((+F21*I21*(1+H21)),0))</f>
        <v>8016365</v>
      </c>
      <c r="L21" s="22"/>
      <c r="M21" s="791" t="s">
        <v>434</v>
      </c>
      <c r="N21" s="792"/>
      <c r="O21" s="792"/>
      <c r="P21" s="793"/>
      <c r="Q21" s="180">
        <v>1</v>
      </c>
      <c r="R21" s="206" t="s">
        <v>9</v>
      </c>
      <c r="S21" s="209"/>
      <c r="T21" s="181">
        <v>8016365</v>
      </c>
      <c r="U21" s="181">
        <f>IF(T21="",0,ROUND((+Q21*T21*(1+S21)),0))</f>
        <v>8016365</v>
      </c>
      <c r="V21" s="239" t="s">
        <v>448</v>
      </c>
    </row>
    <row r="22" spans="1:22" ht="15" customHeight="1" x14ac:dyDescent="0.25">
      <c r="A22" s="22"/>
      <c r="B22" s="791"/>
      <c r="C22" s="792"/>
      <c r="D22" s="792"/>
      <c r="E22" s="793"/>
      <c r="F22" s="180"/>
      <c r="G22" s="206" t="s">
        <v>501</v>
      </c>
      <c r="H22" s="209"/>
      <c r="I22" s="181" t="s">
        <v>501</v>
      </c>
      <c r="J22" s="181">
        <f t="shared" ref="J22:J27" si="3">IF(I22="",0,ROUND((+F22*I22*(1+H22)),0))</f>
        <v>0</v>
      </c>
      <c r="K22" s="117"/>
      <c r="L22" s="22"/>
      <c r="M22" s="791"/>
      <c r="N22" s="792"/>
      <c r="O22" s="792"/>
      <c r="P22" s="793"/>
      <c r="Q22" s="180"/>
      <c r="R22" s="206" t="s">
        <v>501</v>
      </c>
      <c r="S22" s="209"/>
      <c r="T22" s="181" t="s">
        <v>501</v>
      </c>
      <c r="U22" s="181">
        <f t="shared" ref="U22:U27" si="4">IF(T22="",0,ROUND((+Q22*T22*(1+S22)),0))</f>
        <v>0</v>
      </c>
    </row>
    <row r="23" spans="1:22" ht="15" customHeight="1" x14ac:dyDescent="0.25">
      <c r="A23" s="22"/>
      <c r="B23" s="791"/>
      <c r="C23" s="792"/>
      <c r="D23" s="792"/>
      <c r="E23" s="793"/>
      <c r="F23" s="180"/>
      <c r="G23" s="206" t="s">
        <v>501</v>
      </c>
      <c r="H23" s="209"/>
      <c r="I23" s="181" t="s">
        <v>501</v>
      </c>
      <c r="J23" s="181">
        <f t="shared" si="3"/>
        <v>0</v>
      </c>
      <c r="K23" s="117"/>
      <c r="L23" s="22"/>
      <c r="M23" s="791"/>
      <c r="N23" s="792"/>
      <c r="O23" s="792"/>
      <c r="P23" s="793"/>
      <c r="Q23" s="180"/>
      <c r="R23" s="206" t="s">
        <v>501</v>
      </c>
      <c r="S23" s="209"/>
      <c r="T23" s="181" t="s">
        <v>501</v>
      </c>
      <c r="U23" s="181">
        <f t="shared" si="4"/>
        <v>0</v>
      </c>
    </row>
    <row r="24" spans="1:22" ht="15" customHeight="1" x14ac:dyDescent="0.25">
      <c r="A24" s="22"/>
      <c r="B24" s="791"/>
      <c r="C24" s="792"/>
      <c r="D24" s="792"/>
      <c r="E24" s="793"/>
      <c r="F24" s="180"/>
      <c r="G24" s="206" t="s">
        <v>501</v>
      </c>
      <c r="H24" s="209"/>
      <c r="I24" s="181" t="s">
        <v>501</v>
      </c>
      <c r="J24" s="181">
        <f t="shared" si="3"/>
        <v>0</v>
      </c>
      <c r="K24" s="117"/>
      <c r="L24" s="22"/>
      <c r="M24" s="791"/>
      <c r="N24" s="792"/>
      <c r="O24" s="792"/>
      <c r="P24" s="793"/>
      <c r="Q24" s="180"/>
      <c r="R24" s="206" t="s">
        <v>501</v>
      </c>
      <c r="S24" s="209"/>
      <c r="T24" s="181" t="s">
        <v>501</v>
      </c>
      <c r="U24" s="181">
        <f t="shared" si="4"/>
        <v>0</v>
      </c>
    </row>
    <row r="25" spans="1:22" ht="15" customHeight="1" x14ac:dyDescent="0.25">
      <c r="A25" s="22"/>
      <c r="B25" s="791"/>
      <c r="C25" s="792"/>
      <c r="D25" s="792"/>
      <c r="E25" s="793"/>
      <c r="F25" s="180"/>
      <c r="G25" s="206" t="s">
        <v>501</v>
      </c>
      <c r="H25" s="209"/>
      <c r="I25" s="181" t="s">
        <v>501</v>
      </c>
      <c r="J25" s="181">
        <f t="shared" si="3"/>
        <v>0</v>
      </c>
      <c r="L25" s="22"/>
      <c r="M25" s="791"/>
      <c r="N25" s="792"/>
      <c r="O25" s="792"/>
      <c r="P25" s="793"/>
      <c r="Q25" s="180"/>
      <c r="R25" s="206" t="s">
        <v>501</v>
      </c>
      <c r="S25" s="209"/>
      <c r="T25" s="181" t="s">
        <v>501</v>
      </c>
      <c r="U25" s="181">
        <f t="shared" si="4"/>
        <v>0</v>
      </c>
    </row>
    <row r="26" spans="1:22" ht="15" customHeight="1" x14ac:dyDescent="0.25">
      <c r="A26" s="22"/>
      <c r="B26" s="791"/>
      <c r="C26" s="792"/>
      <c r="D26" s="792"/>
      <c r="E26" s="793"/>
      <c r="F26" s="180"/>
      <c r="G26" s="206" t="s">
        <v>501</v>
      </c>
      <c r="H26" s="209"/>
      <c r="I26" s="181" t="s">
        <v>501</v>
      </c>
      <c r="J26" s="181">
        <f t="shared" si="3"/>
        <v>0</v>
      </c>
      <c r="L26" s="22"/>
      <c r="M26" s="791"/>
      <c r="N26" s="792"/>
      <c r="O26" s="792"/>
      <c r="P26" s="793"/>
      <c r="Q26" s="180"/>
      <c r="R26" s="206" t="s">
        <v>501</v>
      </c>
      <c r="S26" s="209"/>
      <c r="T26" s="181" t="s">
        <v>501</v>
      </c>
      <c r="U26" s="181">
        <f t="shared" si="4"/>
        <v>0</v>
      </c>
    </row>
    <row r="27" spans="1:22" ht="15" customHeight="1" x14ac:dyDescent="0.25">
      <c r="A27" s="22"/>
      <c r="B27" s="791"/>
      <c r="C27" s="792"/>
      <c r="D27" s="792"/>
      <c r="E27" s="793"/>
      <c r="F27" s="180"/>
      <c r="G27" s="206" t="s">
        <v>501</v>
      </c>
      <c r="H27" s="209"/>
      <c r="I27" s="181" t="s">
        <v>501</v>
      </c>
      <c r="J27" s="181">
        <f t="shared" si="3"/>
        <v>0</v>
      </c>
      <c r="L27" s="22"/>
      <c r="M27" s="791"/>
      <c r="N27" s="792"/>
      <c r="O27" s="792"/>
      <c r="P27" s="793"/>
      <c r="Q27" s="180"/>
      <c r="R27" s="206" t="s">
        <v>501</v>
      </c>
      <c r="S27" s="209"/>
      <c r="T27" s="181" t="s">
        <v>501</v>
      </c>
      <c r="U27" s="181">
        <f t="shared" si="4"/>
        <v>0</v>
      </c>
    </row>
    <row r="28" spans="1:22" ht="15" customHeight="1" x14ac:dyDescent="0.25">
      <c r="A28" s="22"/>
      <c r="B28" s="785"/>
      <c r="C28" s="786"/>
      <c r="D28" s="786"/>
      <c r="E28" s="787"/>
      <c r="F28" s="180"/>
      <c r="G28" s="206" t="s">
        <v>501</v>
      </c>
      <c r="H28" s="209"/>
      <c r="I28" s="181" t="s">
        <v>501</v>
      </c>
      <c r="J28" s="181"/>
      <c r="L28" s="22"/>
      <c r="M28" s="785"/>
      <c r="N28" s="786"/>
      <c r="O28" s="786"/>
      <c r="P28" s="787"/>
      <c r="Q28" s="180"/>
      <c r="R28" s="206" t="s">
        <v>501</v>
      </c>
      <c r="S28" s="209"/>
      <c r="T28" s="181" t="s">
        <v>501</v>
      </c>
      <c r="U28" s="181"/>
    </row>
    <row r="29" spans="1:22" ht="15" customHeight="1" x14ac:dyDescent="0.25">
      <c r="A29" s="22"/>
      <c r="B29" s="772" t="s">
        <v>37</v>
      </c>
      <c r="C29" s="772"/>
      <c r="D29" s="772"/>
      <c r="E29" s="772"/>
      <c r="F29" s="772"/>
      <c r="G29" s="772"/>
      <c r="H29" s="772"/>
      <c r="I29" s="772"/>
      <c r="J29" s="181">
        <f>SUM(J21:J28)</f>
        <v>8016365</v>
      </c>
      <c r="L29" s="22"/>
      <c r="M29" s="772" t="s">
        <v>37</v>
      </c>
      <c r="N29" s="772"/>
      <c r="O29" s="772"/>
      <c r="P29" s="772"/>
      <c r="Q29" s="772"/>
      <c r="R29" s="772"/>
      <c r="S29" s="772"/>
      <c r="T29" s="772"/>
      <c r="U29" s="181">
        <f>SUM(U21:U28)</f>
        <v>8016365</v>
      </c>
    </row>
    <row r="30" spans="1:22" ht="7.5" customHeight="1" x14ac:dyDescent="0.25">
      <c r="A30" s="22"/>
      <c r="B30" s="25"/>
      <c r="C30" s="25"/>
      <c r="D30" s="25"/>
      <c r="E30" s="25"/>
      <c r="F30" s="25"/>
      <c r="G30" s="25"/>
      <c r="H30" s="25"/>
      <c r="I30" s="25"/>
      <c r="J30" s="26"/>
      <c r="L30" s="22"/>
      <c r="M30" s="25"/>
      <c r="N30" s="25"/>
      <c r="O30" s="25"/>
      <c r="P30" s="25"/>
      <c r="Q30" s="25"/>
      <c r="R30" s="25"/>
      <c r="S30" s="25"/>
      <c r="T30" s="25"/>
      <c r="U30" s="26"/>
    </row>
    <row r="31" spans="1:22" ht="15" customHeight="1" x14ac:dyDescent="0.25">
      <c r="A31" s="22"/>
      <c r="B31" s="772" t="s">
        <v>38</v>
      </c>
      <c r="C31" s="772"/>
      <c r="D31" s="772"/>
      <c r="E31" s="772"/>
      <c r="F31" s="772"/>
      <c r="G31" s="772"/>
      <c r="H31" s="772"/>
      <c r="I31" s="772"/>
      <c r="J31" s="772"/>
      <c r="L31" s="22"/>
      <c r="M31" s="772" t="s">
        <v>38</v>
      </c>
      <c r="N31" s="772"/>
      <c r="O31" s="772"/>
      <c r="P31" s="772"/>
      <c r="Q31" s="772"/>
      <c r="R31" s="772"/>
      <c r="S31" s="772"/>
      <c r="T31" s="772"/>
      <c r="U31" s="772"/>
    </row>
    <row r="32" spans="1:22" x14ac:dyDescent="0.25">
      <c r="A32" s="22"/>
      <c r="B32" s="774" t="s">
        <v>33</v>
      </c>
      <c r="C32" s="774"/>
      <c r="D32" s="774"/>
      <c r="E32" s="774"/>
      <c r="F32" s="774"/>
      <c r="G32" s="206" t="s">
        <v>133</v>
      </c>
      <c r="H32" s="206" t="s">
        <v>132</v>
      </c>
      <c r="I32" s="206" t="s">
        <v>39</v>
      </c>
      <c r="J32" s="207" t="s">
        <v>29</v>
      </c>
      <c r="L32" s="22"/>
      <c r="M32" s="774" t="s">
        <v>33</v>
      </c>
      <c r="N32" s="774"/>
      <c r="O32" s="774"/>
      <c r="P32" s="774"/>
      <c r="Q32" s="774"/>
      <c r="R32" s="206" t="s">
        <v>133</v>
      </c>
      <c r="S32" s="206" t="s">
        <v>132</v>
      </c>
      <c r="T32" s="206" t="s">
        <v>39</v>
      </c>
      <c r="U32" s="207" t="s">
        <v>29</v>
      </c>
    </row>
    <row r="33" spans="1:22" ht="15" customHeight="1" x14ac:dyDescent="0.25">
      <c r="A33" s="22"/>
      <c r="B33" s="771"/>
      <c r="C33" s="771"/>
      <c r="D33" s="771"/>
      <c r="E33" s="771"/>
      <c r="F33" s="771"/>
      <c r="G33" s="206"/>
      <c r="H33" s="180"/>
      <c r="I33" s="181"/>
      <c r="J33" s="181">
        <f>ROUND(I33*H33,0)</f>
        <v>0</v>
      </c>
      <c r="L33" s="22"/>
      <c r="M33" s="771"/>
      <c r="N33" s="771"/>
      <c r="O33" s="771"/>
      <c r="P33" s="771"/>
      <c r="Q33" s="771"/>
      <c r="R33" s="206"/>
      <c r="S33" s="180"/>
      <c r="T33" s="181"/>
      <c r="U33" s="181">
        <f>ROUND(T33*S33,0)</f>
        <v>0</v>
      </c>
    </row>
    <row r="34" spans="1:22" ht="15" customHeight="1" x14ac:dyDescent="0.25">
      <c r="A34" s="22"/>
      <c r="B34" s="771"/>
      <c r="C34" s="771"/>
      <c r="D34" s="771"/>
      <c r="E34" s="771"/>
      <c r="F34" s="771"/>
      <c r="G34" s="206"/>
      <c r="H34" s="180"/>
      <c r="I34" s="181"/>
      <c r="J34" s="181">
        <v>0</v>
      </c>
      <c r="L34" s="22"/>
      <c r="M34" s="771"/>
      <c r="N34" s="771"/>
      <c r="O34" s="771"/>
      <c r="P34" s="771"/>
      <c r="Q34" s="771"/>
      <c r="R34" s="206"/>
      <c r="S34" s="180"/>
      <c r="T34" s="181"/>
      <c r="U34" s="181">
        <v>0</v>
      </c>
    </row>
    <row r="35" spans="1:22" ht="15" customHeight="1" x14ac:dyDescent="0.25">
      <c r="A35" s="22"/>
      <c r="B35" s="771"/>
      <c r="C35" s="771"/>
      <c r="D35" s="771"/>
      <c r="E35" s="771"/>
      <c r="F35" s="771"/>
      <c r="G35" s="206"/>
      <c r="H35" s="180"/>
      <c r="I35" s="181"/>
      <c r="J35" s="181">
        <v>0</v>
      </c>
      <c r="L35" s="22"/>
      <c r="M35" s="771"/>
      <c r="N35" s="771"/>
      <c r="O35" s="771"/>
      <c r="P35" s="771"/>
      <c r="Q35" s="771"/>
      <c r="R35" s="206"/>
      <c r="S35" s="180"/>
      <c r="T35" s="181"/>
      <c r="U35" s="181">
        <v>0</v>
      </c>
    </row>
    <row r="36" spans="1:22" ht="15" customHeight="1" x14ac:dyDescent="0.25">
      <c r="A36" s="22"/>
      <c r="B36" s="771"/>
      <c r="C36" s="771"/>
      <c r="D36" s="771"/>
      <c r="E36" s="771"/>
      <c r="F36" s="771"/>
      <c r="G36" s="206"/>
      <c r="H36" s="206"/>
      <c r="I36" s="181"/>
      <c r="J36" s="181">
        <v>0</v>
      </c>
      <c r="L36" s="22"/>
      <c r="M36" s="771"/>
      <c r="N36" s="771"/>
      <c r="O36" s="771"/>
      <c r="P36" s="771"/>
      <c r="Q36" s="771"/>
      <c r="R36" s="206"/>
      <c r="S36" s="206"/>
      <c r="T36" s="181"/>
      <c r="U36" s="181">
        <v>0</v>
      </c>
    </row>
    <row r="37" spans="1:22" ht="15" customHeight="1" x14ac:dyDescent="0.25">
      <c r="A37" s="22"/>
      <c r="B37" s="772" t="s">
        <v>40</v>
      </c>
      <c r="C37" s="772"/>
      <c r="D37" s="772"/>
      <c r="E37" s="772"/>
      <c r="F37" s="772"/>
      <c r="G37" s="772"/>
      <c r="H37" s="772"/>
      <c r="I37" s="772"/>
      <c r="J37" s="181">
        <f>SUM(J33:J36)</f>
        <v>0</v>
      </c>
      <c r="L37" s="22"/>
      <c r="M37" s="772" t="s">
        <v>40</v>
      </c>
      <c r="N37" s="772"/>
      <c r="O37" s="772"/>
      <c r="P37" s="772"/>
      <c r="Q37" s="772"/>
      <c r="R37" s="772"/>
      <c r="S37" s="772"/>
      <c r="T37" s="772"/>
      <c r="U37" s="181">
        <f>SUM(U33:U36)</f>
        <v>0</v>
      </c>
    </row>
    <row r="38" spans="1:22" ht="7.5" customHeight="1" x14ac:dyDescent="0.25">
      <c r="A38" s="22"/>
      <c r="B38" s="25"/>
      <c r="C38" s="25"/>
      <c r="D38" s="25"/>
      <c r="E38" s="25"/>
      <c r="F38" s="25"/>
      <c r="G38" s="25"/>
      <c r="H38" s="25"/>
      <c r="I38" s="25"/>
      <c r="J38" s="26"/>
      <c r="L38" s="22"/>
      <c r="M38" s="25"/>
      <c r="N38" s="25"/>
      <c r="O38" s="25"/>
      <c r="P38" s="25"/>
      <c r="Q38" s="25"/>
      <c r="R38" s="25"/>
      <c r="S38" s="25"/>
      <c r="T38" s="25"/>
      <c r="U38" s="26"/>
    </row>
    <row r="39" spans="1:22" ht="15" customHeight="1" x14ac:dyDescent="0.25">
      <c r="A39" s="22"/>
      <c r="B39" s="772" t="s">
        <v>41</v>
      </c>
      <c r="C39" s="772"/>
      <c r="D39" s="772"/>
      <c r="E39" s="772"/>
      <c r="F39" s="772"/>
      <c r="G39" s="772"/>
      <c r="H39" s="772"/>
      <c r="I39" s="772"/>
      <c r="J39" s="772"/>
      <c r="L39" s="22"/>
      <c r="M39" s="772" t="s">
        <v>41</v>
      </c>
      <c r="N39" s="772"/>
      <c r="O39" s="772"/>
      <c r="P39" s="772"/>
      <c r="Q39" s="772"/>
      <c r="R39" s="772"/>
      <c r="S39" s="772"/>
      <c r="T39" s="772"/>
      <c r="U39" s="772"/>
    </row>
    <row r="40" spans="1:22" ht="26.4" x14ac:dyDescent="0.25">
      <c r="A40" s="22"/>
      <c r="B40" s="774" t="s">
        <v>4</v>
      </c>
      <c r="C40" s="774"/>
      <c r="D40" s="774"/>
      <c r="E40" s="774"/>
      <c r="F40" s="774"/>
      <c r="G40" s="207" t="s">
        <v>51</v>
      </c>
      <c r="H40" s="207" t="s">
        <v>19</v>
      </c>
      <c r="I40" s="207" t="s">
        <v>28</v>
      </c>
      <c r="J40" s="207" t="s">
        <v>29</v>
      </c>
      <c r="L40" s="22"/>
      <c r="M40" s="774" t="s">
        <v>4</v>
      </c>
      <c r="N40" s="774"/>
      <c r="O40" s="774"/>
      <c r="P40" s="774"/>
      <c r="Q40" s="774"/>
      <c r="R40" s="207" t="s">
        <v>51</v>
      </c>
      <c r="S40" s="207" t="s">
        <v>19</v>
      </c>
      <c r="T40" s="207" t="s">
        <v>28</v>
      </c>
      <c r="U40" s="207" t="s">
        <v>29</v>
      </c>
    </row>
    <row r="41" spans="1:22" ht="15" customHeight="1" x14ac:dyDescent="0.25">
      <c r="A41" s="22"/>
      <c r="B41" s="814" t="s">
        <v>384</v>
      </c>
      <c r="C41" s="814"/>
      <c r="D41" s="814"/>
      <c r="E41" s="814"/>
      <c r="F41" s="814"/>
      <c r="G41" s="248">
        <v>746765.2333333334</v>
      </c>
      <c r="H41" s="246">
        <v>1</v>
      </c>
      <c r="I41" s="245">
        <v>0.15</v>
      </c>
      <c r="J41" s="248">
        <f>ROUND(+IF(I41=0,0,G41*H41/I41),0)</f>
        <v>4978435</v>
      </c>
      <c r="L41" s="22"/>
      <c r="M41" s="771" t="s">
        <v>384</v>
      </c>
      <c r="N41" s="771"/>
      <c r="O41" s="771"/>
      <c r="P41" s="771"/>
      <c r="Q41" s="771"/>
      <c r="R41" s="181">
        <v>746765.2333333334</v>
      </c>
      <c r="S41" s="206">
        <v>1</v>
      </c>
      <c r="T41" s="180">
        <v>0.15</v>
      </c>
      <c r="U41" s="181">
        <f>ROUND(+IF(T41=0,0,R41*S41/T41),0)</f>
        <v>4978435</v>
      </c>
      <c r="V41" s="268" t="s">
        <v>481</v>
      </c>
    </row>
    <row r="42" spans="1:22" ht="15" customHeight="1" x14ac:dyDescent="0.25">
      <c r="A42" s="22"/>
      <c r="B42" s="771"/>
      <c r="C42" s="771"/>
      <c r="D42" s="771"/>
      <c r="E42" s="771"/>
      <c r="F42" s="771"/>
      <c r="G42" s="181" t="s">
        <v>501</v>
      </c>
      <c r="H42" s="206"/>
      <c r="I42" s="180"/>
      <c r="J42" s="181">
        <f>ROUND(+IF(I42=0,0,G42*H42/I42),0)</f>
        <v>0</v>
      </c>
      <c r="L42" s="22"/>
      <c r="M42" s="771"/>
      <c r="N42" s="771"/>
      <c r="O42" s="771"/>
      <c r="P42" s="771"/>
      <c r="Q42" s="771"/>
      <c r="R42" s="181" t="s">
        <v>501</v>
      </c>
      <c r="S42" s="206"/>
      <c r="T42" s="180"/>
      <c r="U42" s="181">
        <f>ROUND(+IF(T42=0,0,R42*S42/T42),0)</f>
        <v>0</v>
      </c>
    </row>
    <row r="43" spans="1:22" ht="15" customHeight="1" x14ac:dyDescent="0.25">
      <c r="A43" s="22"/>
      <c r="B43" s="771"/>
      <c r="C43" s="771"/>
      <c r="D43" s="771"/>
      <c r="E43" s="771"/>
      <c r="F43" s="771"/>
      <c r="G43" s="181" t="s">
        <v>501</v>
      </c>
      <c r="H43" s="206"/>
      <c r="I43" s="180"/>
      <c r="J43" s="181">
        <f>ROUND(+IF(I43=0,0,G43*H43/I43),0)</f>
        <v>0</v>
      </c>
      <c r="L43" s="22"/>
      <c r="M43" s="771"/>
      <c r="N43" s="771"/>
      <c r="O43" s="771"/>
      <c r="P43" s="771"/>
      <c r="Q43" s="771"/>
      <c r="R43" s="181" t="s">
        <v>501</v>
      </c>
      <c r="S43" s="206"/>
      <c r="T43" s="180"/>
      <c r="U43" s="181">
        <f>ROUND(+IF(T43=0,0,R43*S43/T43),0)</f>
        <v>0</v>
      </c>
    </row>
    <row r="44" spans="1:22" ht="15" customHeight="1" x14ac:dyDescent="0.25">
      <c r="A44" s="22"/>
      <c r="B44" s="771"/>
      <c r="C44" s="771"/>
      <c r="D44" s="771"/>
      <c r="E44" s="771"/>
      <c r="F44" s="771"/>
      <c r="G44" s="181" t="s">
        <v>501</v>
      </c>
      <c r="H44" s="206"/>
      <c r="I44" s="180"/>
      <c r="J44" s="181">
        <f t="shared" ref="J44" si="5">+IF(I44=0,0,G44*H44/I44)</f>
        <v>0</v>
      </c>
      <c r="L44" s="22"/>
      <c r="M44" s="771"/>
      <c r="N44" s="771"/>
      <c r="O44" s="771"/>
      <c r="P44" s="771"/>
      <c r="Q44" s="771"/>
      <c r="R44" s="181" t="s">
        <v>501</v>
      </c>
      <c r="S44" s="206"/>
      <c r="T44" s="180"/>
      <c r="U44" s="181">
        <f t="shared" ref="U44" si="6">+IF(T44=0,0,R44*S44/T44)</f>
        <v>0</v>
      </c>
    </row>
    <row r="45" spans="1:22" ht="15" customHeight="1" x14ac:dyDescent="0.25">
      <c r="A45" s="22"/>
      <c r="B45" s="772" t="s">
        <v>42</v>
      </c>
      <c r="C45" s="772"/>
      <c r="D45" s="772"/>
      <c r="E45" s="772"/>
      <c r="F45" s="772"/>
      <c r="G45" s="772"/>
      <c r="H45" s="772"/>
      <c r="I45" s="772"/>
      <c r="J45" s="181">
        <f>SUM(J41:J44)</f>
        <v>4978435</v>
      </c>
      <c r="L45" s="22"/>
      <c r="M45" s="772" t="s">
        <v>42</v>
      </c>
      <c r="N45" s="772"/>
      <c r="O45" s="772"/>
      <c r="P45" s="772"/>
      <c r="Q45" s="772"/>
      <c r="R45" s="772"/>
      <c r="S45" s="772"/>
      <c r="T45" s="772"/>
      <c r="U45" s="181">
        <f>SUM(U41:U44)</f>
        <v>4978435</v>
      </c>
    </row>
    <row r="46" spans="1:22" ht="7.5" customHeight="1" x14ac:dyDescent="0.25">
      <c r="A46" s="22"/>
      <c r="B46" s="25"/>
      <c r="C46" s="25"/>
      <c r="D46" s="25"/>
      <c r="E46" s="25"/>
      <c r="F46" s="25"/>
      <c r="G46" s="25"/>
      <c r="H46" s="25"/>
      <c r="I46" s="25"/>
      <c r="J46" s="26"/>
      <c r="L46" s="22"/>
      <c r="M46" s="25"/>
      <c r="N46" s="25"/>
      <c r="O46" s="25"/>
      <c r="P46" s="25"/>
      <c r="Q46" s="25"/>
      <c r="R46" s="25"/>
      <c r="S46" s="25"/>
      <c r="T46" s="25"/>
      <c r="U46" s="26"/>
    </row>
    <row r="47" spans="1:22" ht="15.75" customHeight="1" x14ac:dyDescent="0.25">
      <c r="A47" s="27"/>
      <c r="B47" s="773" t="s">
        <v>43</v>
      </c>
      <c r="C47" s="773"/>
      <c r="D47" s="773"/>
      <c r="E47" s="773"/>
      <c r="F47" s="773"/>
      <c r="G47" s="773"/>
      <c r="H47" s="773"/>
      <c r="I47" s="773"/>
      <c r="J47" s="210">
        <f>+J45+J37+J17+J29</f>
        <v>13243722</v>
      </c>
      <c r="L47" s="27"/>
      <c r="M47" s="773" t="s">
        <v>43</v>
      </c>
      <c r="N47" s="773"/>
      <c r="O47" s="773"/>
      <c r="P47" s="773"/>
      <c r="Q47" s="773"/>
      <c r="R47" s="773"/>
      <c r="S47" s="773"/>
      <c r="T47" s="773"/>
      <c r="U47" s="210">
        <f>+U45+U37+U17+U29</f>
        <v>13243722</v>
      </c>
    </row>
    <row r="48" spans="1:22" x14ac:dyDescent="0.25">
      <c r="B48" s="21"/>
      <c r="C48" s="21"/>
      <c r="D48" s="21"/>
      <c r="E48" s="21"/>
      <c r="F48" s="21"/>
      <c r="G48" s="21"/>
      <c r="H48" s="21"/>
      <c r="I48" s="21"/>
      <c r="J48" s="21"/>
    </row>
  </sheetData>
  <mergeCells count="86">
    <mergeCell ref="A1:C4"/>
    <mergeCell ref="D1:J1"/>
    <mergeCell ref="L1:N4"/>
    <mergeCell ref="O1:U1"/>
    <mergeCell ref="D2:J2"/>
    <mergeCell ref="O2:U2"/>
    <mergeCell ref="D3:J3"/>
    <mergeCell ref="O3:U3"/>
    <mergeCell ref="D4:J4"/>
    <mergeCell ref="O4:U4"/>
    <mergeCell ref="E6:H6"/>
    <mergeCell ref="P6:S6"/>
    <mergeCell ref="B7:J7"/>
    <mergeCell ref="M7:U7"/>
    <mergeCell ref="B8:F8"/>
    <mergeCell ref="M8:Q8"/>
    <mergeCell ref="B9:F9"/>
    <mergeCell ref="M9:Q9"/>
    <mergeCell ref="B10:F10"/>
    <mergeCell ref="M10:Q10"/>
    <mergeCell ref="B11:F11"/>
    <mergeCell ref="M11:Q11"/>
    <mergeCell ref="B12:F12"/>
    <mergeCell ref="M12:Q12"/>
    <mergeCell ref="B13:F13"/>
    <mergeCell ref="M13:Q13"/>
    <mergeCell ref="B14:F14"/>
    <mergeCell ref="M14:Q14"/>
    <mergeCell ref="B15:F15"/>
    <mergeCell ref="M15:Q15"/>
    <mergeCell ref="B16:F16"/>
    <mergeCell ref="M16:Q16"/>
    <mergeCell ref="B17:I17"/>
    <mergeCell ref="M17:T17"/>
    <mergeCell ref="B19:J19"/>
    <mergeCell ref="M19:U19"/>
    <mergeCell ref="B20:E20"/>
    <mergeCell ref="M20:P20"/>
    <mergeCell ref="B21:E21"/>
    <mergeCell ref="M21:P21"/>
    <mergeCell ref="B22:E22"/>
    <mergeCell ref="M22:P22"/>
    <mergeCell ref="B23:E23"/>
    <mergeCell ref="M23:P23"/>
    <mergeCell ref="B24:E24"/>
    <mergeCell ref="M24:P24"/>
    <mergeCell ref="B25:E25"/>
    <mergeCell ref="M25:P25"/>
    <mergeCell ref="B26:E26"/>
    <mergeCell ref="M26:P26"/>
    <mergeCell ref="B27:E27"/>
    <mergeCell ref="M27:P27"/>
    <mergeCell ref="B28:E28"/>
    <mergeCell ref="M28:P28"/>
    <mergeCell ref="B29:I29"/>
    <mergeCell ref="M29:T29"/>
    <mergeCell ref="B31:J31"/>
    <mergeCell ref="M31:U31"/>
    <mergeCell ref="B32:F32"/>
    <mergeCell ref="M32:Q32"/>
    <mergeCell ref="B33:F33"/>
    <mergeCell ref="M33:Q33"/>
    <mergeCell ref="B34:F34"/>
    <mergeCell ref="M34:Q34"/>
    <mergeCell ref="B35:F35"/>
    <mergeCell ref="M35:Q35"/>
    <mergeCell ref="B36:F36"/>
    <mergeCell ref="M36:Q36"/>
    <mergeCell ref="B37:I37"/>
    <mergeCell ref="M37:T37"/>
    <mergeCell ref="B39:J39"/>
    <mergeCell ref="M39:U39"/>
    <mergeCell ref="B40:F40"/>
    <mergeCell ref="M40:Q40"/>
    <mergeCell ref="B41:F41"/>
    <mergeCell ref="M41:Q41"/>
    <mergeCell ref="B45:I45"/>
    <mergeCell ref="M45:T45"/>
    <mergeCell ref="B47:I47"/>
    <mergeCell ref="M47:T47"/>
    <mergeCell ref="B42:F42"/>
    <mergeCell ref="M42:Q42"/>
    <mergeCell ref="B43:F43"/>
    <mergeCell ref="M43:Q43"/>
    <mergeCell ref="B44:F44"/>
    <mergeCell ref="M44:Q44"/>
  </mergeCells>
  <hyperlinks>
    <hyperlink ref="C6" location="'PPTO HOJA'!A124" display="'PPTO HOJA'!A124" xr:uid="{00000000-0004-0000-4400-000000000000}"/>
    <hyperlink ref="N6" location="'PPTO HOJA'!A124" display="'PPTO HOJA'!A124" xr:uid="{00000000-0004-0000-4400-000001000000}"/>
  </hyperlinks>
  <pageMargins left="0.7" right="0.7" top="0.75" bottom="0.75" header="0.3" footer="0.3"/>
  <pageSetup paperSize="9" scale="31" orientation="portrait" r:id="rId1"/>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Hoja103">
    <tabColor theme="9" tint="0.59999389629810485"/>
  </sheetPr>
  <dimension ref="A1:U46"/>
  <sheetViews>
    <sheetView zoomScale="85" zoomScaleNormal="85" zoomScaleSheetLayoutView="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10" width="14.33203125" style="20" customWidth="1"/>
    <col min="11" max="18" width="11.44140625" style="20"/>
    <col min="19" max="19" width="12.33203125" style="20" bestFit="1" customWidth="1"/>
    <col min="20" max="20" width="11.44140625" style="20"/>
    <col min="21" max="21" width="16.44140625" style="20" customWidth="1"/>
    <col min="22" max="16384" width="11.44140625" style="20"/>
  </cols>
  <sheetData>
    <row r="1" spans="1:21" x14ac:dyDescent="0.25">
      <c r="A1" s="765"/>
      <c r="B1" s="765"/>
      <c r="C1" s="765"/>
      <c r="D1" s="766" t="str">
        <f>'PPTO HOJA'!A4</f>
        <v>DEPARTAMENTO DE ANTIOQUIA</v>
      </c>
      <c r="E1" s="766"/>
      <c r="F1" s="766"/>
      <c r="G1" s="766"/>
      <c r="H1" s="766"/>
      <c r="I1" s="766"/>
      <c r="J1" s="766"/>
      <c r="L1" s="765"/>
      <c r="M1" s="765"/>
      <c r="N1" s="765"/>
      <c r="O1" s="766" t="s">
        <v>1</v>
      </c>
      <c r="P1" s="766"/>
      <c r="Q1" s="766"/>
      <c r="R1" s="766"/>
      <c r="S1" s="766"/>
      <c r="T1" s="766"/>
      <c r="U1" s="766"/>
    </row>
    <row r="2" spans="1:21" x14ac:dyDescent="0.25">
      <c r="A2" s="765"/>
      <c r="B2" s="765"/>
      <c r="C2" s="765"/>
      <c r="D2" s="766" t="str">
        <f>'PPTO HOJA'!A5</f>
        <v>MUNICIPIO DE ARBOLETES</v>
      </c>
      <c r="E2" s="766"/>
      <c r="F2" s="766"/>
      <c r="G2" s="766"/>
      <c r="H2" s="766"/>
      <c r="I2" s="766"/>
      <c r="J2" s="766"/>
      <c r="L2" s="765"/>
      <c r="M2" s="765"/>
      <c r="N2" s="765"/>
      <c r="O2" s="766" t="s">
        <v>2</v>
      </c>
      <c r="P2" s="766"/>
      <c r="Q2" s="766"/>
      <c r="R2" s="766"/>
      <c r="S2" s="766"/>
      <c r="T2" s="766"/>
      <c r="U2" s="766"/>
    </row>
    <row r="3" spans="1:21" ht="69" customHeight="1" x14ac:dyDescent="0.25">
      <c r="A3" s="765"/>
      <c r="B3" s="765"/>
      <c r="C3" s="765"/>
      <c r="D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3" s="767"/>
      <c r="F3" s="767"/>
      <c r="G3" s="767"/>
      <c r="H3" s="767"/>
      <c r="I3" s="767"/>
      <c r="J3" s="767"/>
      <c r="L3" s="765"/>
      <c r="M3" s="765"/>
      <c r="N3" s="765"/>
      <c r="O3" s="767" t="s">
        <v>328</v>
      </c>
      <c r="P3" s="767"/>
      <c r="Q3" s="767"/>
      <c r="R3" s="767"/>
      <c r="S3" s="767"/>
      <c r="T3" s="767"/>
      <c r="U3" s="767"/>
    </row>
    <row r="4" spans="1:21" x14ac:dyDescent="0.25">
      <c r="A4" s="765"/>
      <c r="B4" s="765"/>
      <c r="C4" s="765"/>
      <c r="D4" s="766" t="s">
        <v>20</v>
      </c>
      <c r="E4" s="766"/>
      <c r="F4" s="766"/>
      <c r="G4" s="766"/>
      <c r="H4" s="766"/>
      <c r="I4" s="766"/>
      <c r="J4" s="766"/>
      <c r="L4" s="765"/>
      <c r="M4" s="765"/>
      <c r="N4" s="765"/>
      <c r="O4" s="766" t="s">
        <v>20</v>
      </c>
      <c r="P4" s="766"/>
      <c r="Q4" s="766"/>
      <c r="R4" s="766"/>
      <c r="S4" s="766"/>
      <c r="T4" s="766"/>
      <c r="U4" s="766"/>
    </row>
    <row r="5" spans="1:21" ht="9.75" customHeight="1" x14ac:dyDescent="0.25">
      <c r="A5" s="22"/>
      <c r="J5" s="23"/>
      <c r="L5" s="22"/>
      <c r="U5" s="23"/>
    </row>
    <row r="6" spans="1:21" s="21" customFormat="1" ht="33" customHeight="1" x14ac:dyDescent="0.3">
      <c r="A6" s="30" t="s">
        <v>163</v>
      </c>
      <c r="B6" s="29" t="s">
        <v>22</v>
      </c>
      <c r="C6" s="165">
        <f>+'PPTO HOJA'!A86</f>
        <v>8.01</v>
      </c>
      <c r="D6" s="28"/>
      <c r="E6" s="764" t="str">
        <f>+'PPTO HOJA'!B86</f>
        <v>Transporte de material sobrante proveniente de excavación, escombros, agregados sueltos y capa orgánica a 10.5 km</v>
      </c>
      <c r="F6" s="764"/>
      <c r="G6" s="764"/>
      <c r="H6" s="764"/>
      <c r="I6" s="30" t="s">
        <v>23</v>
      </c>
      <c r="J6" s="31" t="str">
        <f>+'PPTO HOJA'!C86</f>
        <v>m³/km</v>
      </c>
      <c r="L6" s="30" t="str">
        <f>A6</f>
        <v>II</v>
      </c>
      <c r="M6" s="29" t="s">
        <v>22</v>
      </c>
      <c r="N6" s="238">
        <f>C6</f>
        <v>8.01</v>
      </c>
      <c r="O6" s="28"/>
      <c r="P6" s="764" t="str">
        <f>E6</f>
        <v>Transporte de material sobrante proveniente de excavación, escombros, agregados sueltos y capa orgánica a 10.5 km</v>
      </c>
      <c r="Q6" s="764"/>
      <c r="R6" s="764"/>
      <c r="S6" s="764"/>
      <c r="T6" s="30" t="s">
        <v>23</v>
      </c>
      <c r="U6" s="31" t="str">
        <f>J6</f>
        <v>m³/km</v>
      </c>
    </row>
    <row r="7" spans="1:21" ht="15" customHeight="1" x14ac:dyDescent="0.25">
      <c r="A7" s="22"/>
      <c r="B7" s="761" t="s">
        <v>24</v>
      </c>
      <c r="C7" s="761"/>
      <c r="D7" s="761"/>
      <c r="E7" s="761"/>
      <c r="F7" s="761"/>
      <c r="G7" s="761"/>
      <c r="H7" s="761"/>
      <c r="I7" s="761"/>
      <c r="J7" s="761"/>
      <c r="L7" s="22"/>
      <c r="M7" s="772" t="s">
        <v>24</v>
      </c>
      <c r="N7" s="772"/>
      <c r="O7" s="772"/>
      <c r="P7" s="772"/>
      <c r="Q7" s="772"/>
      <c r="R7" s="772"/>
      <c r="S7" s="772"/>
      <c r="T7" s="772"/>
      <c r="U7" s="772"/>
    </row>
    <row r="8" spans="1:21" ht="26.4" x14ac:dyDescent="0.25">
      <c r="A8" s="22"/>
      <c r="B8" s="763" t="s">
        <v>25</v>
      </c>
      <c r="C8" s="763"/>
      <c r="D8" s="763"/>
      <c r="E8" s="763"/>
      <c r="F8" s="763"/>
      <c r="G8" s="31" t="s">
        <v>26</v>
      </c>
      <c r="H8" s="31" t="s">
        <v>27</v>
      </c>
      <c r="I8" s="31" t="s">
        <v>28</v>
      </c>
      <c r="J8" s="32" t="s">
        <v>29</v>
      </c>
      <c r="L8" s="22"/>
      <c r="M8" s="774" t="s">
        <v>25</v>
      </c>
      <c r="N8" s="774"/>
      <c r="O8" s="774"/>
      <c r="P8" s="774"/>
      <c r="Q8" s="774"/>
      <c r="R8" s="206" t="s">
        <v>26</v>
      </c>
      <c r="S8" s="206" t="s">
        <v>27</v>
      </c>
      <c r="T8" s="206" t="s">
        <v>28</v>
      </c>
      <c r="U8" s="207" t="s">
        <v>29</v>
      </c>
    </row>
    <row r="9" spans="1:21" ht="15" customHeight="1" x14ac:dyDescent="0.25">
      <c r="A9" s="22"/>
      <c r="B9" s="760" t="s">
        <v>309</v>
      </c>
      <c r="C9" s="760"/>
      <c r="D9" s="760"/>
      <c r="E9" s="760"/>
      <c r="F9" s="760"/>
      <c r="G9" s="31"/>
      <c r="H9" s="24">
        <f>IF(B9="","",VLOOKUP(B9,EQUIPOS!$B$7:$F$46,5,FALSE))</f>
        <v>600000</v>
      </c>
      <c r="I9" s="34">
        <f>6*60</f>
        <v>360</v>
      </c>
      <c r="J9" s="24">
        <f>IF(B9="",0,ROUND(H9/I9,0))</f>
        <v>1667</v>
      </c>
      <c r="L9" s="22"/>
      <c r="M9" s="771" t="s">
        <v>309</v>
      </c>
      <c r="N9" s="771"/>
      <c r="O9" s="771"/>
      <c r="P9" s="771"/>
      <c r="Q9" s="771"/>
      <c r="R9" s="206"/>
      <c r="S9" s="212">
        <v>1472</v>
      </c>
      <c r="T9" s="180">
        <v>1</v>
      </c>
      <c r="U9" s="181">
        <f>IF(M9="",0,ROUND(S9/T9,0))</f>
        <v>1472</v>
      </c>
    </row>
    <row r="10" spans="1:21" ht="22.5" customHeight="1" x14ac:dyDescent="0.25">
      <c r="A10" s="22"/>
      <c r="B10" s="764"/>
      <c r="C10" s="764"/>
      <c r="D10" s="764"/>
      <c r="E10" s="764"/>
      <c r="F10" s="764"/>
      <c r="G10" s="31" t="str">
        <f>IF(B10="","",VLOOKUP(B10,EQUIPOS!$B$7:$F$46,3,FALSE))</f>
        <v/>
      </c>
      <c r="H10" s="24" t="str">
        <f>IF(B10="","",VLOOKUP(B10,EQUIPOS!$B$7:$F$46,5,FALSE))</f>
        <v/>
      </c>
      <c r="I10" s="34"/>
      <c r="J10" s="24">
        <f>IF(B10="",0,ROUND(H10/I10,0))</f>
        <v>0</v>
      </c>
      <c r="L10" s="22"/>
      <c r="M10" s="777"/>
      <c r="N10" s="777"/>
      <c r="O10" s="777"/>
      <c r="P10" s="777"/>
      <c r="Q10" s="777"/>
      <c r="R10" s="206" t="s">
        <v>501</v>
      </c>
      <c r="S10" s="181" t="s">
        <v>501</v>
      </c>
      <c r="T10" s="180"/>
      <c r="U10" s="181">
        <f>IF(M10="",0,ROUND(S10/T10,0))</f>
        <v>0</v>
      </c>
    </row>
    <row r="11" spans="1:21" ht="15" customHeight="1" x14ac:dyDescent="0.25">
      <c r="A11" s="22"/>
      <c r="B11" s="760"/>
      <c r="C11" s="760"/>
      <c r="D11" s="760"/>
      <c r="E11" s="760"/>
      <c r="F11" s="760"/>
      <c r="G11" s="31" t="str">
        <f>IF(B11="","",VLOOKUP(B11,EQUIPOS!$B$7:$F$46,3,FALSE))</f>
        <v/>
      </c>
      <c r="H11" s="24" t="str">
        <f>IF(B11="","",VLOOKUP(B11,EQUIPOS!$B$7:$F$46,5,FALSE))</f>
        <v/>
      </c>
      <c r="I11" s="34"/>
      <c r="J11" s="24">
        <f t="shared" ref="J11:J15" si="0">IF(B11="",0,ROUND(H11/I11,0))</f>
        <v>0</v>
      </c>
      <c r="L11" s="22"/>
      <c r="M11" s="771"/>
      <c r="N11" s="771"/>
      <c r="O11" s="771"/>
      <c r="P11" s="771"/>
      <c r="Q11" s="771"/>
      <c r="R11" s="206" t="s">
        <v>501</v>
      </c>
      <c r="S11" s="181" t="s">
        <v>501</v>
      </c>
      <c r="T11" s="180"/>
      <c r="U11" s="181">
        <f t="shared" ref="U11:U15" si="1">IF(M11="",0,ROUND(S11/T11,0))</f>
        <v>0</v>
      </c>
    </row>
    <row r="12" spans="1:21" ht="15" customHeight="1" x14ac:dyDescent="0.25">
      <c r="A12" s="22"/>
      <c r="B12" s="760"/>
      <c r="C12" s="760"/>
      <c r="D12" s="760"/>
      <c r="E12" s="760"/>
      <c r="F12" s="760"/>
      <c r="G12" s="31" t="str">
        <f>IF(B12="","",VLOOKUP(B12,EQUIPOS!$B$7:$F$46,3,FALSE))</f>
        <v/>
      </c>
      <c r="H12" s="24" t="str">
        <f>IF(B12="","",VLOOKUP(B12,EQUIPOS!$B$7:$F$46,5,FALSE))</f>
        <v/>
      </c>
      <c r="I12" s="34"/>
      <c r="J12" s="24">
        <f t="shared" si="0"/>
        <v>0</v>
      </c>
      <c r="L12" s="22"/>
      <c r="M12" s="771"/>
      <c r="N12" s="771"/>
      <c r="O12" s="771"/>
      <c r="P12" s="771"/>
      <c r="Q12" s="771"/>
      <c r="R12" s="206" t="s">
        <v>501</v>
      </c>
      <c r="S12" s="181" t="s">
        <v>501</v>
      </c>
      <c r="T12" s="180"/>
      <c r="U12" s="181">
        <f t="shared" si="1"/>
        <v>0</v>
      </c>
    </row>
    <row r="13" spans="1:21" ht="15" customHeight="1" x14ac:dyDescent="0.25">
      <c r="A13" s="22"/>
      <c r="B13" s="760"/>
      <c r="C13" s="760"/>
      <c r="D13" s="760"/>
      <c r="E13" s="760"/>
      <c r="F13" s="760"/>
      <c r="G13" s="31" t="str">
        <f>IF(B13="","",VLOOKUP(B13,EQUIPOS!$B$7:$F$46,3,FALSE))</f>
        <v/>
      </c>
      <c r="H13" s="24" t="str">
        <f>IF(B13="","",VLOOKUP(B13,EQUIPOS!$B$7:$F$46,5,FALSE))</f>
        <v/>
      </c>
      <c r="I13" s="34"/>
      <c r="J13" s="24">
        <f t="shared" si="0"/>
        <v>0</v>
      </c>
      <c r="L13" s="22"/>
      <c r="M13" s="771"/>
      <c r="N13" s="771"/>
      <c r="O13" s="771"/>
      <c r="P13" s="771"/>
      <c r="Q13" s="771"/>
      <c r="R13" s="206" t="s">
        <v>501</v>
      </c>
      <c r="S13" s="181" t="s">
        <v>501</v>
      </c>
      <c r="T13" s="180"/>
      <c r="U13" s="181">
        <f t="shared" si="1"/>
        <v>0</v>
      </c>
    </row>
    <row r="14" spans="1:21" ht="15" customHeight="1" x14ac:dyDescent="0.25">
      <c r="A14" s="22"/>
      <c r="B14" s="760"/>
      <c r="C14" s="760"/>
      <c r="D14" s="760"/>
      <c r="E14" s="760"/>
      <c r="F14" s="760"/>
      <c r="G14" s="31" t="str">
        <f>IF(B14="","",VLOOKUP(B14,EQUIPOS!$B$7:$F$46,3,FALSE))</f>
        <v/>
      </c>
      <c r="H14" s="24" t="str">
        <f>IF(B14="","",VLOOKUP(B14,EQUIPOS!$B$7:$F$46,5,FALSE))</f>
        <v/>
      </c>
      <c r="I14" s="34"/>
      <c r="J14" s="24">
        <f t="shared" si="0"/>
        <v>0</v>
      </c>
      <c r="L14" s="22"/>
      <c r="M14" s="771"/>
      <c r="N14" s="771"/>
      <c r="O14" s="771"/>
      <c r="P14" s="771"/>
      <c r="Q14" s="771"/>
      <c r="R14" s="206" t="s">
        <v>501</v>
      </c>
      <c r="S14" s="181" t="s">
        <v>501</v>
      </c>
      <c r="T14" s="180"/>
      <c r="U14" s="181">
        <f t="shared" si="1"/>
        <v>0</v>
      </c>
    </row>
    <row r="15" spans="1:21" ht="15" customHeight="1" x14ac:dyDescent="0.25">
      <c r="A15" s="22"/>
      <c r="B15" s="760"/>
      <c r="C15" s="760"/>
      <c r="D15" s="760"/>
      <c r="E15" s="760"/>
      <c r="F15" s="760"/>
      <c r="G15" s="31" t="str">
        <f>IF(B15="","",VLOOKUP(B15,EQUIPOS!$B$7:$F$46,3,FALSE))</f>
        <v/>
      </c>
      <c r="H15" s="24" t="str">
        <f>IF(B15="","",VLOOKUP(B15,EQUIPOS!$B$7:$F$46,5,FALSE))</f>
        <v/>
      </c>
      <c r="I15" s="34"/>
      <c r="J15" s="24">
        <f t="shared" si="0"/>
        <v>0</v>
      </c>
      <c r="L15" s="22"/>
      <c r="M15" s="771"/>
      <c r="N15" s="771"/>
      <c r="O15" s="771"/>
      <c r="P15" s="771"/>
      <c r="Q15" s="771"/>
      <c r="R15" s="206" t="s">
        <v>501</v>
      </c>
      <c r="S15" s="181" t="s">
        <v>501</v>
      </c>
      <c r="T15" s="180"/>
      <c r="U15" s="181">
        <f t="shared" si="1"/>
        <v>0</v>
      </c>
    </row>
    <row r="16" spans="1:21" ht="15" customHeight="1" x14ac:dyDescent="0.25">
      <c r="A16" s="22"/>
      <c r="B16" s="760"/>
      <c r="C16" s="760"/>
      <c r="D16" s="760"/>
      <c r="E16" s="760"/>
      <c r="F16" s="760"/>
      <c r="G16" s="31" t="str">
        <f>IF(B16="","",VLOOKUP(B16,EQUIPOS!$B$7:$F$46,3,FALSE))</f>
        <v/>
      </c>
      <c r="H16" s="24" t="str">
        <f>IF(B16="","",VLOOKUP(B16,EQUIPOS!$B$7:$F$46,5,FALSE))</f>
        <v/>
      </c>
      <c r="I16" s="34"/>
      <c r="J16" s="24"/>
      <c r="L16" s="22"/>
      <c r="M16" s="771"/>
      <c r="N16" s="771"/>
      <c r="O16" s="771"/>
      <c r="P16" s="771"/>
      <c r="Q16" s="771"/>
      <c r="R16" s="206" t="s">
        <v>501</v>
      </c>
      <c r="S16" s="181" t="s">
        <v>501</v>
      </c>
      <c r="T16" s="180"/>
      <c r="U16" s="181"/>
    </row>
    <row r="17" spans="1:21" ht="15" customHeight="1" x14ac:dyDescent="0.25">
      <c r="A17" s="22"/>
      <c r="B17" s="761" t="s">
        <v>31</v>
      </c>
      <c r="C17" s="761"/>
      <c r="D17" s="761"/>
      <c r="E17" s="761"/>
      <c r="F17" s="761"/>
      <c r="G17" s="761"/>
      <c r="H17" s="761"/>
      <c r="I17" s="761"/>
      <c r="J17" s="24">
        <f>SUM(J9:J16)</f>
        <v>1667</v>
      </c>
      <c r="L17" s="22"/>
      <c r="M17" s="772" t="s">
        <v>31</v>
      </c>
      <c r="N17" s="772"/>
      <c r="O17" s="772"/>
      <c r="P17" s="772"/>
      <c r="Q17" s="772"/>
      <c r="R17" s="772"/>
      <c r="S17" s="772"/>
      <c r="T17" s="772"/>
      <c r="U17" s="181">
        <f>SUM(U9:U16)</f>
        <v>1472</v>
      </c>
    </row>
    <row r="18" spans="1:21" ht="7.5" customHeight="1" x14ac:dyDescent="0.25">
      <c r="A18" s="22"/>
      <c r="B18" s="25"/>
      <c r="C18" s="25"/>
      <c r="D18" s="25"/>
      <c r="E18" s="25"/>
      <c r="F18" s="25"/>
      <c r="G18" s="25"/>
      <c r="H18" s="25"/>
      <c r="I18" s="25"/>
      <c r="J18" s="26"/>
      <c r="L18" s="22"/>
      <c r="M18" s="25"/>
      <c r="N18" s="25"/>
      <c r="O18" s="25"/>
      <c r="P18" s="25"/>
      <c r="Q18" s="25"/>
      <c r="R18" s="25"/>
      <c r="S18" s="25"/>
      <c r="T18" s="25"/>
      <c r="U18" s="26"/>
    </row>
    <row r="19" spans="1:21" ht="15" customHeight="1" x14ac:dyDescent="0.25">
      <c r="A19" s="22"/>
      <c r="B19" s="761" t="s">
        <v>32</v>
      </c>
      <c r="C19" s="761"/>
      <c r="D19" s="761"/>
      <c r="E19" s="761"/>
      <c r="F19" s="761"/>
      <c r="G19" s="761"/>
      <c r="H19" s="761"/>
      <c r="I19" s="761"/>
      <c r="J19" s="761"/>
      <c r="L19" s="22"/>
      <c r="M19" s="772" t="s">
        <v>32</v>
      </c>
      <c r="N19" s="772"/>
      <c r="O19" s="772"/>
      <c r="P19" s="772"/>
      <c r="Q19" s="772"/>
      <c r="R19" s="772"/>
      <c r="S19" s="772"/>
      <c r="T19" s="772"/>
      <c r="U19" s="772"/>
    </row>
    <row r="20" spans="1:21" ht="26.4" x14ac:dyDescent="0.25">
      <c r="A20" s="22"/>
      <c r="B20" s="763" t="s">
        <v>33</v>
      </c>
      <c r="C20" s="763"/>
      <c r="D20" s="763"/>
      <c r="E20" s="763"/>
      <c r="F20" s="28" t="s">
        <v>19</v>
      </c>
      <c r="G20" s="31" t="s">
        <v>34</v>
      </c>
      <c r="H20" s="32" t="s">
        <v>35</v>
      </c>
      <c r="I20" s="32" t="s">
        <v>36</v>
      </c>
      <c r="J20" s="32" t="s">
        <v>29</v>
      </c>
      <c r="L20" s="22"/>
      <c r="M20" s="774" t="s">
        <v>33</v>
      </c>
      <c r="N20" s="774"/>
      <c r="O20" s="774"/>
      <c r="P20" s="774"/>
      <c r="Q20" s="205" t="s">
        <v>19</v>
      </c>
      <c r="R20" s="206" t="s">
        <v>34</v>
      </c>
      <c r="S20" s="207" t="s">
        <v>35</v>
      </c>
      <c r="T20" s="207" t="s">
        <v>36</v>
      </c>
      <c r="U20" s="207" t="s">
        <v>29</v>
      </c>
    </row>
    <row r="21" spans="1:21" ht="15.75" customHeight="1" x14ac:dyDescent="0.25">
      <c r="A21" s="22"/>
      <c r="B21" s="764"/>
      <c r="C21" s="764"/>
      <c r="D21" s="764"/>
      <c r="E21" s="764"/>
      <c r="F21" s="34"/>
      <c r="G21" s="31" t="str">
        <f>IF(F21=0,"",VLOOKUP(B21,'LISTADO DE MATERIALES'!$B$6:$D$311,2,FALSE))</f>
        <v/>
      </c>
      <c r="H21" s="107"/>
      <c r="I21" s="24" t="str">
        <f>IF(F21=0,"",VLOOKUP(B21,'LISTADO DE MATERIALES'!$B$6:$D$311,3,FALSE))</f>
        <v/>
      </c>
      <c r="J21" s="24">
        <f>IF(I21="",0,ROUND((+F21*I21*(1+H21)),0))</f>
        <v>0</v>
      </c>
      <c r="L21" s="22"/>
      <c r="M21" s="777"/>
      <c r="N21" s="777"/>
      <c r="O21" s="777"/>
      <c r="P21" s="777"/>
      <c r="Q21" s="180"/>
      <c r="R21" s="206" t="s">
        <v>501</v>
      </c>
      <c r="S21" s="209"/>
      <c r="T21" s="181" t="s">
        <v>501</v>
      </c>
      <c r="U21" s="181">
        <f>IF(T21="",0,ROUND((+Q21*T21*(1+S21)),0))</f>
        <v>0</v>
      </c>
    </row>
    <row r="22" spans="1:21" ht="15" customHeight="1" x14ac:dyDescent="0.25">
      <c r="A22" s="22"/>
      <c r="B22" s="764"/>
      <c r="C22" s="764"/>
      <c r="D22" s="764"/>
      <c r="E22" s="764"/>
      <c r="F22" s="34"/>
      <c r="G22" s="31" t="str">
        <f>IF(F22=0,"",VLOOKUP(B22,'LISTADO DE MATERIALES'!$B$6:$D$311,2,FALSE))</f>
        <v/>
      </c>
      <c r="H22" s="107"/>
      <c r="I22" s="24" t="str">
        <f>IF(F22=0,"",VLOOKUP(B22,'LISTADO DE MATERIALES'!$B$6:$D$311,3,FALSE))</f>
        <v/>
      </c>
      <c r="J22" s="24">
        <f t="shared" ref="J22:J26" si="2">IF(I22="",0,ROUND((+F22*I22*(1+H22)),0))</f>
        <v>0</v>
      </c>
      <c r="K22" s="117"/>
      <c r="L22" s="22"/>
      <c r="M22" s="777"/>
      <c r="N22" s="777"/>
      <c r="O22" s="777"/>
      <c r="P22" s="777"/>
      <c r="Q22" s="180"/>
      <c r="R22" s="206" t="s">
        <v>501</v>
      </c>
      <c r="S22" s="209"/>
      <c r="T22" s="181" t="s">
        <v>501</v>
      </c>
      <c r="U22" s="181">
        <f t="shared" ref="U22:U26" si="3">IF(T22="",0,ROUND((+Q22*T22*(1+S22)),0))</f>
        <v>0</v>
      </c>
    </row>
    <row r="23" spans="1:21" ht="15" customHeight="1" x14ac:dyDescent="0.25">
      <c r="A23" s="22"/>
      <c r="B23" s="760"/>
      <c r="C23" s="760"/>
      <c r="D23" s="760"/>
      <c r="E23" s="760"/>
      <c r="F23" s="34"/>
      <c r="G23" s="31" t="str">
        <f>IF(F23=0,"",VLOOKUP(B23,'LISTADO DE MATERIALES'!$B$6:$D$311,2,FALSE))</f>
        <v/>
      </c>
      <c r="H23" s="107"/>
      <c r="I23" s="24" t="str">
        <f>IF(F23=0,"",VLOOKUP(B23,'LISTADO DE MATERIALES'!$B$6:$D$311,3,FALSE))</f>
        <v/>
      </c>
      <c r="J23" s="24">
        <f t="shared" si="2"/>
        <v>0</v>
      </c>
      <c r="L23" s="22"/>
      <c r="M23" s="771"/>
      <c r="N23" s="771"/>
      <c r="O23" s="771"/>
      <c r="P23" s="771"/>
      <c r="Q23" s="180"/>
      <c r="R23" s="206" t="s">
        <v>501</v>
      </c>
      <c r="S23" s="209"/>
      <c r="T23" s="181" t="s">
        <v>501</v>
      </c>
      <c r="U23" s="181">
        <f t="shared" si="3"/>
        <v>0</v>
      </c>
    </row>
    <row r="24" spans="1:21" ht="15" customHeight="1" x14ac:dyDescent="0.25">
      <c r="A24" s="22"/>
      <c r="B24" s="760"/>
      <c r="C24" s="760"/>
      <c r="D24" s="760"/>
      <c r="E24" s="760"/>
      <c r="F24" s="34"/>
      <c r="G24" s="31" t="str">
        <f>IF(F24=0,"",VLOOKUP(B24,'LISTADO DE MATERIALES'!$B$6:$D$311,2,FALSE))</f>
        <v/>
      </c>
      <c r="H24" s="107"/>
      <c r="I24" s="24" t="str">
        <f>IF(F24=0,"",VLOOKUP(B24,'LISTADO DE MATERIALES'!$B$6:$D$311,3,FALSE))</f>
        <v/>
      </c>
      <c r="J24" s="24">
        <f t="shared" si="2"/>
        <v>0</v>
      </c>
      <c r="L24" s="22"/>
      <c r="M24" s="771"/>
      <c r="N24" s="771"/>
      <c r="O24" s="771"/>
      <c r="P24" s="771"/>
      <c r="Q24" s="180"/>
      <c r="R24" s="206" t="s">
        <v>501</v>
      </c>
      <c r="S24" s="209"/>
      <c r="T24" s="181" t="s">
        <v>501</v>
      </c>
      <c r="U24" s="181">
        <f t="shared" si="3"/>
        <v>0</v>
      </c>
    </row>
    <row r="25" spans="1:21" ht="15" customHeight="1" x14ac:dyDescent="0.25">
      <c r="A25" s="22"/>
      <c r="B25" s="760"/>
      <c r="C25" s="760"/>
      <c r="D25" s="760"/>
      <c r="E25" s="760"/>
      <c r="F25" s="34"/>
      <c r="G25" s="31" t="str">
        <f>IF(F25=0,"",VLOOKUP(B25,'LISTADO DE MATERIALES'!$B$6:$D$311,2,FALSE))</f>
        <v/>
      </c>
      <c r="H25" s="107"/>
      <c r="I25" s="24" t="str">
        <f>IF(F25=0,"",VLOOKUP(B25,'LISTADO DE MATERIALES'!$B$6:$D$311,3,FALSE))</f>
        <v/>
      </c>
      <c r="J25" s="24">
        <f t="shared" si="2"/>
        <v>0</v>
      </c>
      <c r="L25" s="22"/>
      <c r="M25" s="771"/>
      <c r="N25" s="771"/>
      <c r="O25" s="771"/>
      <c r="P25" s="771"/>
      <c r="Q25" s="180"/>
      <c r="R25" s="206" t="s">
        <v>501</v>
      </c>
      <c r="S25" s="209"/>
      <c r="T25" s="181" t="s">
        <v>501</v>
      </c>
      <c r="U25" s="181">
        <f t="shared" si="3"/>
        <v>0</v>
      </c>
    </row>
    <row r="26" spans="1:21" ht="15" customHeight="1" x14ac:dyDescent="0.25">
      <c r="A26" s="22"/>
      <c r="B26" s="760"/>
      <c r="C26" s="760"/>
      <c r="D26" s="760"/>
      <c r="E26" s="760"/>
      <c r="F26" s="34"/>
      <c r="G26" s="31" t="str">
        <f>IF(F26=0,"",VLOOKUP(B26,'LISTADO DE MATERIALES'!$B$6:$D$311,2,FALSE))</f>
        <v/>
      </c>
      <c r="H26" s="107"/>
      <c r="I26" s="24" t="str">
        <f>IF(F26=0,"",VLOOKUP(B26,'LISTADO DE MATERIALES'!$B$6:$D$311,3,FALSE))</f>
        <v/>
      </c>
      <c r="J26" s="24">
        <f t="shared" si="2"/>
        <v>0</v>
      </c>
      <c r="L26" s="22"/>
      <c r="M26" s="771"/>
      <c r="N26" s="771"/>
      <c r="O26" s="771"/>
      <c r="P26" s="771"/>
      <c r="Q26" s="180"/>
      <c r="R26" s="206" t="s">
        <v>501</v>
      </c>
      <c r="S26" s="209"/>
      <c r="T26" s="181" t="s">
        <v>501</v>
      </c>
      <c r="U26" s="181">
        <f t="shared" si="3"/>
        <v>0</v>
      </c>
    </row>
    <row r="27" spans="1:21" ht="15" customHeight="1" x14ac:dyDescent="0.25">
      <c r="A27" s="22"/>
      <c r="B27" s="761" t="s">
        <v>37</v>
      </c>
      <c r="C27" s="761"/>
      <c r="D27" s="761"/>
      <c r="E27" s="761"/>
      <c r="F27" s="761"/>
      <c r="G27" s="761"/>
      <c r="H27" s="761"/>
      <c r="I27" s="761"/>
      <c r="J27" s="24">
        <f>SUM(J21:J26)</f>
        <v>0</v>
      </c>
      <c r="L27" s="22"/>
      <c r="M27" s="772" t="s">
        <v>37</v>
      </c>
      <c r="N27" s="772"/>
      <c r="O27" s="772"/>
      <c r="P27" s="772"/>
      <c r="Q27" s="772"/>
      <c r="R27" s="772"/>
      <c r="S27" s="772"/>
      <c r="T27" s="772"/>
      <c r="U27" s="181">
        <f>SUM(U21:U26)</f>
        <v>0</v>
      </c>
    </row>
    <row r="28" spans="1:21" ht="7.5" customHeight="1" x14ac:dyDescent="0.25">
      <c r="A28" s="22"/>
      <c r="B28" s="25"/>
      <c r="C28" s="25"/>
      <c r="D28" s="25"/>
      <c r="E28" s="25"/>
      <c r="F28" s="25"/>
      <c r="G28" s="25"/>
      <c r="H28" s="25"/>
      <c r="I28" s="25"/>
      <c r="J28" s="26"/>
      <c r="L28" s="22"/>
      <c r="M28" s="25"/>
      <c r="N28" s="25"/>
      <c r="O28" s="25"/>
      <c r="P28" s="25"/>
      <c r="Q28" s="25"/>
      <c r="R28" s="25"/>
      <c r="S28" s="25"/>
      <c r="T28" s="25"/>
      <c r="U28" s="26"/>
    </row>
    <row r="29" spans="1:21" ht="15" customHeight="1" x14ac:dyDescent="0.25">
      <c r="A29" s="22"/>
      <c r="B29" s="761" t="s">
        <v>38</v>
      </c>
      <c r="C29" s="761"/>
      <c r="D29" s="761"/>
      <c r="E29" s="761"/>
      <c r="F29" s="761"/>
      <c r="G29" s="761"/>
      <c r="H29" s="761"/>
      <c r="I29" s="761"/>
      <c r="J29" s="761"/>
      <c r="L29" s="22"/>
      <c r="M29" s="772" t="s">
        <v>38</v>
      </c>
      <c r="N29" s="772"/>
      <c r="O29" s="772"/>
      <c r="P29" s="772"/>
      <c r="Q29" s="772"/>
      <c r="R29" s="772"/>
      <c r="S29" s="772"/>
      <c r="T29" s="772"/>
      <c r="U29" s="772"/>
    </row>
    <row r="30" spans="1:21" ht="26.4" x14ac:dyDescent="0.25">
      <c r="A30" s="22"/>
      <c r="B30" s="763" t="s">
        <v>33</v>
      </c>
      <c r="C30" s="763"/>
      <c r="D30" s="763"/>
      <c r="E30" s="763"/>
      <c r="F30" s="763"/>
      <c r="G30" s="31" t="s">
        <v>133</v>
      </c>
      <c r="H30" s="31" t="s">
        <v>132</v>
      </c>
      <c r="I30" s="31" t="s">
        <v>39</v>
      </c>
      <c r="J30" s="32" t="s">
        <v>29</v>
      </c>
      <c r="L30" s="22"/>
      <c r="M30" s="774" t="s">
        <v>33</v>
      </c>
      <c r="N30" s="774"/>
      <c r="O30" s="774"/>
      <c r="P30" s="774"/>
      <c r="Q30" s="774"/>
      <c r="R30" s="206" t="s">
        <v>133</v>
      </c>
      <c r="S30" s="206" t="s">
        <v>132</v>
      </c>
      <c r="T30" s="206" t="s">
        <v>39</v>
      </c>
      <c r="U30" s="207" t="s">
        <v>29</v>
      </c>
    </row>
    <row r="31" spans="1:21" ht="15" customHeight="1" x14ac:dyDescent="0.25">
      <c r="A31" s="22"/>
      <c r="B31" s="760"/>
      <c r="C31" s="760"/>
      <c r="D31" s="760"/>
      <c r="E31" s="760"/>
      <c r="F31" s="760"/>
      <c r="G31" s="31"/>
      <c r="H31" s="34"/>
      <c r="I31" s="24"/>
      <c r="J31" s="24">
        <f>ROUND(I31*H31,0)</f>
        <v>0</v>
      </c>
      <c r="L31" s="22"/>
      <c r="M31" s="771"/>
      <c r="N31" s="771"/>
      <c r="O31" s="771"/>
      <c r="P31" s="771"/>
      <c r="Q31" s="771"/>
      <c r="R31" s="206"/>
      <c r="S31" s="180"/>
      <c r="T31" s="181"/>
      <c r="U31" s="181">
        <f>ROUND(T31*S31,0)</f>
        <v>0</v>
      </c>
    </row>
    <row r="32" spans="1:21" ht="15" customHeight="1" x14ac:dyDescent="0.25">
      <c r="A32" s="22"/>
      <c r="B32" s="760"/>
      <c r="C32" s="760"/>
      <c r="D32" s="760"/>
      <c r="E32" s="760"/>
      <c r="F32" s="760"/>
      <c r="G32" s="31"/>
      <c r="H32" s="34"/>
      <c r="I32" s="24"/>
      <c r="J32" s="24">
        <v>0</v>
      </c>
      <c r="L32" s="22"/>
      <c r="M32" s="771"/>
      <c r="N32" s="771"/>
      <c r="O32" s="771"/>
      <c r="P32" s="771"/>
      <c r="Q32" s="771"/>
      <c r="R32" s="206"/>
      <c r="S32" s="180"/>
      <c r="T32" s="181"/>
      <c r="U32" s="181">
        <v>0</v>
      </c>
    </row>
    <row r="33" spans="1:21" ht="15" customHeight="1" x14ac:dyDescent="0.25">
      <c r="A33" s="22"/>
      <c r="B33" s="760"/>
      <c r="C33" s="760"/>
      <c r="D33" s="760"/>
      <c r="E33" s="760"/>
      <c r="F33" s="760"/>
      <c r="G33" s="31"/>
      <c r="H33" s="34"/>
      <c r="I33" s="24"/>
      <c r="J33" s="24">
        <v>0</v>
      </c>
      <c r="L33" s="22"/>
      <c r="M33" s="771"/>
      <c r="N33" s="771"/>
      <c r="O33" s="771"/>
      <c r="P33" s="771"/>
      <c r="Q33" s="771"/>
      <c r="R33" s="206"/>
      <c r="S33" s="180"/>
      <c r="T33" s="181"/>
      <c r="U33" s="181">
        <v>0</v>
      </c>
    </row>
    <row r="34" spans="1:21" ht="15" customHeight="1" x14ac:dyDescent="0.25">
      <c r="A34" s="22"/>
      <c r="B34" s="760"/>
      <c r="C34" s="760"/>
      <c r="D34" s="760"/>
      <c r="E34" s="760"/>
      <c r="F34" s="760"/>
      <c r="G34" s="31"/>
      <c r="H34" s="31"/>
      <c r="I34" s="24"/>
      <c r="J34" s="24">
        <v>0</v>
      </c>
      <c r="L34" s="22"/>
      <c r="M34" s="771"/>
      <c r="N34" s="771"/>
      <c r="O34" s="771"/>
      <c r="P34" s="771"/>
      <c r="Q34" s="771"/>
      <c r="R34" s="206"/>
      <c r="S34" s="206"/>
      <c r="T34" s="181"/>
      <c r="U34" s="181">
        <v>0</v>
      </c>
    </row>
    <row r="35" spans="1:21" ht="15" customHeight="1" x14ac:dyDescent="0.25">
      <c r="A35" s="22"/>
      <c r="B35" s="761" t="s">
        <v>40</v>
      </c>
      <c r="C35" s="761"/>
      <c r="D35" s="761"/>
      <c r="E35" s="761"/>
      <c r="F35" s="761"/>
      <c r="G35" s="761"/>
      <c r="H35" s="761"/>
      <c r="I35" s="761"/>
      <c r="J35" s="24">
        <f>SUM(J31:J34)</f>
        <v>0</v>
      </c>
      <c r="L35" s="22"/>
      <c r="M35" s="772" t="s">
        <v>40</v>
      </c>
      <c r="N35" s="772"/>
      <c r="O35" s="772"/>
      <c r="P35" s="772"/>
      <c r="Q35" s="772"/>
      <c r="R35" s="772"/>
      <c r="S35" s="772"/>
      <c r="T35" s="772"/>
      <c r="U35" s="181">
        <f>SUM(U31:U34)</f>
        <v>0</v>
      </c>
    </row>
    <row r="36" spans="1:21" ht="7.5" customHeight="1" x14ac:dyDescent="0.25">
      <c r="A36" s="22"/>
      <c r="B36" s="25"/>
      <c r="C36" s="25"/>
      <c r="D36" s="25"/>
      <c r="E36" s="25"/>
      <c r="F36" s="25"/>
      <c r="G36" s="25"/>
      <c r="H36" s="25"/>
      <c r="I36" s="25"/>
      <c r="J36" s="26"/>
      <c r="L36" s="22"/>
      <c r="M36" s="25"/>
      <c r="N36" s="25"/>
      <c r="O36" s="25"/>
      <c r="P36" s="25"/>
      <c r="Q36" s="25"/>
      <c r="R36" s="25"/>
      <c r="S36" s="25"/>
      <c r="T36" s="25"/>
      <c r="U36" s="26"/>
    </row>
    <row r="37" spans="1:21" ht="15" customHeight="1" x14ac:dyDescent="0.25">
      <c r="A37" s="22"/>
      <c r="B37" s="761" t="s">
        <v>41</v>
      </c>
      <c r="C37" s="761"/>
      <c r="D37" s="761"/>
      <c r="E37" s="761"/>
      <c r="F37" s="761"/>
      <c r="G37" s="761"/>
      <c r="H37" s="761"/>
      <c r="I37" s="761"/>
      <c r="J37" s="761"/>
      <c r="L37" s="22"/>
      <c r="M37" s="772" t="s">
        <v>41</v>
      </c>
      <c r="N37" s="772"/>
      <c r="O37" s="772"/>
      <c r="P37" s="772"/>
      <c r="Q37" s="772"/>
      <c r="R37" s="772"/>
      <c r="S37" s="772"/>
      <c r="T37" s="772"/>
      <c r="U37" s="772"/>
    </row>
    <row r="38" spans="1:21" ht="39.6" x14ac:dyDescent="0.25">
      <c r="A38" s="22"/>
      <c r="B38" s="763" t="s">
        <v>4</v>
      </c>
      <c r="C38" s="763"/>
      <c r="D38" s="763"/>
      <c r="E38" s="763"/>
      <c r="F38" s="763"/>
      <c r="G38" s="32" t="s">
        <v>51</v>
      </c>
      <c r="H38" s="32" t="s">
        <v>19</v>
      </c>
      <c r="I38" s="32" t="s">
        <v>28</v>
      </c>
      <c r="J38" s="32" t="s">
        <v>29</v>
      </c>
      <c r="L38" s="22"/>
      <c r="M38" s="774" t="s">
        <v>4</v>
      </c>
      <c r="N38" s="774"/>
      <c r="O38" s="774"/>
      <c r="P38" s="774"/>
      <c r="Q38" s="774"/>
      <c r="R38" s="207" t="s">
        <v>51</v>
      </c>
      <c r="S38" s="207" t="s">
        <v>19</v>
      </c>
      <c r="T38" s="207" t="s">
        <v>28</v>
      </c>
      <c r="U38" s="207" t="s">
        <v>29</v>
      </c>
    </row>
    <row r="39" spans="1:21" ht="15" customHeight="1" x14ac:dyDescent="0.25">
      <c r="A39" s="22"/>
      <c r="B39" s="760"/>
      <c r="C39" s="760"/>
      <c r="D39" s="760"/>
      <c r="E39" s="760"/>
      <c r="F39" s="760"/>
      <c r="G39" s="24"/>
      <c r="H39" s="31"/>
      <c r="I39" s="34"/>
      <c r="J39" s="24">
        <f>ROUND(+IF(I39=0,0,G39*H39/I39),0)</f>
        <v>0</v>
      </c>
      <c r="L39" s="22"/>
      <c r="M39" s="771"/>
      <c r="N39" s="771"/>
      <c r="O39" s="771"/>
      <c r="P39" s="771"/>
      <c r="Q39" s="771"/>
      <c r="R39" s="181"/>
      <c r="S39" s="206"/>
      <c r="T39" s="180"/>
      <c r="U39" s="181">
        <f>ROUND(+IF(T39=0,0,R39*S39/T39),0)</f>
        <v>0</v>
      </c>
    </row>
    <row r="40" spans="1:21" ht="15" customHeight="1" x14ac:dyDescent="0.25">
      <c r="A40" s="22"/>
      <c r="B40" s="760"/>
      <c r="C40" s="760"/>
      <c r="D40" s="760"/>
      <c r="E40" s="760"/>
      <c r="F40" s="760"/>
      <c r="G40" s="24" t="str">
        <f>IF(B40="","",VLOOKUP(B40,CUADRILLAS!$B$87:$C$101,2,FALSE))</f>
        <v/>
      </c>
      <c r="H40" s="31"/>
      <c r="I40" s="34"/>
      <c r="J40" s="24">
        <f>ROUND(+IF(I40=0,0,G40*H40/I40),0)</f>
        <v>0</v>
      </c>
      <c r="L40" s="22"/>
      <c r="M40" s="771"/>
      <c r="N40" s="771"/>
      <c r="O40" s="771"/>
      <c r="P40" s="771"/>
      <c r="Q40" s="771"/>
      <c r="R40" s="181" t="s">
        <v>501</v>
      </c>
      <c r="S40" s="206"/>
      <c r="T40" s="180"/>
      <c r="U40" s="181">
        <f>ROUND(+IF(T40=0,0,R40*S40/T40),0)</f>
        <v>0</v>
      </c>
    </row>
    <row r="41" spans="1:21" ht="15" customHeight="1" x14ac:dyDescent="0.25">
      <c r="A41" s="22"/>
      <c r="B41" s="760"/>
      <c r="C41" s="760"/>
      <c r="D41" s="760"/>
      <c r="E41" s="760"/>
      <c r="F41" s="760"/>
      <c r="G41" s="24" t="str">
        <f>IF(B41="","",VLOOKUP(B41,CUADRILLAS!$B$87:$C$101,2,FALSE))</f>
        <v/>
      </c>
      <c r="H41" s="31"/>
      <c r="I41" s="34"/>
      <c r="J41" s="24">
        <f t="shared" ref="J41:J42" si="4">+IF(I41=0,0,G41*H41/I41)</f>
        <v>0</v>
      </c>
      <c r="L41" s="22"/>
      <c r="M41" s="771"/>
      <c r="N41" s="771"/>
      <c r="O41" s="771"/>
      <c r="P41" s="771"/>
      <c r="Q41" s="771"/>
      <c r="R41" s="181" t="s">
        <v>501</v>
      </c>
      <c r="S41" s="206"/>
      <c r="T41" s="180"/>
      <c r="U41" s="181">
        <f t="shared" ref="U41:U42" si="5">+IF(T41=0,0,R41*S41/T41)</f>
        <v>0</v>
      </c>
    </row>
    <row r="42" spans="1:21" ht="15" customHeight="1" x14ac:dyDescent="0.25">
      <c r="A42" s="22"/>
      <c r="B42" s="760"/>
      <c r="C42" s="760"/>
      <c r="D42" s="760"/>
      <c r="E42" s="760"/>
      <c r="F42" s="760"/>
      <c r="G42" s="24" t="str">
        <f>IF(B42="","",VLOOKUP(B42,CUADRILLAS!$B$87:$C$101,2,FALSE))</f>
        <v/>
      </c>
      <c r="H42" s="31"/>
      <c r="I42" s="34"/>
      <c r="J42" s="24">
        <f t="shared" si="4"/>
        <v>0</v>
      </c>
      <c r="L42" s="22"/>
      <c r="M42" s="771"/>
      <c r="N42" s="771"/>
      <c r="O42" s="771"/>
      <c r="P42" s="771"/>
      <c r="Q42" s="771"/>
      <c r="R42" s="181" t="s">
        <v>501</v>
      </c>
      <c r="S42" s="206"/>
      <c r="T42" s="180"/>
      <c r="U42" s="181">
        <f t="shared" si="5"/>
        <v>0</v>
      </c>
    </row>
    <row r="43" spans="1:21" ht="15" customHeight="1" x14ac:dyDescent="0.25">
      <c r="A43" s="22"/>
      <c r="B43" s="761" t="s">
        <v>42</v>
      </c>
      <c r="C43" s="761"/>
      <c r="D43" s="761"/>
      <c r="E43" s="761"/>
      <c r="F43" s="761"/>
      <c r="G43" s="761"/>
      <c r="H43" s="761"/>
      <c r="I43" s="761"/>
      <c r="J43" s="24">
        <f>SUM(J39:J42)</f>
        <v>0</v>
      </c>
      <c r="L43" s="22"/>
      <c r="M43" s="772" t="s">
        <v>42</v>
      </c>
      <c r="N43" s="772"/>
      <c r="O43" s="772"/>
      <c r="P43" s="772"/>
      <c r="Q43" s="772"/>
      <c r="R43" s="772"/>
      <c r="S43" s="772"/>
      <c r="T43" s="772"/>
      <c r="U43" s="181">
        <f>SUM(U39:U42)</f>
        <v>0</v>
      </c>
    </row>
    <row r="44" spans="1:21" ht="7.5" customHeight="1" x14ac:dyDescent="0.25">
      <c r="A44" s="22"/>
      <c r="B44" s="25"/>
      <c r="C44" s="25"/>
      <c r="D44" s="25"/>
      <c r="E44" s="25"/>
      <c r="F44" s="25"/>
      <c r="G44" s="25"/>
      <c r="H44" s="25"/>
      <c r="I44" s="25"/>
      <c r="J44" s="26"/>
      <c r="L44" s="22"/>
      <c r="M44" s="25"/>
      <c r="N44" s="25"/>
      <c r="O44" s="25"/>
      <c r="P44" s="25"/>
      <c r="Q44" s="25"/>
      <c r="R44" s="25"/>
      <c r="S44" s="25"/>
      <c r="T44" s="25"/>
      <c r="U44" s="26"/>
    </row>
    <row r="45" spans="1:21" ht="15.75" customHeight="1" x14ac:dyDescent="0.25">
      <c r="A45" s="27"/>
      <c r="B45" s="762" t="s">
        <v>43</v>
      </c>
      <c r="C45" s="762"/>
      <c r="D45" s="762"/>
      <c r="E45" s="762"/>
      <c r="F45" s="762"/>
      <c r="G45" s="762"/>
      <c r="H45" s="762"/>
      <c r="I45" s="762"/>
      <c r="J45" s="106">
        <f>+J43+J35+J17+J27</f>
        <v>1667</v>
      </c>
      <c r="L45" s="27"/>
      <c r="M45" s="773" t="s">
        <v>43</v>
      </c>
      <c r="N45" s="773"/>
      <c r="O45" s="773"/>
      <c r="P45" s="773"/>
      <c r="Q45" s="773"/>
      <c r="R45" s="773"/>
      <c r="S45" s="773"/>
      <c r="T45" s="773"/>
      <c r="U45" s="210">
        <f>+U43+U35+U17+U27</f>
        <v>1472</v>
      </c>
    </row>
    <row r="46" spans="1:21" x14ac:dyDescent="0.25">
      <c r="B46" s="21"/>
      <c r="C46" s="21"/>
      <c r="D46" s="21"/>
      <c r="E46" s="21"/>
      <c r="F46" s="21"/>
      <c r="G46" s="21"/>
      <c r="H46" s="21"/>
      <c r="I46" s="21"/>
      <c r="J46" s="21"/>
    </row>
  </sheetData>
  <mergeCells count="82">
    <mergeCell ref="M41:Q41"/>
    <mergeCell ref="M42:Q42"/>
    <mergeCell ref="M45:T45"/>
    <mergeCell ref="M39:Q39"/>
    <mergeCell ref="M40:Q40"/>
    <mergeCell ref="M43:T43"/>
    <mergeCell ref="M15:Q15"/>
    <mergeCell ref="M16:Q16"/>
    <mergeCell ref="M17:T17"/>
    <mergeCell ref="M19:U19"/>
    <mergeCell ref="M25:P25"/>
    <mergeCell ref="M22:P22"/>
    <mergeCell ref="M23:P23"/>
    <mergeCell ref="M24:P24"/>
    <mergeCell ref="M20:P20"/>
    <mergeCell ref="M21:P21"/>
    <mergeCell ref="M26:P26"/>
    <mergeCell ref="M27:T27"/>
    <mergeCell ref="M29:U29"/>
    <mergeCell ref="M33:Q33"/>
    <mergeCell ref="M34:Q34"/>
    <mergeCell ref="M35:T35"/>
    <mergeCell ref="M37:U37"/>
    <mergeCell ref="M38:Q38"/>
    <mergeCell ref="M30:Q30"/>
    <mergeCell ref="M31:Q31"/>
    <mergeCell ref="M32:Q32"/>
    <mergeCell ref="M11:Q11"/>
    <mergeCell ref="M12:Q12"/>
    <mergeCell ref="M13:Q13"/>
    <mergeCell ref="M14:Q14"/>
    <mergeCell ref="P6:S6"/>
    <mergeCell ref="M7:U7"/>
    <mergeCell ref="M8:Q8"/>
    <mergeCell ref="M9:Q9"/>
    <mergeCell ref="M10:Q10"/>
    <mergeCell ref="L1:N4"/>
    <mergeCell ref="O1:U1"/>
    <mergeCell ref="O2:U2"/>
    <mergeCell ref="O3:U3"/>
    <mergeCell ref="O4:U4"/>
    <mergeCell ref="B40:F40"/>
    <mergeCell ref="B41:F41"/>
    <mergeCell ref="B42:F42"/>
    <mergeCell ref="B43:I43"/>
    <mergeCell ref="B45:I45"/>
    <mergeCell ref="B39:F39"/>
    <mergeCell ref="B26:E26"/>
    <mergeCell ref="B27:I27"/>
    <mergeCell ref="B29:J29"/>
    <mergeCell ref="B30:F30"/>
    <mergeCell ref="B31:F31"/>
    <mergeCell ref="B32:F32"/>
    <mergeCell ref="B33:F33"/>
    <mergeCell ref="B34:F34"/>
    <mergeCell ref="B35:I35"/>
    <mergeCell ref="B37:J37"/>
    <mergeCell ref="B38:F38"/>
    <mergeCell ref="B25:E25"/>
    <mergeCell ref="B13:F13"/>
    <mergeCell ref="B14:F14"/>
    <mergeCell ref="B15:F15"/>
    <mergeCell ref="B16:F16"/>
    <mergeCell ref="B17:I17"/>
    <mergeCell ref="B19:J19"/>
    <mergeCell ref="B20:E20"/>
    <mergeCell ref="B21:E21"/>
    <mergeCell ref="B22:E22"/>
    <mergeCell ref="B23:E23"/>
    <mergeCell ref="B24:E24"/>
    <mergeCell ref="B12:F12"/>
    <mergeCell ref="A1:C4"/>
    <mergeCell ref="D1:J1"/>
    <mergeCell ref="D2:J2"/>
    <mergeCell ref="D3:J3"/>
    <mergeCell ref="D4:J4"/>
    <mergeCell ref="E6:H6"/>
    <mergeCell ref="B7:J7"/>
    <mergeCell ref="B8:F8"/>
    <mergeCell ref="B9:F9"/>
    <mergeCell ref="B10:F10"/>
    <mergeCell ref="B11:F11"/>
  </mergeCells>
  <hyperlinks>
    <hyperlink ref="C6" location="'PPTO HOJA'!A162" display="'PPTO HOJA'!A162" xr:uid="{00000000-0004-0000-4500-000000000000}"/>
    <hyperlink ref="N6" location="'PPTO HOJA'!A15" display="'PPTO HOJA'!A15" xr:uid="{00000000-0004-0000-4500-000001000000}"/>
  </hyperlinks>
  <pageMargins left="0.7" right="0.7" top="0.75" bottom="0.75" header="0.3" footer="0.3"/>
  <pageSetup paperSize="9" scale="37" orientation="portrait" r:id="rId1"/>
  <drawing r:id="rId2"/>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4500-000000000000}">
          <x14:formula1>
            <xm:f>CUADRILLAS!$B$86:$B$101</xm:f>
          </x14:formula1>
          <xm:sqref>B39:F42</xm:sqref>
        </x14:dataValidation>
      </x14:dataValidations>
    </ext>
  </extLst>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Hoja84"/>
  <dimension ref="A1:N313"/>
  <sheetViews>
    <sheetView zoomScale="85" zoomScaleNormal="85" workbookViewId="0">
      <selection activeCell="B23" sqref="B23"/>
    </sheetView>
  </sheetViews>
  <sheetFormatPr baseColWidth="10" defaultColWidth="11.44140625" defaultRowHeight="13.2" x14ac:dyDescent="0.25"/>
  <cols>
    <col min="1" max="1" width="3.5546875" style="20" customWidth="1"/>
    <col min="2" max="2" width="8" style="20" customWidth="1"/>
    <col min="3" max="3" width="11.33203125" style="20" customWidth="1"/>
    <col min="4" max="4" width="6.33203125" style="20" customWidth="1"/>
    <col min="5" max="5" width="10.88671875" style="20" customWidth="1"/>
    <col min="6" max="6" width="10.5546875" style="20" customWidth="1"/>
    <col min="7" max="7" width="15.88671875" style="20" customWidth="1"/>
    <col min="8" max="9" width="14.33203125" style="20" customWidth="1"/>
    <col min="10" max="10" width="15.109375" style="20" bestFit="1" customWidth="1"/>
    <col min="11" max="11" width="11.44140625" style="20"/>
    <col min="12" max="13" width="13.6640625" style="20" customWidth="1"/>
    <col min="14" max="16384" width="11.44140625" style="20"/>
  </cols>
  <sheetData>
    <row r="1" spans="1:10" x14ac:dyDescent="0.25">
      <c r="A1" s="765"/>
      <c r="B1" s="765"/>
      <c r="C1" s="765"/>
      <c r="D1" s="766" t="str">
        <f>+D47</f>
        <v>DEPARTAMENTO DE ANTIOQUIA</v>
      </c>
      <c r="E1" s="766"/>
      <c r="F1" s="766"/>
      <c r="G1" s="766"/>
      <c r="H1" s="766"/>
      <c r="I1" s="766"/>
      <c r="J1" s="766"/>
    </row>
    <row r="2" spans="1:10" x14ac:dyDescent="0.25">
      <c r="A2" s="765"/>
      <c r="B2" s="765"/>
      <c r="C2" s="765"/>
      <c r="D2" s="766" t="str">
        <f t="shared" ref="D2:D3" si="0">+D48</f>
        <v>MUNICIPIO DE ARBOLETES</v>
      </c>
      <c r="E2" s="766"/>
      <c r="F2" s="766"/>
      <c r="G2" s="766"/>
      <c r="H2" s="766"/>
      <c r="I2" s="766"/>
      <c r="J2" s="766"/>
    </row>
    <row r="3" spans="1:10" ht="51" customHeight="1" x14ac:dyDescent="0.25">
      <c r="A3" s="765"/>
      <c r="B3" s="765"/>
      <c r="C3" s="765"/>
      <c r="D3" s="824" t="str">
        <f t="shared" si="0"/>
        <v>CONSTRUCCION DE OBRAS CIVILES COMPLEMENTARIAS PARA EL CORRECTO FUNCIONAMIENTO DEL PROYECTO DENOMINADO “PARQUE GEOLÓGICO, NATURAL, AMBIENTAL, CULTURAL Y TURÍSTICO, VOLCÁN DE LODO DE ARBOLETES”, QUE SE LLEVARÁ A CABO EN EL MUNICIPIO DE ARBOLETES-ANTIOQUIA</v>
      </c>
      <c r="E3" s="824"/>
      <c r="F3" s="824"/>
      <c r="G3" s="824"/>
      <c r="H3" s="824"/>
      <c r="I3" s="824"/>
      <c r="J3" s="824"/>
    </row>
    <row r="4" spans="1:10" x14ac:dyDescent="0.25">
      <c r="A4" s="765"/>
      <c r="B4" s="765"/>
      <c r="C4" s="765"/>
      <c r="D4" s="766" t="s">
        <v>20</v>
      </c>
      <c r="E4" s="766"/>
      <c r="F4" s="766"/>
      <c r="G4" s="766"/>
      <c r="H4" s="766"/>
      <c r="I4" s="766"/>
      <c r="J4" s="766"/>
    </row>
    <row r="5" spans="1:10" ht="9.75" customHeight="1" x14ac:dyDescent="0.25">
      <c r="A5" s="22"/>
      <c r="J5" s="23"/>
    </row>
    <row r="6" spans="1:10" s="21" customFormat="1" ht="33" customHeight="1" x14ac:dyDescent="0.3">
      <c r="A6" s="30" t="s">
        <v>163</v>
      </c>
      <c r="B6" s="29" t="s">
        <v>22</v>
      </c>
      <c r="C6" s="116">
        <f>+'PPTO HOJA'!A49</f>
        <v>5.07</v>
      </c>
      <c r="D6" s="28"/>
      <c r="E6" s="764" t="str">
        <f>+'PPTO HOJA'!B49</f>
        <v>Concreto de Resistencia 5000 PSI para cimentación</v>
      </c>
      <c r="F6" s="764"/>
      <c r="G6" s="764"/>
      <c r="H6" s="764"/>
      <c r="I6" s="30" t="s">
        <v>23</v>
      </c>
      <c r="J6" s="31" t="str">
        <f>+'PPTO HOJA'!C49</f>
        <v>m3</v>
      </c>
    </row>
    <row r="7" spans="1:10" ht="15" customHeight="1" x14ac:dyDescent="0.25">
      <c r="A7" s="22"/>
      <c r="B7" s="761" t="s">
        <v>24</v>
      </c>
      <c r="C7" s="761"/>
      <c r="D7" s="761"/>
      <c r="E7" s="761"/>
      <c r="F7" s="761"/>
      <c r="G7" s="761"/>
      <c r="H7" s="761"/>
      <c r="I7" s="761"/>
      <c r="J7" s="761"/>
    </row>
    <row r="8" spans="1:10" ht="26.4" x14ac:dyDescent="0.25">
      <c r="A8" s="22"/>
      <c r="B8" s="763" t="s">
        <v>25</v>
      </c>
      <c r="C8" s="763"/>
      <c r="D8" s="763"/>
      <c r="E8" s="763"/>
      <c r="F8" s="763"/>
      <c r="G8" s="31" t="s">
        <v>26</v>
      </c>
      <c r="H8" s="31" t="s">
        <v>27</v>
      </c>
      <c r="I8" s="31" t="s">
        <v>28</v>
      </c>
      <c r="J8" s="32" t="s">
        <v>29</v>
      </c>
    </row>
    <row r="9" spans="1:10" ht="15" customHeight="1" x14ac:dyDescent="0.25">
      <c r="A9" s="22"/>
      <c r="B9" s="760" t="s">
        <v>30</v>
      </c>
      <c r="C9" s="760"/>
      <c r="D9" s="760"/>
      <c r="E9" s="760"/>
      <c r="F9" s="760"/>
      <c r="G9" s="31"/>
      <c r="H9" s="24"/>
      <c r="I9" s="33">
        <v>0.05</v>
      </c>
      <c r="J9" s="24">
        <f>ROUND(I9*J43,0)</f>
        <v>15721</v>
      </c>
    </row>
    <row r="10" spans="1:10" x14ac:dyDescent="0.25">
      <c r="A10" s="22"/>
      <c r="B10" s="764" t="s">
        <v>113</v>
      </c>
      <c r="C10" s="764"/>
      <c r="D10" s="764"/>
      <c r="E10" s="764"/>
      <c r="F10" s="764"/>
      <c r="G10" s="31" t="str">
        <f>IF(B10="","",VLOOKUP(B10,EQUIPOS!$B$7:$F$46,3,FALSE))</f>
        <v>GASOLINA</v>
      </c>
      <c r="H10" s="24">
        <f>IF(B10="","",VLOOKUP(B10,EQUIPOS!$B$7:$F$46,5,FALSE))</f>
        <v>116000</v>
      </c>
      <c r="I10" s="34">
        <f>+I39</f>
        <v>4</v>
      </c>
      <c r="J10" s="24">
        <f>IF(B10="",0,ROUND(H10/I10,0))</f>
        <v>29000</v>
      </c>
    </row>
    <row r="11" spans="1:10" ht="15" customHeight="1" x14ac:dyDescent="0.25">
      <c r="A11" s="22"/>
      <c r="B11" s="760"/>
      <c r="C11" s="760"/>
      <c r="D11" s="760"/>
      <c r="E11" s="760"/>
      <c r="F11" s="760"/>
      <c r="G11" s="31" t="str">
        <f>IF(B11="","",VLOOKUP(B11,EQUIPOS!$B$7:$F$46,3,FALSE))</f>
        <v/>
      </c>
      <c r="H11" s="24" t="str">
        <f>IF(B11="","",VLOOKUP(B11,EQUIPOS!$B$7:$F$46,5,FALSE))</f>
        <v/>
      </c>
      <c r="I11" s="34"/>
      <c r="J11" s="24">
        <f t="shared" ref="J11:J15" si="1">IF(B11="",0,ROUND(H11/I11,0))</f>
        <v>0</v>
      </c>
    </row>
    <row r="12" spans="1:10" ht="15" customHeight="1" x14ac:dyDescent="0.25">
      <c r="A12" s="22"/>
      <c r="B12" s="760"/>
      <c r="C12" s="760"/>
      <c r="D12" s="760"/>
      <c r="E12" s="760"/>
      <c r="F12" s="760"/>
      <c r="G12" s="31" t="str">
        <f>IF(B12="","",VLOOKUP(B12,EQUIPOS!$B$7:$F$46,3,FALSE))</f>
        <v/>
      </c>
      <c r="H12" s="24" t="str">
        <f>IF(B12="","",VLOOKUP(B12,EQUIPOS!$B$7:$F$46,5,FALSE))</f>
        <v/>
      </c>
      <c r="I12" s="34"/>
      <c r="J12" s="24">
        <f t="shared" si="1"/>
        <v>0</v>
      </c>
    </row>
    <row r="13" spans="1:10" ht="15" customHeight="1" x14ac:dyDescent="0.25">
      <c r="A13" s="22"/>
      <c r="B13" s="760"/>
      <c r="C13" s="760"/>
      <c r="D13" s="760"/>
      <c r="E13" s="760"/>
      <c r="F13" s="760"/>
      <c r="G13" s="31" t="str">
        <f>IF(B13="","",VLOOKUP(B13,EQUIPOS!$B$7:$F$46,3,FALSE))</f>
        <v/>
      </c>
      <c r="H13" s="24" t="str">
        <f>IF(B13="","",VLOOKUP(B13,EQUIPOS!$B$7:$F$46,5,FALSE))</f>
        <v/>
      </c>
      <c r="I13" s="34"/>
      <c r="J13" s="24">
        <f t="shared" si="1"/>
        <v>0</v>
      </c>
    </row>
    <row r="14" spans="1:10" ht="15" customHeight="1" x14ac:dyDescent="0.25">
      <c r="A14" s="22"/>
      <c r="B14" s="760"/>
      <c r="C14" s="760"/>
      <c r="D14" s="760"/>
      <c r="E14" s="760"/>
      <c r="F14" s="760"/>
      <c r="G14" s="31" t="str">
        <f>IF(B14="","",VLOOKUP(B14,EQUIPOS!$B$7:$F$46,3,FALSE))</f>
        <v/>
      </c>
      <c r="H14" s="24" t="str">
        <f>IF(B14="","",VLOOKUP(B14,EQUIPOS!$B$7:$F$46,5,FALSE))</f>
        <v/>
      </c>
      <c r="I14" s="34"/>
      <c r="J14" s="24">
        <f t="shared" si="1"/>
        <v>0</v>
      </c>
    </row>
    <row r="15" spans="1:10" ht="15" customHeight="1" x14ac:dyDescent="0.25">
      <c r="A15" s="22"/>
      <c r="B15" s="760"/>
      <c r="C15" s="760"/>
      <c r="D15" s="760"/>
      <c r="E15" s="760"/>
      <c r="F15" s="760"/>
      <c r="G15" s="31" t="str">
        <f>IF(B15="","",VLOOKUP(B15,EQUIPOS!$B$7:$F$46,3,FALSE))</f>
        <v/>
      </c>
      <c r="H15" s="24" t="str">
        <f>IF(B15="","",VLOOKUP(B15,EQUIPOS!$B$7:$F$46,5,FALSE))</f>
        <v/>
      </c>
      <c r="I15" s="34"/>
      <c r="J15" s="24">
        <f t="shared" si="1"/>
        <v>0</v>
      </c>
    </row>
    <row r="16" spans="1:10" ht="15" customHeight="1" x14ac:dyDescent="0.25">
      <c r="A16" s="22"/>
      <c r="B16" s="760"/>
      <c r="C16" s="760"/>
      <c r="D16" s="760"/>
      <c r="E16" s="760"/>
      <c r="F16" s="760"/>
      <c r="G16" s="31" t="str">
        <f>IF(B16="","",VLOOKUP(B16,EQUIPOS!$B$7:$F$46,3,FALSE))</f>
        <v/>
      </c>
      <c r="H16" s="24" t="str">
        <f>IF(B16="","",VLOOKUP(B16,EQUIPOS!$B$7:$F$46,5,FALSE))</f>
        <v/>
      </c>
      <c r="I16" s="34"/>
      <c r="J16" s="24"/>
    </row>
    <row r="17" spans="1:11" ht="15" customHeight="1" x14ac:dyDescent="0.25">
      <c r="A17" s="22"/>
      <c r="B17" s="761" t="s">
        <v>31</v>
      </c>
      <c r="C17" s="761"/>
      <c r="D17" s="761"/>
      <c r="E17" s="761"/>
      <c r="F17" s="761"/>
      <c r="G17" s="761"/>
      <c r="H17" s="761"/>
      <c r="I17" s="761"/>
      <c r="J17" s="24">
        <f>SUM(J9:J16)</f>
        <v>44721</v>
      </c>
    </row>
    <row r="18" spans="1:11" ht="7.5" customHeight="1" x14ac:dyDescent="0.25">
      <c r="A18" s="22"/>
      <c r="B18" s="25"/>
      <c r="C18" s="25"/>
      <c r="D18" s="25"/>
      <c r="E18" s="25"/>
      <c r="F18" s="25"/>
      <c r="G18" s="25"/>
      <c r="H18" s="25"/>
      <c r="I18" s="25"/>
      <c r="J18" s="26"/>
    </row>
    <row r="19" spans="1:11" ht="15" customHeight="1" x14ac:dyDescent="0.25">
      <c r="A19" s="22"/>
      <c r="B19" s="761" t="s">
        <v>32</v>
      </c>
      <c r="C19" s="761"/>
      <c r="D19" s="761"/>
      <c r="E19" s="761"/>
      <c r="F19" s="761"/>
      <c r="G19" s="761"/>
      <c r="H19" s="761"/>
      <c r="I19" s="761"/>
      <c r="J19" s="761"/>
    </row>
    <row r="20" spans="1:11" ht="26.4" x14ac:dyDescent="0.25">
      <c r="A20" s="22"/>
      <c r="B20" s="763" t="s">
        <v>33</v>
      </c>
      <c r="C20" s="763"/>
      <c r="D20" s="763"/>
      <c r="E20" s="763"/>
      <c r="F20" s="28" t="s">
        <v>19</v>
      </c>
      <c r="G20" s="31" t="s">
        <v>34</v>
      </c>
      <c r="H20" s="32" t="s">
        <v>35</v>
      </c>
      <c r="I20" s="32" t="s">
        <v>36</v>
      </c>
      <c r="J20" s="32" t="s">
        <v>29</v>
      </c>
    </row>
    <row r="21" spans="1:11" ht="15.75" customHeight="1" x14ac:dyDescent="0.25">
      <c r="A21" s="22"/>
      <c r="B21" s="764" t="s">
        <v>147</v>
      </c>
      <c r="C21" s="764"/>
      <c r="D21" s="764"/>
      <c r="E21" s="764"/>
      <c r="F21" s="34">
        <v>160</v>
      </c>
      <c r="G21" s="31" t="s">
        <v>148</v>
      </c>
      <c r="H21" s="107"/>
      <c r="I21" s="24">
        <f>IF(F21=0,"",VLOOKUP(B21,'LISTADO DE MATERIALES'!$B$6:$D$311,3,FALSE))</f>
        <v>105</v>
      </c>
      <c r="J21" s="24">
        <f>IF(I21="",0,ROUND((+F21*I21*(1+H21)),0))</f>
        <v>16800</v>
      </c>
    </row>
    <row r="22" spans="1:11" ht="15" customHeight="1" x14ac:dyDescent="0.25">
      <c r="A22" s="22"/>
      <c r="B22" s="764" t="s">
        <v>161</v>
      </c>
      <c r="C22" s="764"/>
      <c r="D22" s="764"/>
      <c r="E22" s="764"/>
      <c r="F22" s="34">
        <f>1149/1700</f>
        <v>0.67588235294117649</v>
      </c>
      <c r="G22" s="31" t="str">
        <f>IF(F22=0,"",VLOOKUP(B22,'LISTADO DE MATERIALES'!$B$6:$D$311,2,FALSE))</f>
        <v>m3</v>
      </c>
      <c r="H22" s="107"/>
      <c r="I22" s="24">
        <f>IF(F22=0,"",VLOOKUP(B22,'LISTADO DE MATERIALES'!$B$6:$D$311,3,FALSE))</f>
        <v>89250</v>
      </c>
      <c r="J22" s="24">
        <f t="shared" ref="J22:J26" si="2">IF(I22="",0,ROUND((+F22*I22*(1+H22)),0))</f>
        <v>60323</v>
      </c>
      <c r="K22" s="117"/>
    </row>
    <row r="23" spans="1:11" ht="15" customHeight="1" x14ac:dyDescent="0.25">
      <c r="A23" s="22"/>
      <c r="B23" s="760" t="s">
        <v>160</v>
      </c>
      <c r="C23" s="760"/>
      <c r="D23" s="760"/>
      <c r="E23" s="760"/>
      <c r="F23" s="34">
        <f>766/1660</f>
        <v>0.4614457831325301</v>
      </c>
      <c r="G23" s="31" t="str">
        <f>IF(F23=0,"",VLOOKUP(B23,'LISTADO DE MATERIALES'!$B$6:$D$311,2,FALSE))</f>
        <v>m3</v>
      </c>
      <c r="H23" s="107"/>
      <c r="I23" s="24">
        <f>IF(F23=0,"",VLOOKUP(B23,'LISTADO DE MATERIALES'!$B$6:$D$311,3,FALSE))</f>
        <v>144000</v>
      </c>
      <c r="J23" s="24">
        <f t="shared" si="2"/>
        <v>66448</v>
      </c>
      <c r="K23" s="117"/>
    </row>
    <row r="24" spans="1:11" ht="15" customHeight="1" x14ac:dyDescent="0.25">
      <c r="A24" s="22"/>
      <c r="B24" s="760" t="s">
        <v>162</v>
      </c>
      <c r="C24" s="760"/>
      <c r="D24" s="760"/>
      <c r="E24" s="760"/>
      <c r="F24" s="34">
        <v>367</v>
      </c>
      <c r="G24" s="31" t="str">
        <f>IF(F24=0,"",VLOOKUP(B24,'LISTADO DE MATERIALES'!$B$6:$D$311,2,FALSE))</f>
        <v>Kg</v>
      </c>
      <c r="H24" s="107"/>
      <c r="I24" s="24">
        <f>IF(F24=0,"",VLOOKUP(B24,'LISTADO DE MATERIALES'!$B$6:$D$311,3,FALSE))</f>
        <v>977.2</v>
      </c>
      <c r="J24" s="24">
        <f>IF(I24="",0,ROUND((+F24*I24*(1+H24)),0))</f>
        <v>358632</v>
      </c>
    </row>
    <row r="25" spans="1:11" ht="30" customHeight="1" x14ac:dyDescent="0.25">
      <c r="A25" s="22"/>
      <c r="B25" s="764" t="s">
        <v>583</v>
      </c>
      <c r="C25" s="764"/>
      <c r="D25" s="764"/>
      <c r="E25" s="764"/>
      <c r="F25" s="34">
        <v>1.69</v>
      </c>
      <c r="G25" s="31" t="str">
        <f>IF(F25=0,"",VLOOKUP(B25,'LISTADO DE MATERIALES'!$B$6:$D$311,2,FALSE))</f>
        <v>Kg</v>
      </c>
      <c r="H25" s="107"/>
      <c r="I25" s="24">
        <f>IF(F25=0,"",VLOOKUP(B25,'LISTADO DE MATERIALES'!$B$6:$D$311,3,FALSE))</f>
        <v>24990</v>
      </c>
      <c r="J25" s="24">
        <f>IF(I25="",0,ROUND((+F25*I25*(1+H25)),0))</f>
        <v>42233</v>
      </c>
    </row>
    <row r="26" spans="1:11" ht="15" customHeight="1" x14ac:dyDescent="0.25">
      <c r="A26" s="22"/>
      <c r="B26" s="760" t="s">
        <v>582</v>
      </c>
      <c r="C26" s="760"/>
      <c r="D26" s="760"/>
      <c r="E26" s="760"/>
      <c r="F26" s="34">
        <v>1.54</v>
      </c>
      <c r="G26" s="31" t="str">
        <f>IF(F26=0,"",VLOOKUP(B26,'LISTADO DE MATERIALES'!$B$6:$D$311,2,FALSE))</f>
        <v>Kg</v>
      </c>
      <c r="H26" s="107"/>
      <c r="I26" s="24">
        <f>IF(F26=0,"",VLOOKUP(B26,'LISTADO DE MATERIALES'!$B$6:$D$311,3,FALSE))</f>
        <v>14400</v>
      </c>
      <c r="J26" s="24">
        <f t="shared" si="2"/>
        <v>22176</v>
      </c>
    </row>
    <row r="27" spans="1:11" ht="15" customHeight="1" x14ac:dyDescent="0.25">
      <c r="A27" s="22"/>
      <c r="B27" s="761" t="s">
        <v>37</v>
      </c>
      <c r="C27" s="761"/>
      <c r="D27" s="761"/>
      <c r="E27" s="761"/>
      <c r="F27" s="761"/>
      <c r="G27" s="761"/>
      <c r="H27" s="761"/>
      <c r="I27" s="761"/>
      <c r="J27" s="24">
        <f>SUM(J21:J26)</f>
        <v>566612</v>
      </c>
    </row>
    <row r="28" spans="1:11" ht="7.5" customHeight="1" x14ac:dyDescent="0.25">
      <c r="A28" s="22"/>
      <c r="B28" s="25"/>
      <c r="C28" s="25"/>
      <c r="D28" s="25"/>
      <c r="E28" s="25"/>
      <c r="F28" s="25"/>
      <c r="G28" s="25"/>
      <c r="H28" s="25"/>
      <c r="I28" s="25"/>
      <c r="J28" s="26"/>
    </row>
    <row r="29" spans="1:11" ht="15" customHeight="1" x14ac:dyDescent="0.25">
      <c r="A29" s="22"/>
      <c r="B29" s="761" t="s">
        <v>38</v>
      </c>
      <c r="C29" s="761"/>
      <c r="D29" s="761"/>
      <c r="E29" s="761"/>
      <c r="F29" s="761"/>
      <c r="G29" s="761"/>
      <c r="H29" s="761"/>
      <c r="I29" s="761"/>
      <c r="J29" s="761"/>
    </row>
    <row r="30" spans="1:11" ht="26.4" x14ac:dyDescent="0.25">
      <c r="A30" s="22"/>
      <c r="B30" s="763" t="s">
        <v>33</v>
      </c>
      <c r="C30" s="763"/>
      <c r="D30" s="763"/>
      <c r="E30" s="763"/>
      <c r="F30" s="763"/>
      <c r="G30" s="31" t="s">
        <v>133</v>
      </c>
      <c r="H30" s="31" t="s">
        <v>132</v>
      </c>
      <c r="I30" s="31" t="s">
        <v>39</v>
      </c>
      <c r="J30" s="32" t="s">
        <v>29</v>
      </c>
    </row>
    <row r="31" spans="1:11" ht="15" customHeight="1" x14ac:dyDescent="0.25">
      <c r="A31" s="22"/>
      <c r="B31" s="760" t="s">
        <v>262</v>
      </c>
      <c r="C31" s="760"/>
      <c r="D31" s="760"/>
      <c r="E31" s="760"/>
      <c r="F31" s="760"/>
      <c r="G31" s="34">
        <f>+SUM(F22:F23)</f>
        <v>1.1373281360737066</v>
      </c>
      <c r="H31" s="34">
        <f>+TRANSPORTE!B6</f>
        <v>70</v>
      </c>
      <c r="I31" s="319">
        <f>+TRANSPORTE!C6</f>
        <v>1241.46</v>
      </c>
      <c r="J31" s="24">
        <f>ROUND((I31*H31*G31),0)</f>
        <v>98836</v>
      </c>
    </row>
    <row r="32" spans="1:11" ht="15" customHeight="1" x14ac:dyDescent="0.25">
      <c r="A32" s="22"/>
      <c r="B32" s="760"/>
      <c r="C32" s="760"/>
      <c r="D32" s="760"/>
      <c r="E32" s="760"/>
      <c r="F32" s="760"/>
      <c r="G32" s="31"/>
      <c r="H32" s="34"/>
      <c r="I32" s="24"/>
      <c r="J32" s="24">
        <v>0</v>
      </c>
    </row>
    <row r="33" spans="1:14" ht="15" customHeight="1" x14ac:dyDescent="0.25">
      <c r="A33" s="22"/>
      <c r="B33" s="760"/>
      <c r="C33" s="760"/>
      <c r="D33" s="760"/>
      <c r="E33" s="760"/>
      <c r="F33" s="760"/>
      <c r="G33" s="31"/>
      <c r="H33" s="34"/>
      <c r="I33" s="24"/>
      <c r="J33" s="24">
        <v>0</v>
      </c>
    </row>
    <row r="34" spans="1:14" ht="15" customHeight="1" x14ac:dyDescent="0.25">
      <c r="A34" s="22"/>
      <c r="B34" s="760"/>
      <c r="C34" s="760"/>
      <c r="D34" s="760"/>
      <c r="E34" s="760"/>
      <c r="F34" s="760"/>
      <c r="G34" s="31"/>
      <c r="H34" s="31"/>
      <c r="I34" s="24"/>
      <c r="J34" s="24">
        <v>0</v>
      </c>
    </row>
    <row r="35" spans="1:14" ht="15" customHeight="1" x14ac:dyDescent="0.25">
      <c r="A35" s="22"/>
      <c r="B35" s="761" t="s">
        <v>40</v>
      </c>
      <c r="C35" s="761"/>
      <c r="D35" s="761"/>
      <c r="E35" s="761"/>
      <c r="F35" s="761"/>
      <c r="G35" s="761"/>
      <c r="H35" s="761"/>
      <c r="I35" s="761"/>
      <c r="J35" s="24">
        <f>SUM(J31:J34)</f>
        <v>98836</v>
      </c>
    </row>
    <row r="36" spans="1:14" ht="7.5" customHeight="1" x14ac:dyDescent="0.25">
      <c r="A36" s="22"/>
      <c r="B36" s="25"/>
      <c r="C36" s="25"/>
      <c r="D36" s="25"/>
      <c r="E36" s="25"/>
      <c r="F36" s="25"/>
      <c r="G36" s="25"/>
      <c r="H36" s="25"/>
      <c r="I36" s="25"/>
      <c r="J36" s="26"/>
    </row>
    <row r="37" spans="1:14" ht="15" customHeight="1" x14ac:dyDescent="0.25">
      <c r="A37" s="22"/>
      <c r="B37" s="761" t="s">
        <v>41</v>
      </c>
      <c r="C37" s="761"/>
      <c r="D37" s="761"/>
      <c r="E37" s="761"/>
      <c r="F37" s="761"/>
      <c r="G37" s="761"/>
      <c r="H37" s="761"/>
      <c r="I37" s="761"/>
      <c r="J37" s="761"/>
      <c r="L37" s="768" t="s">
        <v>564</v>
      </c>
      <c r="M37" s="768"/>
    </row>
    <row r="38" spans="1:14" ht="26.4" x14ac:dyDescent="0.25">
      <c r="A38" s="22"/>
      <c r="B38" s="763" t="s">
        <v>4</v>
      </c>
      <c r="C38" s="763"/>
      <c r="D38" s="763"/>
      <c r="E38" s="763"/>
      <c r="F38" s="763"/>
      <c r="G38" s="32" t="s">
        <v>51</v>
      </c>
      <c r="H38" s="32" t="s">
        <v>19</v>
      </c>
      <c r="I38" s="32" t="s">
        <v>28</v>
      </c>
      <c r="J38" s="32" t="s">
        <v>29</v>
      </c>
      <c r="L38" s="277" t="s">
        <v>568</v>
      </c>
      <c r="M38" s="277">
        <v>2</v>
      </c>
    </row>
    <row r="39" spans="1:14" ht="15" customHeight="1" x14ac:dyDescent="0.25">
      <c r="A39" s="22"/>
      <c r="B39" s="760" t="s">
        <v>68</v>
      </c>
      <c r="C39" s="760"/>
      <c r="D39" s="760"/>
      <c r="E39" s="760"/>
      <c r="F39" s="760"/>
      <c r="G39" s="24">
        <f>IF(B39="","",VLOOKUP(B39,CUADRILLAS!$B$87:$C$101,2,FALSE))</f>
        <v>235820.59999999998</v>
      </c>
      <c r="H39" s="31">
        <v>1</v>
      </c>
      <c r="I39" s="34">
        <v>4</v>
      </c>
      <c r="J39" s="24">
        <f>ROUND(+IF(I39=0,0,G39*H39/I39),0)</f>
        <v>58955</v>
      </c>
      <c r="L39" s="277" t="s">
        <v>569</v>
      </c>
      <c r="M39" s="277">
        <v>2</v>
      </c>
    </row>
    <row r="40" spans="1:14" ht="15" customHeight="1" x14ac:dyDescent="0.25">
      <c r="A40" s="22"/>
      <c r="B40" s="760" t="s">
        <v>120</v>
      </c>
      <c r="C40" s="760"/>
      <c r="D40" s="760"/>
      <c r="E40" s="760"/>
      <c r="F40" s="760"/>
      <c r="G40" s="24">
        <f>IF(B40="","",VLOOKUP(B40,CUADRILLAS!$B$87:$C$101,2,FALSE))</f>
        <v>157213.73333333334</v>
      </c>
      <c r="H40" s="31">
        <v>1</v>
      </c>
      <c r="I40" s="34">
        <f>+I39</f>
        <v>4</v>
      </c>
      <c r="J40" s="24">
        <f>ROUND(+IF(I40=0,0,G40*H40/I40),0)</f>
        <v>39303</v>
      </c>
      <c r="L40" s="277" t="s">
        <v>570</v>
      </c>
      <c r="M40" s="277">
        <v>2</v>
      </c>
    </row>
    <row r="41" spans="1:14" ht="15" customHeight="1" x14ac:dyDescent="0.25">
      <c r="A41" s="22"/>
      <c r="B41" s="760" t="s">
        <v>121</v>
      </c>
      <c r="C41" s="760"/>
      <c r="D41" s="760"/>
      <c r="E41" s="760"/>
      <c r="F41" s="760"/>
      <c r="G41" s="24">
        <f>IF(B41="","",VLOOKUP(B41,CUADRILLAS!$B$87:$C$101,2,FALSE))</f>
        <v>78606.866666666669</v>
      </c>
      <c r="H41" s="31">
        <f>+SUM(M38:M41)</f>
        <v>11</v>
      </c>
      <c r="I41" s="34">
        <f>+I40</f>
        <v>4</v>
      </c>
      <c r="J41" s="24">
        <f>ROUND(+IF(I41=0,0,G41*H41/I41),0)</f>
        <v>216169</v>
      </c>
      <c r="L41" s="277" t="s">
        <v>571</v>
      </c>
      <c r="M41" s="277">
        <v>5</v>
      </c>
      <c r="N41" s="20" t="s">
        <v>566</v>
      </c>
    </row>
    <row r="42" spans="1:14" ht="15" customHeight="1" x14ac:dyDescent="0.25">
      <c r="A42" s="22"/>
      <c r="B42" s="760"/>
      <c r="C42" s="760"/>
      <c r="D42" s="760"/>
      <c r="E42" s="760"/>
      <c r="F42" s="760"/>
      <c r="G42" s="24" t="str">
        <f>IF(B42="","",VLOOKUP(B42,CUADRILLAS!$B$87:$C$101,2,FALSE))</f>
        <v/>
      </c>
      <c r="H42" s="31"/>
      <c r="I42" s="34"/>
      <c r="J42" s="24">
        <f t="shared" ref="J42" si="3">+IF(I42=0,0,G42*H42/I42)</f>
        <v>0</v>
      </c>
      <c r="L42" s="277" t="s">
        <v>147</v>
      </c>
      <c r="M42" s="277">
        <v>1</v>
      </c>
    </row>
    <row r="43" spans="1:14" ht="15" customHeight="1" x14ac:dyDescent="0.25">
      <c r="A43" s="22"/>
      <c r="B43" s="761" t="s">
        <v>42</v>
      </c>
      <c r="C43" s="761"/>
      <c r="D43" s="761"/>
      <c r="E43" s="761"/>
      <c r="F43" s="761"/>
      <c r="G43" s="761"/>
      <c r="H43" s="761"/>
      <c r="I43" s="761"/>
      <c r="J43" s="24">
        <f>SUM(J39:J42)</f>
        <v>314427</v>
      </c>
      <c r="L43" s="277" t="s">
        <v>572</v>
      </c>
      <c r="M43" s="277">
        <v>1</v>
      </c>
    </row>
    <row r="44" spans="1:14" ht="7.5" customHeight="1" x14ac:dyDescent="0.25">
      <c r="A44" s="22"/>
      <c r="B44" s="25"/>
      <c r="C44" s="25"/>
      <c r="D44" s="25"/>
      <c r="E44" s="25"/>
      <c r="F44" s="25"/>
      <c r="G44" s="25"/>
      <c r="H44" s="25"/>
      <c r="I44" s="25"/>
      <c r="J44" s="26"/>
    </row>
    <row r="45" spans="1:14" ht="15.75" customHeight="1" x14ac:dyDescent="0.25">
      <c r="A45" s="27"/>
      <c r="B45" s="762" t="s">
        <v>43</v>
      </c>
      <c r="C45" s="762"/>
      <c r="D45" s="762"/>
      <c r="E45" s="762"/>
      <c r="F45" s="762"/>
      <c r="G45" s="762"/>
      <c r="H45" s="762"/>
      <c r="I45" s="762"/>
      <c r="J45" s="106">
        <f>+J43+J35+J17+J27</f>
        <v>1024596</v>
      </c>
      <c r="L45" s="277" t="s">
        <v>565</v>
      </c>
      <c r="M45" s="277">
        <f>+SUM(M38:M43)</f>
        <v>13</v>
      </c>
    </row>
    <row r="47" spans="1:14" x14ac:dyDescent="0.25">
      <c r="A47" s="765"/>
      <c r="B47" s="765"/>
      <c r="C47" s="765"/>
      <c r="D47" s="766" t="str">
        <f>'PPTO HOJA'!A4</f>
        <v>DEPARTAMENTO DE ANTIOQUIA</v>
      </c>
      <c r="E47" s="766"/>
      <c r="F47" s="766"/>
      <c r="G47" s="766"/>
      <c r="H47" s="766"/>
      <c r="I47" s="766"/>
      <c r="J47" s="766"/>
    </row>
    <row r="48" spans="1:14" x14ac:dyDescent="0.25">
      <c r="A48" s="765"/>
      <c r="B48" s="765"/>
      <c r="C48" s="765"/>
      <c r="D48" s="766" t="str">
        <f>'PPTO HOJA'!A5</f>
        <v>MUNICIPIO DE ARBOLETES</v>
      </c>
      <c r="E48" s="766"/>
      <c r="F48" s="766"/>
      <c r="G48" s="766"/>
      <c r="H48" s="766"/>
      <c r="I48" s="766"/>
      <c r="J48" s="766"/>
    </row>
    <row r="49" spans="1:10" ht="46.5" customHeight="1" x14ac:dyDescent="0.25">
      <c r="A49" s="765"/>
      <c r="B49" s="765"/>
      <c r="C49" s="765"/>
      <c r="D49"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49" s="767"/>
      <c r="F49" s="767"/>
      <c r="G49" s="767"/>
      <c r="H49" s="767"/>
      <c r="I49" s="767"/>
      <c r="J49" s="767"/>
    </row>
    <row r="50" spans="1:10" x14ac:dyDescent="0.25">
      <c r="A50" s="765"/>
      <c r="B50" s="765"/>
      <c r="C50" s="765"/>
      <c r="D50" s="766" t="s">
        <v>20</v>
      </c>
      <c r="E50" s="766"/>
      <c r="F50" s="766"/>
      <c r="G50" s="766"/>
      <c r="H50" s="766"/>
      <c r="I50" s="766"/>
      <c r="J50" s="766"/>
    </row>
    <row r="51" spans="1:10" ht="9.75" customHeight="1" x14ac:dyDescent="0.25">
      <c r="A51" s="22"/>
      <c r="J51" s="23"/>
    </row>
    <row r="52" spans="1:10" s="21" customFormat="1" ht="33" customHeight="1" x14ac:dyDescent="0.3">
      <c r="A52" s="30" t="s">
        <v>163</v>
      </c>
      <c r="B52" s="29" t="s">
        <v>22</v>
      </c>
      <c r="C52" s="116"/>
      <c r="D52" s="28"/>
      <c r="E52" s="764" t="s">
        <v>578</v>
      </c>
      <c r="F52" s="764"/>
      <c r="G52" s="764"/>
      <c r="H52" s="764"/>
      <c r="I52" s="30" t="s">
        <v>23</v>
      </c>
      <c r="J52" s="31" t="s">
        <v>261</v>
      </c>
    </row>
    <row r="53" spans="1:10" ht="15" customHeight="1" x14ac:dyDescent="0.25">
      <c r="A53" s="22"/>
      <c r="B53" s="761" t="s">
        <v>24</v>
      </c>
      <c r="C53" s="761"/>
      <c r="D53" s="761"/>
      <c r="E53" s="761"/>
      <c r="F53" s="761"/>
      <c r="G53" s="761"/>
      <c r="H53" s="761"/>
      <c r="I53" s="761"/>
      <c r="J53" s="761"/>
    </row>
    <row r="54" spans="1:10" ht="26.4" x14ac:dyDescent="0.25">
      <c r="A54" s="22"/>
      <c r="B54" s="763" t="s">
        <v>25</v>
      </c>
      <c r="C54" s="763"/>
      <c r="D54" s="763"/>
      <c r="E54" s="763"/>
      <c r="F54" s="763"/>
      <c r="G54" s="31" t="s">
        <v>26</v>
      </c>
      <c r="H54" s="31" t="s">
        <v>27</v>
      </c>
      <c r="I54" s="31" t="s">
        <v>28</v>
      </c>
      <c r="J54" s="32" t="s">
        <v>29</v>
      </c>
    </row>
    <row r="55" spans="1:10" ht="15" customHeight="1" x14ac:dyDescent="0.25">
      <c r="A55" s="22"/>
      <c r="B55" s="760" t="s">
        <v>30</v>
      </c>
      <c r="C55" s="760"/>
      <c r="D55" s="760"/>
      <c r="E55" s="760"/>
      <c r="F55" s="760"/>
      <c r="G55" s="31"/>
      <c r="H55" s="24"/>
      <c r="I55" s="33">
        <v>0.05</v>
      </c>
      <c r="J55" s="24">
        <f>ROUND(I55*J89,0)</f>
        <v>9826</v>
      </c>
    </row>
    <row r="56" spans="1:10" x14ac:dyDescent="0.25">
      <c r="A56" s="22"/>
      <c r="B56" s="764" t="s">
        <v>113</v>
      </c>
      <c r="C56" s="764"/>
      <c r="D56" s="764"/>
      <c r="E56" s="764"/>
      <c r="F56" s="764"/>
      <c r="G56" s="31" t="str">
        <f>IF(B56="","",VLOOKUP(B56,EQUIPOS!$B$7:$F$46,3,FALSE))</f>
        <v>GASOLINA</v>
      </c>
      <c r="H56" s="24">
        <f>IF(B56="","",VLOOKUP(B56,EQUIPOS!$B$7:$F$46,5,FALSE))</f>
        <v>116000</v>
      </c>
      <c r="I56" s="34">
        <f>+I85</f>
        <v>6</v>
      </c>
      <c r="J56" s="24">
        <f>IF(B56="",0,ROUND(H56/I56,0))</f>
        <v>19333</v>
      </c>
    </row>
    <row r="57" spans="1:10" ht="15" customHeight="1" x14ac:dyDescent="0.25">
      <c r="A57" s="22"/>
      <c r="B57" s="760"/>
      <c r="C57" s="760"/>
      <c r="D57" s="760"/>
      <c r="E57" s="760"/>
      <c r="F57" s="760"/>
      <c r="G57" s="31" t="str">
        <f>IF(B57="","",VLOOKUP(B57,EQUIPOS!$B$7:$F$46,3,FALSE))</f>
        <v/>
      </c>
      <c r="H57" s="24" t="str">
        <f>IF(B57="","",VLOOKUP(B57,EQUIPOS!$B$7:$F$46,5,FALSE))</f>
        <v/>
      </c>
      <c r="I57" s="34"/>
      <c r="J57" s="24">
        <f t="shared" ref="J57:J61" si="4">IF(B57="",0,ROUND(H57/I57,0))</f>
        <v>0</v>
      </c>
    </row>
    <row r="58" spans="1:10" ht="15" customHeight="1" x14ac:dyDescent="0.25">
      <c r="A58" s="22"/>
      <c r="B58" s="760"/>
      <c r="C58" s="760"/>
      <c r="D58" s="760"/>
      <c r="E58" s="760"/>
      <c r="F58" s="760"/>
      <c r="G58" s="31" t="str">
        <f>IF(B58="","",VLOOKUP(B58,EQUIPOS!$B$7:$F$46,3,FALSE))</f>
        <v/>
      </c>
      <c r="H58" s="24" t="str">
        <f>IF(B58="","",VLOOKUP(B58,EQUIPOS!$B$7:$F$46,5,FALSE))</f>
        <v/>
      </c>
      <c r="I58" s="34"/>
      <c r="J58" s="24">
        <f t="shared" si="4"/>
        <v>0</v>
      </c>
    </row>
    <row r="59" spans="1:10" ht="15" customHeight="1" x14ac:dyDescent="0.25">
      <c r="A59" s="22"/>
      <c r="B59" s="760"/>
      <c r="C59" s="760"/>
      <c r="D59" s="760"/>
      <c r="E59" s="760"/>
      <c r="F59" s="760"/>
      <c r="G59" s="31" t="str">
        <f>IF(B59="","",VLOOKUP(B59,EQUIPOS!$B$7:$F$46,3,FALSE))</f>
        <v/>
      </c>
      <c r="H59" s="24" t="str">
        <f>IF(B59="","",VLOOKUP(B59,EQUIPOS!$B$7:$F$46,5,FALSE))</f>
        <v/>
      </c>
      <c r="I59" s="34"/>
      <c r="J59" s="24">
        <f t="shared" si="4"/>
        <v>0</v>
      </c>
    </row>
    <row r="60" spans="1:10" ht="15" customHeight="1" x14ac:dyDescent="0.25">
      <c r="A60" s="22"/>
      <c r="B60" s="760"/>
      <c r="C60" s="760"/>
      <c r="D60" s="760"/>
      <c r="E60" s="760"/>
      <c r="F60" s="760"/>
      <c r="G60" s="31" t="str">
        <f>IF(B60="","",VLOOKUP(B60,EQUIPOS!$B$7:$F$46,3,FALSE))</f>
        <v/>
      </c>
      <c r="H60" s="24" t="str">
        <f>IF(B60="","",VLOOKUP(B60,EQUIPOS!$B$7:$F$46,5,FALSE))</f>
        <v/>
      </c>
      <c r="I60" s="34"/>
      <c r="J60" s="24">
        <f t="shared" si="4"/>
        <v>0</v>
      </c>
    </row>
    <row r="61" spans="1:10" ht="15" customHeight="1" x14ac:dyDescent="0.25">
      <c r="A61" s="22"/>
      <c r="B61" s="760"/>
      <c r="C61" s="760"/>
      <c r="D61" s="760"/>
      <c r="E61" s="760"/>
      <c r="F61" s="760"/>
      <c r="G61" s="31" t="str">
        <f>IF(B61="","",VLOOKUP(B61,EQUIPOS!$B$7:$F$46,3,FALSE))</f>
        <v/>
      </c>
      <c r="H61" s="24" t="str">
        <f>IF(B61="","",VLOOKUP(B61,EQUIPOS!$B$7:$F$46,5,FALSE))</f>
        <v/>
      </c>
      <c r="I61" s="34"/>
      <c r="J61" s="24">
        <f t="shared" si="4"/>
        <v>0</v>
      </c>
    </row>
    <row r="62" spans="1:10" ht="15" customHeight="1" x14ac:dyDescent="0.25">
      <c r="A62" s="22"/>
      <c r="B62" s="760"/>
      <c r="C62" s="760"/>
      <c r="D62" s="760"/>
      <c r="E62" s="760"/>
      <c r="F62" s="760"/>
      <c r="G62" s="31" t="str">
        <f>IF(B62="","",VLOOKUP(B62,EQUIPOS!$B$7:$F$46,3,FALSE))</f>
        <v/>
      </c>
      <c r="H62" s="24" t="str">
        <f>IF(B62="","",VLOOKUP(B62,EQUIPOS!$B$7:$F$46,5,FALSE))</f>
        <v/>
      </c>
      <c r="I62" s="34"/>
      <c r="J62" s="24"/>
    </row>
    <row r="63" spans="1:10" ht="15" customHeight="1" x14ac:dyDescent="0.25">
      <c r="A63" s="22"/>
      <c r="B63" s="761" t="s">
        <v>31</v>
      </c>
      <c r="C63" s="761"/>
      <c r="D63" s="761"/>
      <c r="E63" s="761"/>
      <c r="F63" s="761"/>
      <c r="G63" s="761"/>
      <c r="H63" s="761"/>
      <c r="I63" s="761"/>
      <c r="J63" s="24">
        <f>SUM(J55:J62)</f>
        <v>29159</v>
      </c>
    </row>
    <row r="64" spans="1:10" ht="7.5" customHeight="1" x14ac:dyDescent="0.25">
      <c r="A64" s="22"/>
      <c r="B64" s="25"/>
      <c r="C64" s="25"/>
      <c r="D64" s="25"/>
      <c r="E64" s="25"/>
      <c r="F64" s="25"/>
      <c r="G64" s="25"/>
      <c r="H64" s="25"/>
      <c r="I64" s="25"/>
      <c r="J64" s="26"/>
    </row>
    <row r="65" spans="1:14" ht="15" customHeight="1" x14ac:dyDescent="0.25">
      <c r="A65" s="22"/>
      <c r="B65" s="761" t="s">
        <v>32</v>
      </c>
      <c r="C65" s="761"/>
      <c r="D65" s="761"/>
      <c r="E65" s="761"/>
      <c r="F65" s="761"/>
      <c r="G65" s="761"/>
      <c r="H65" s="761"/>
      <c r="I65" s="761"/>
      <c r="J65" s="761"/>
    </row>
    <row r="66" spans="1:14" ht="26.4" x14ac:dyDescent="0.25">
      <c r="A66" s="22"/>
      <c r="B66" s="763" t="s">
        <v>33</v>
      </c>
      <c r="C66" s="763"/>
      <c r="D66" s="763"/>
      <c r="E66" s="763"/>
      <c r="F66" s="28" t="s">
        <v>19</v>
      </c>
      <c r="G66" s="31" t="s">
        <v>34</v>
      </c>
      <c r="H66" s="32" t="s">
        <v>35</v>
      </c>
      <c r="I66" s="32" t="s">
        <v>36</v>
      </c>
      <c r="J66" s="32" t="s">
        <v>29</v>
      </c>
      <c r="L66" s="828"/>
      <c r="M66" s="828"/>
      <c r="N66" s="327"/>
    </row>
    <row r="67" spans="1:14" ht="15.75" customHeight="1" x14ac:dyDescent="0.25">
      <c r="A67" s="22"/>
      <c r="B67" s="764" t="s">
        <v>161</v>
      </c>
      <c r="C67" s="764"/>
      <c r="D67" s="764"/>
      <c r="E67" s="764"/>
      <c r="F67" s="34">
        <v>0.84</v>
      </c>
      <c r="G67" s="31" t="str">
        <f>IF(F67=0,"",VLOOKUP(B67,'LISTADO DE MATERIALES'!$B$6:$D$311,2,FALSE))</f>
        <v>m3</v>
      </c>
      <c r="H67" s="107"/>
      <c r="I67" s="24">
        <f>IF(F67=0,"",VLOOKUP(B67,'LISTADO DE MATERIALES'!$B$6:$D$311,3,FALSE))</f>
        <v>89250</v>
      </c>
      <c r="J67" s="24">
        <f t="shared" ref="J67:J69" si="5">IF(I67="",0,ROUND((+F67*I67*(1+H67)),0))</f>
        <v>74970</v>
      </c>
      <c r="L67" s="327"/>
      <c r="M67" s="327"/>
      <c r="N67" s="327"/>
    </row>
    <row r="68" spans="1:14" ht="15" customHeight="1" x14ac:dyDescent="0.25">
      <c r="A68" s="22"/>
      <c r="B68" s="760" t="s">
        <v>160</v>
      </c>
      <c r="C68" s="760"/>
      <c r="D68" s="760"/>
      <c r="E68" s="760"/>
      <c r="F68" s="34">
        <v>0.42</v>
      </c>
      <c r="G68" s="31" t="str">
        <f>IF(F68=0,"",VLOOKUP(B68,'LISTADO DE MATERIALES'!$B$6:$D$311,2,FALSE))</f>
        <v>m3</v>
      </c>
      <c r="H68" s="107"/>
      <c r="I68" s="24">
        <f>IF(F68=0,"",VLOOKUP(B68,'LISTADO DE MATERIALES'!$B$6:$D$311,3,FALSE))</f>
        <v>144000</v>
      </c>
      <c r="J68" s="24">
        <f t="shared" si="5"/>
        <v>60480</v>
      </c>
      <c r="K68" s="117"/>
      <c r="L68" s="327"/>
      <c r="M68" s="327"/>
      <c r="N68" s="327"/>
    </row>
    <row r="69" spans="1:14" ht="15" customHeight="1" x14ac:dyDescent="0.25">
      <c r="A69" s="22"/>
      <c r="B69" s="760" t="s">
        <v>162</v>
      </c>
      <c r="C69" s="760"/>
      <c r="D69" s="760"/>
      <c r="E69" s="760"/>
      <c r="F69" s="34">
        <v>545</v>
      </c>
      <c r="G69" s="31" t="str">
        <f>IF(F69=0,"",VLOOKUP(B69,'LISTADO DE MATERIALES'!$B$6:$D$311,2,FALSE))</f>
        <v>Kg</v>
      </c>
      <c r="H69" s="107"/>
      <c r="I69" s="24">
        <f>IF(F69=0,"",VLOOKUP(B69,'LISTADO DE MATERIALES'!$B$6:$D$311,3,FALSE))</f>
        <v>977.2</v>
      </c>
      <c r="J69" s="24">
        <f t="shared" si="5"/>
        <v>532574</v>
      </c>
      <c r="L69" s="327"/>
      <c r="M69" s="327"/>
      <c r="N69" s="327"/>
    </row>
    <row r="70" spans="1:14" ht="15" customHeight="1" x14ac:dyDescent="0.25">
      <c r="A70" s="22"/>
      <c r="B70" s="760"/>
      <c r="C70" s="760"/>
      <c r="D70" s="760"/>
      <c r="E70" s="760"/>
      <c r="F70" s="34"/>
      <c r="G70" s="31" t="str">
        <f>IF(F70=0,"",VLOOKUP(B70,'LISTADO DE MATERIALES'!$B$6:$D$311,2,FALSE))</f>
        <v/>
      </c>
      <c r="H70" s="107"/>
      <c r="I70" s="24" t="str">
        <f>IF(F70=0,"",VLOOKUP(B70,'LISTADO DE MATERIALES'!$B$6:$D$311,3,FALSE))</f>
        <v/>
      </c>
      <c r="J70" s="24">
        <f t="shared" ref="J70:J72" si="6">IF(I70="",0,ROUND((+F70*I70*(1+H70)),0))</f>
        <v>0</v>
      </c>
      <c r="L70" s="327"/>
      <c r="M70" s="327"/>
      <c r="N70" s="327"/>
    </row>
    <row r="71" spans="1:14" ht="15" customHeight="1" x14ac:dyDescent="0.25">
      <c r="A71" s="22"/>
      <c r="B71" s="760"/>
      <c r="C71" s="760"/>
      <c r="D71" s="760"/>
      <c r="E71" s="760"/>
      <c r="F71" s="34"/>
      <c r="G71" s="31" t="str">
        <f>IF(F71=0,"",VLOOKUP(B71,'LISTADO DE MATERIALES'!$B$6:$D$311,2,FALSE))</f>
        <v/>
      </c>
      <c r="H71" s="107"/>
      <c r="I71" s="24" t="str">
        <f>IF(F71=0,"",VLOOKUP(B71,'LISTADO DE MATERIALES'!$B$6:$D$311,3,FALSE))</f>
        <v/>
      </c>
      <c r="J71" s="24">
        <f t="shared" si="6"/>
        <v>0</v>
      </c>
    </row>
    <row r="72" spans="1:14" ht="15" customHeight="1" x14ac:dyDescent="0.25">
      <c r="A72" s="22"/>
      <c r="B72" s="760"/>
      <c r="C72" s="760"/>
      <c r="D72" s="760"/>
      <c r="E72" s="760"/>
      <c r="F72" s="34"/>
      <c r="G72" s="31" t="str">
        <f>IF(F72=0,"",VLOOKUP(B72,'LISTADO DE MATERIALES'!$B$6:$D$311,2,FALSE))</f>
        <v/>
      </c>
      <c r="H72" s="107"/>
      <c r="I72" s="24" t="str">
        <f>IF(F72=0,"",VLOOKUP(B72,'LISTADO DE MATERIALES'!$B$6:$D$311,3,FALSE))</f>
        <v/>
      </c>
      <c r="J72" s="24">
        <f t="shared" si="6"/>
        <v>0</v>
      </c>
    </row>
    <row r="73" spans="1:14" ht="15" customHeight="1" x14ac:dyDescent="0.25">
      <c r="A73" s="22"/>
      <c r="B73" s="761" t="s">
        <v>37</v>
      </c>
      <c r="C73" s="761"/>
      <c r="D73" s="761"/>
      <c r="E73" s="761"/>
      <c r="F73" s="761"/>
      <c r="G73" s="761"/>
      <c r="H73" s="761"/>
      <c r="I73" s="761"/>
      <c r="J73" s="24">
        <f>SUM(J67:J72)</f>
        <v>668024</v>
      </c>
    </row>
    <row r="74" spans="1:14" ht="7.5" customHeight="1" x14ac:dyDescent="0.25">
      <c r="A74" s="22"/>
      <c r="B74" s="25"/>
      <c r="C74" s="25"/>
      <c r="D74" s="25"/>
      <c r="E74" s="25"/>
      <c r="F74" s="25"/>
      <c r="G74" s="25"/>
      <c r="H74" s="25"/>
      <c r="I74" s="25"/>
      <c r="J74" s="26"/>
    </row>
    <row r="75" spans="1:14" ht="15" customHeight="1" x14ac:dyDescent="0.25">
      <c r="A75" s="22"/>
      <c r="B75" s="761" t="s">
        <v>38</v>
      </c>
      <c r="C75" s="761"/>
      <c r="D75" s="761"/>
      <c r="E75" s="761"/>
      <c r="F75" s="761"/>
      <c r="G75" s="761"/>
      <c r="H75" s="761"/>
      <c r="I75" s="761"/>
      <c r="J75" s="761"/>
    </row>
    <row r="76" spans="1:14" ht="26.4" x14ac:dyDescent="0.25">
      <c r="A76" s="22"/>
      <c r="B76" s="763" t="s">
        <v>33</v>
      </c>
      <c r="C76" s="763"/>
      <c r="D76" s="763"/>
      <c r="E76" s="763"/>
      <c r="F76" s="763"/>
      <c r="G76" s="31" t="s">
        <v>133</v>
      </c>
      <c r="H76" s="31" t="s">
        <v>132</v>
      </c>
      <c r="I76" s="31" t="s">
        <v>39</v>
      </c>
      <c r="J76" s="32" t="s">
        <v>29</v>
      </c>
    </row>
    <row r="77" spans="1:14" ht="15" customHeight="1" x14ac:dyDescent="0.25">
      <c r="A77" s="22"/>
      <c r="B77" s="760" t="s">
        <v>262</v>
      </c>
      <c r="C77" s="760"/>
      <c r="D77" s="760"/>
      <c r="E77" s="760"/>
      <c r="F77" s="760"/>
      <c r="G77" s="34">
        <f>+SUM(F67:F68)</f>
        <v>1.26</v>
      </c>
      <c r="H77" s="34">
        <f>+TRANSPORTE!B6</f>
        <v>70</v>
      </c>
      <c r="I77" s="319">
        <f>+TRANSPORTE!C6</f>
        <v>1241.46</v>
      </c>
      <c r="J77" s="24">
        <f>ROUND((I77*H77*G77),0)</f>
        <v>109497</v>
      </c>
    </row>
    <row r="78" spans="1:14" ht="15" customHeight="1" x14ac:dyDescent="0.25">
      <c r="A78" s="22"/>
      <c r="B78" s="760"/>
      <c r="C78" s="760"/>
      <c r="D78" s="760"/>
      <c r="E78" s="760"/>
      <c r="F78" s="760"/>
      <c r="G78" s="31"/>
      <c r="H78" s="34"/>
      <c r="I78" s="24"/>
      <c r="J78" s="24">
        <v>0</v>
      </c>
    </row>
    <row r="79" spans="1:14" ht="15" customHeight="1" x14ac:dyDescent="0.25">
      <c r="A79" s="22"/>
      <c r="B79" s="760"/>
      <c r="C79" s="760"/>
      <c r="D79" s="760"/>
      <c r="E79" s="760"/>
      <c r="F79" s="760"/>
      <c r="G79" s="31"/>
      <c r="H79" s="34"/>
      <c r="I79" s="24"/>
      <c r="J79" s="24">
        <v>0</v>
      </c>
    </row>
    <row r="80" spans="1:14" ht="15" customHeight="1" x14ac:dyDescent="0.25">
      <c r="A80" s="22"/>
      <c r="B80" s="760"/>
      <c r="C80" s="760"/>
      <c r="D80" s="760"/>
      <c r="E80" s="760"/>
      <c r="F80" s="760"/>
      <c r="G80" s="31"/>
      <c r="H80" s="31"/>
      <c r="I80" s="24"/>
      <c r="J80" s="24">
        <v>0</v>
      </c>
    </row>
    <row r="81" spans="1:14" ht="15" customHeight="1" x14ac:dyDescent="0.25">
      <c r="A81" s="22"/>
      <c r="B81" s="761" t="s">
        <v>40</v>
      </c>
      <c r="C81" s="761"/>
      <c r="D81" s="761"/>
      <c r="E81" s="761"/>
      <c r="F81" s="761"/>
      <c r="G81" s="761"/>
      <c r="H81" s="761"/>
      <c r="I81" s="761"/>
      <c r="J81" s="24">
        <f>SUM(J77:J80)</f>
        <v>109497</v>
      </c>
    </row>
    <row r="82" spans="1:14" ht="7.5" customHeight="1" x14ac:dyDescent="0.25">
      <c r="A82" s="22"/>
      <c r="B82" s="25"/>
      <c r="C82" s="25"/>
      <c r="D82" s="25"/>
      <c r="E82" s="25"/>
      <c r="F82" s="25"/>
      <c r="G82" s="25"/>
      <c r="H82" s="25"/>
      <c r="I82" s="25"/>
      <c r="J82" s="26"/>
    </row>
    <row r="83" spans="1:14" ht="15" customHeight="1" x14ac:dyDescent="0.25">
      <c r="A83" s="22"/>
      <c r="B83" s="761" t="s">
        <v>41</v>
      </c>
      <c r="C83" s="761"/>
      <c r="D83" s="761"/>
      <c r="E83" s="761"/>
      <c r="F83" s="761"/>
      <c r="G83" s="761"/>
      <c r="H83" s="761"/>
      <c r="I83" s="761"/>
      <c r="J83" s="761"/>
      <c r="L83" s="768" t="s">
        <v>564</v>
      </c>
      <c r="M83" s="768"/>
    </row>
    <row r="84" spans="1:14" ht="26.4" x14ac:dyDescent="0.25">
      <c r="A84" s="22"/>
      <c r="B84" s="763" t="s">
        <v>4</v>
      </c>
      <c r="C84" s="763"/>
      <c r="D84" s="763"/>
      <c r="E84" s="763"/>
      <c r="F84" s="763"/>
      <c r="G84" s="32" t="s">
        <v>51</v>
      </c>
      <c r="H84" s="32" t="s">
        <v>19</v>
      </c>
      <c r="I84" s="32" t="s">
        <v>28</v>
      </c>
      <c r="J84" s="32" t="s">
        <v>29</v>
      </c>
      <c r="L84" s="277" t="s">
        <v>568</v>
      </c>
      <c r="M84" s="277">
        <v>2</v>
      </c>
    </row>
    <row r="85" spans="1:14" ht="15" customHeight="1" x14ac:dyDescent="0.25">
      <c r="A85" s="22"/>
      <c r="B85" s="760" t="s">
        <v>68</v>
      </c>
      <c r="C85" s="760"/>
      <c r="D85" s="760"/>
      <c r="E85" s="760"/>
      <c r="F85" s="760"/>
      <c r="G85" s="24">
        <f>IF(B85="","",VLOOKUP(B85,CUADRILLAS!$B$87:$C$101,2,FALSE))</f>
        <v>235820.59999999998</v>
      </c>
      <c r="H85" s="31">
        <v>1</v>
      </c>
      <c r="I85" s="34">
        <v>6</v>
      </c>
      <c r="J85" s="24">
        <f>ROUND(+IF(I85=0,0,G85*H85/I85),0)</f>
        <v>39303</v>
      </c>
      <c r="L85" s="277" t="s">
        <v>569</v>
      </c>
      <c r="M85" s="277">
        <v>2</v>
      </c>
    </row>
    <row r="86" spans="1:14" ht="15" customHeight="1" x14ac:dyDescent="0.25">
      <c r="A86" s="22"/>
      <c r="B86" s="760" t="s">
        <v>120</v>
      </c>
      <c r="C86" s="760"/>
      <c r="D86" s="760"/>
      <c r="E86" s="760"/>
      <c r="F86" s="760"/>
      <c r="G86" s="24">
        <f>IF(B86="","",VLOOKUP(B86,CUADRILLAS!$B$87:$C$101,2,FALSE))</f>
        <v>157213.73333333334</v>
      </c>
      <c r="H86" s="31">
        <v>1</v>
      </c>
      <c r="I86" s="34">
        <f>+I85</f>
        <v>6</v>
      </c>
      <c r="J86" s="24">
        <f>ROUND(+IF(I86=0,0,G86*H86/I86),0)</f>
        <v>26202</v>
      </c>
      <c r="L86" s="277" t="s">
        <v>570</v>
      </c>
      <c r="M86" s="277">
        <v>2</v>
      </c>
    </row>
    <row r="87" spans="1:14" ht="15" customHeight="1" x14ac:dyDescent="0.25">
      <c r="A87" s="22"/>
      <c r="B87" s="760" t="s">
        <v>121</v>
      </c>
      <c r="C87" s="760"/>
      <c r="D87" s="760"/>
      <c r="E87" s="760"/>
      <c r="F87" s="760"/>
      <c r="G87" s="24">
        <f>IF(B87="","",VLOOKUP(B87,CUADRILLAS!$B$87:$C$101,2,FALSE))</f>
        <v>78606.866666666669</v>
      </c>
      <c r="H87" s="31">
        <f>+SUM(M84:M87)</f>
        <v>10</v>
      </c>
      <c r="I87" s="34">
        <f>+I86</f>
        <v>6</v>
      </c>
      <c r="J87" s="24">
        <f>ROUND(+IF(I87=0,0,G87*H87/I87),0)</f>
        <v>131011</v>
      </c>
      <c r="L87" s="277" t="s">
        <v>571</v>
      </c>
      <c r="M87" s="277">
        <v>4</v>
      </c>
      <c r="N87" s="20" t="s">
        <v>581</v>
      </c>
    </row>
    <row r="88" spans="1:14" ht="15" customHeight="1" x14ac:dyDescent="0.25">
      <c r="A88" s="22"/>
      <c r="B88" s="760"/>
      <c r="C88" s="760"/>
      <c r="D88" s="760"/>
      <c r="E88" s="760"/>
      <c r="F88" s="760"/>
      <c r="G88" s="24" t="str">
        <f>IF(B88="","",VLOOKUP(B88,CUADRILLAS!$B$87:$C$101,2,FALSE))</f>
        <v/>
      </c>
      <c r="H88" s="31"/>
      <c r="I88" s="34"/>
      <c r="J88" s="24">
        <f t="shared" ref="J88" si="7">+IF(I88=0,0,G88*H88/I88)</f>
        <v>0</v>
      </c>
      <c r="L88" s="277" t="s">
        <v>147</v>
      </c>
      <c r="M88" s="277">
        <v>1</v>
      </c>
    </row>
    <row r="89" spans="1:14" ht="15" customHeight="1" x14ac:dyDescent="0.25">
      <c r="A89" s="22"/>
      <c r="B89" s="761" t="s">
        <v>42</v>
      </c>
      <c r="C89" s="761"/>
      <c r="D89" s="761"/>
      <c r="E89" s="761"/>
      <c r="F89" s="761"/>
      <c r="G89" s="761"/>
      <c r="H89" s="761"/>
      <c r="I89" s="761"/>
      <c r="J89" s="24">
        <f>SUM(J85:J88)</f>
        <v>196516</v>
      </c>
      <c r="L89" s="277" t="s">
        <v>572</v>
      </c>
      <c r="M89" s="277">
        <v>1</v>
      </c>
    </row>
    <row r="90" spans="1:14" ht="7.5" customHeight="1" x14ac:dyDescent="0.25">
      <c r="A90" s="22"/>
      <c r="B90" s="25"/>
      <c r="C90" s="25"/>
      <c r="D90" s="25"/>
      <c r="E90" s="25"/>
      <c r="F90" s="25"/>
      <c r="G90" s="25"/>
      <c r="H90" s="25"/>
      <c r="I90" s="25"/>
      <c r="J90" s="26"/>
    </row>
    <row r="91" spans="1:14" ht="15.75" customHeight="1" x14ac:dyDescent="0.25">
      <c r="A91" s="27"/>
      <c r="B91" s="762" t="s">
        <v>43</v>
      </c>
      <c r="C91" s="762"/>
      <c r="D91" s="762"/>
      <c r="E91" s="762"/>
      <c r="F91" s="762"/>
      <c r="G91" s="762"/>
      <c r="H91" s="762"/>
      <c r="I91" s="762"/>
      <c r="J91" s="106">
        <f>+J89+J81+J63+J73</f>
        <v>1003196</v>
      </c>
      <c r="L91" s="277" t="s">
        <v>565</v>
      </c>
      <c r="M91" s="277">
        <f>+SUM(M84:M89)</f>
        <v>12</v>
      </c>
    </row>
    <row r="92" spans="1:14" x14ac:dyDescent="0.25">
      <c r="B92" s="21"/>
      <c r="C92" s="21"/>
      <c r="D92" s="21"/>
      <c r="E92" s="21"/>
      <c r="F92" s="21"/>
      <c r="G92" s="21"/>
      <c r="H92" s="21"/>
      <c r="I92" s="21"/>
      <c r="J92" s="21"/>
    </row>
    <row r="93" spans="1:14" x14ac:dyDescent="0.25">
      <c r="A93" s="765"/>
      <c r="B93" s="765"/>
      <c r="C93" s="765"/>
      <c r="D93" s="766" t="str">
        <f>+D47</f>
        <v>DEPARTAMENTO DE ANTIOQUIA</v>
      </c>
      <c r="E93" s="766"/>
      <c r="F93" s="766"/>
      <c r="G93" s="766"/>
      <c r="H93" s="766"/>
      <c r="I93" s="766"/>
      <c r="J93" s="766"/>
    </row>
    <row r="94" spans="1:14" x14ac:dyDescent="0.25">
      <c r="A94" s="765"/>
      <c r="B94" s="765"/>
      <c r="C94" s="765"/>
      <c r="D94" s="766" t="str">
        <f t="shared" ref="D94:D95" si="8">+D48</f>
        <v>MUNICIPIO DE ARBOLETES</v>
      </c>
      <c r="E94" s="766"/>
      <c r="F94" s="766"/>
      <c r="G94" s="766"/>
      <c r="H94" s="766"/>
      <c r="I94" s="766"/>
      <c r="J94" s="766"/>
    </row>
    <row r="95" spans="1:14" ht="51.75" customHeight="1" x14ac:dyDescent="0.25">
      <c r="A95" s="765"/>
      <c r="B95" s="765"/>
      <c r="C95" s="765"/>
      <c r="D95" s="824" t="str">
        <f t="shared" si="8"/>
        <v>CONSTRUCCION DE OBRAS CIVILES COMPLEMENTARIAS PARA EL CORRECTO FUNCIONAMIENTO DEL PROYECTO DENOMINADO “PARQUE GEOLÓGICO, NATURAL, AMBIENTAL, CULTURAL Y TURÍSTICO, VOLCÁN DE LODO DE ARBOLETES”, QUE SE LLEVARÁ A CABO EN EL MUNICIPIO DE ARBOLETES-ANTIOQUIA</v>
      </c>
      <c r="E95" s="824"/>
      <c r="F95" s="824"/>
      <c r="G95" s="824"/>
      <c r="H95" s="824"/>
      <c r="I95" s="824"/>
      <c r="J95" s="824"/>
    </row>
    <row r="96" spans="1:14" x14ac:dyDescent="0.25">
      <c r="A96" s="765"/>
      <c r="B96" s="765"/>
      <c r="C96" s="765"/>
      <c r="D96" s="766" t="s">
        <v>20</v>
      </c>
      <c r="E96" s="766"/>
      <c r="F96" s="766"/>
      <c r="G96" s="766"/>
      <c r="H96" s="766"/>
      <c r="I96" s="766"/>
      <c r="J96" s="766"/>
    </row>
    <row r="97" spans="1:10" ht="9.75" customHeight="1" x14ac:dyDescent="0.25">
      <c r="A97" s="22"/>
      <c r="J97" s="23"/>
    </row>
    <row r="98" spans="1:10" s="21" customFormat="1" ht="33" customHeight="1" x14ac:dyDescent="0.3">
      <c r="A98" s="30" t="s">
        <v>163</v>
      </c>
      <c r="B98" s="29" t="s">
        <v>22</v>
      </c>
      <c r="C98" s="116"/>
      <c r="D98" s="28"/>
      <c r="E98" s="764" t="s">
        <v>294</v>
      </c>
      <c r="F98" s="764"/>
      <c r="G98" s="764"/>
      <c r="H98" s="764"/>
      <c r="I98" s="30" t="s">
        <v>23</v>
      </c>
      <c r="J98" s="31" t="s">
        <v>261</v>
      </c>
    </row>
    <row r="99" spans="1:10" ht="15" customHeight="1" x14ac:dyDescent="0.25">
      <c r="A99" s="22"/>
      <c r="B99" s="761" t="s">
        <v>24</v>
      </c>
      <c r="C99" s="761"/>
      <c r="D99" s="761"/>
      <c r="E99" s="761"/>
      <c r="F99" s="761"/>
      <c r="G99" s="761"/>
      <c r="H99" s="761"/>
      <c r="I99" s="761"/>
      <c r="J99" s="761"/>
    </row>
    <row r="100" spans="1:10" ht="26.4" x14ac:dyDescent="0.25">
      <c r="A100" s="22"/>
      <c r="B100" s="763" t="s">
        <v>25</v>
      </c>
      <c r="C100" s="763"/>
      <c r="D100" s="763"/>
      <c r="E100" s="763"/>
      <c r="F100" s="763"/>
      <c r="G100" s="31" t="s">
        <v>26</v>
      </c>
      <c r="H100" s="31" t="s">
        <v>27</v>
      </c>
      <c r="I100" s="31" t="s">
        <v>28</v>
      </c>
      <c r="J100" s="32" t="s">
        <v>29</v>
      </c>
    </row>
    <row r="101" spans="1:10" ht="15" customHeight="1" x14ac:dyDescent="0.25">
      <c r="A101" s="22"/>
      <c r="B101" s="760" t="s">
        <v>30</v>
      </c>
      <c r="C101" s="760"/>
      <c r="D101" s="760"/>
      <c r="E101" s="760"/>
      <c r="F101" s="760"/>
      <c r="G101" s="31"/>
      <c r="H101" s="24"/>
      <c r="I101" s="33">
        <v>0.05</v>
      </c>
      <c r="J101" s="24">
        <f>ROUND(I101*J135,0)</f>
        <v>9826</v>
      </c>
    </row>
    <row r="102" spans="1:10" x14ac:dyDescent="0.25">
      <c r="A102" s="22"/>
      <c r="B102" s="764" t="s">
        <v>113</v>
      </c>
      <c r="C102" s="764"/>
      <c r="D102" s="764"/>
      <c r="E102" s="764"/>
      <c r="F102" s="764"/>
      <c r="G102" s="31" t="str">
        <f>IF(B102="","",VLOOKUP(B102,EQUIPOS!$B$7:$F$46,3,FALSE))</f>
        <v>GASOLINA</v>
      </c>
      <c r="H102" s="24">
        <f>IF(B102="","",VLOOKUP(B102,EQUIPOS!$B$7:$F$46,5,FALSE))</f>
        <v>116000</v>
      </c>
      <c r="I102" s="34">
        <f>+I131</f>
        <v>6</v>
      </c>
      <c r="J102" s="24">
        <f>IF(B102="",0,ROUND(H102/I102,0))</f>
        <v>19333</v>
      </c>
    </row>
    <row r="103" spans="1:10" ht="15" customHeight="1" x14ac:dyDescent="0.25">
      <c r="A103" s="22"/>
      <c r="B103" s="760"/>
      <c r="C103" s="760"/>
      <c r="D103" s="760"/>
      <c r="E103" s="760"/>
      <c r="F103" s="760"/>
      <c r="G103" s="31" t="str">
        <f>IF(B103="","",VLOOKUP(B103,EQUIPOS!$B$7:$F$46,3,FALSE))</f>
        <v/>
      </c>
      <c r="H103" s="24" t="str">
        <f>IF(B103="","",VLOOKUP(B103,EQUIPOS!$B$7:$F$46,5,FALSE))</f>
        <v/>
      </c>
      <c r="I103" s="34"/>
      <c r="J103" s="24">
        <f t="shared" ref="J103:J107" si="9">IF(B103="",0,ROUND(H103/I103,0))</f>
        <v>0</v>
      </c>
    </row>
    <row r="104" spans="1:10" ht="15" customHeight="1" x14ac:dyDescent="0.25">
      <c r="A104" s="22"/>
      <c r="B104" s="760"/>
      <c r="C104" s="760"/>
      <c r="D104" s="760"/>
      <c r="E104" s="760"/>
      <c r="F104" s="760"/>
      <c r="G104" s="31" t="str">
        <f>IF(B104="","",VLOOKUP(B104,EQUIPOS!$B$7:$F$46,3,FALSE))</f>
        <v/>
      </c>
      <c r="H104" s="24" t="str">
        <f>IF(B104="","",VLOOKUP(B104,EQUIPOS!$B$7:$F$46,5,FALSE))</f>
        <v/>
      </c>
      <c r="I104" s="34"/>
      <c r="J104" s="24">
        <f t="shared" si="9"/>
        <v>0</v>
      </c>
    </row>
    <row r="105" spans="1:10" ht="15" customHeight="1" x14ac:dyDescent="0.25">
      <c r="A105" s="22"/>
      <c r="B105" s="760"/>
      <c r="C105" s="760"/>
      <c r="D105" s="760"/>
      <c r="E105" s="760"/>
      <c r="F105" s="760"/>
      <c r="G105" s="31" t="str">
        <f>IF(B105="","",VLOOKUP(B105,EQUIPOS!$B$7:$F$46,3,FALSE))</f>
        <v/>
      </c>
      <c r="H105" s="24" t="str">
        <f>IF(B105="","",VLOOKUP(B105,EQUIPOS!$B$7:$F$46,5,FALSE))</f>
        <v/>
      </c>
      <c r="I105" s="34"/>
      <c r="J105" s="24">
        <f t="shared" si="9"/>
        <v>0</v>
      </c>
    </row>
    <row r="106" spans="1:10" ht="15" customHeight="1" x14ac:dyDescent="0.25">
      <c r="A106" s="22"/>
      <c r="B106" s="760"/>
      <c r="C106" s="760"/>
      <c r="D106" s="760"/>
      <c r="E106" s="760"/>
      <c r="F106" s="760"/>
      <c r="G106" s="31" t="str">
        <f>IF(B106="","",VLOOKUP(B106,EQUIPOS!$B$7:$F$46,3,FALSE))</f>
        <v/>
      </c>
      <c r="H106" s="24" t="str">
        <f>IF(B106="","",VLOOKUP(B106,EQUIPOS!$B$7:$F$46,5,FALSE))</f>
        <v/>
      </c>
      <c r="I106" s="34"/>
      <c r="J106" s="24">
        <f t="shared" si="9"/>
        <v>0</v>
      </c>
    </row>
    <row r="107" spans="1:10" ht="15" customHeight="1" x14ac:dyDescent="0.25">
      <c r="A107" s="22"/>
      <c r="B107" s="760"/>
      <c r="C107" s="760"/>
      <c r="D107" s="760"/>
      <c r="E107" s="760"/>
      <c r="F107" s="760"/>
      <c r="G107" s="31" t="str">
        <f>IF(B107="","",VLOOKUP(B107,EQUIPOS!$B$7:$F$46,3,FALSE))</f>
        <v/>
      </c>
      <c r="H107" s="24" t="str">
        <f>IF(B107="","",VLOOKUP(B107,EQUIPOS!$B$7:$F$46,5,FALSE))</f>
        <v/>
      </c>
      <c r="I107" s="34"/>
      <c r="J107" s="24">
        <f t="shared" si="9"/>
        <v>0</v>
      </c>
    </row>
    <row r="108" spans="1:10" ht="15" customHeight="1" x14ac:dyDescent="0.25">
      <c r="A108" s="22"/>
      <c r="B108" s="760"/>
      <c r="C108" s="760"/>
      <c r="D108" s="760"/>
      <c r="E108" s="760"/>
      <c r="F108" s="760"/>
      <c r="G108" s="31" t="str">
        <f>IF(B108="","",VLOOKUP(B108,EQUIPOS!$B$7:$F$46,3,FALSE))</f>
        <v/>
      </c>
      <c r="H108" s="24" t="str">
        <f>IF(B108="","",VLOOKUP(B108,EQUIPOS!$B$7:$F$46,5,FALSE))</f>
        <v/>
      </c>
      <c r="I108" s="34"/>
      <c r="J108" s="24"/>
    </row>
    <row r="109" spans="1:10" ht="15" customHeight="1" x14ac:dyDescent="0.25">
      <c r="A109" s="22"/>
      <c r="B109" s="761" t="s">
        <v>31</v>
      </c>
      <c r="C109" s="761"/>
      <c r="D109" s="761"/>
      <c r="E109" s="761"/>
      <c r="F109" s="761"/>
      <c r="G109" s="761"/>
      <c r="H109" s="761"/>
      <c r="I109" s="761"/>
      <c r="J109" s="24">
        <f>SUM(J101:J108)</f>
        <v>29159</v>
      </c>
    </row>
    <row r="110" spans="1:10" ht="7.5" customHeight="1" x14ac:dyDescent="0.25">
      <c r="A110" s="22"/>
      <c r="B110" s="25"/>
      <c r="C110" s="25"/>
      <c r="D110" s="25"/>
      <c r="E110" s="25"/>
      <c r="F110" s="25"/>
      <c r="G110" s="25"/>
      <c r="H110" s="25"/>
      <c r="I110" s="25"/>
      <c r="J110" s="26"/>
    </row>
    <row r="111" spans="1:10" ht="15" customHeight="1" x14ac:dyDescent="0.25">
      <c r="A111" s="22"/>
      <c r="B111" s="761" t="s">
        <v>32</v>
      </c>
      <c r="C111" s="761"/>
      <c r="D111" s="761"/>
      <c r="E111" s="761"/>
      <c r="F111" s="761"/>
      <c r="G111" s="761"/>
      <c r="H111" s="761"/>
      <c r="I111" s="761"/>
      <c r="J111" s="761"/>
    </row>
    <row r="112" spans="1:10" ht="26.4" x14ac:dyDescent="0.25">
      <c r="A112" s="22"/>
      <c r="B112" s="763" t="s">
        <v>33</v>
      </c>
      <c r="C112" s="763"/>
      <c r="D112" s="763"/>
      <c r="E112" s="763"/>
      <c r="F112" s="28" t="s">
        <v>19</v>
      </c>
      <c r="G112" s="31" t="s">
        <v>34</v>
      </c>
      <c r="H112" s="32" t="s">
        <v>35</v>
      </c>
      <c r="I112" s="32" t="s">
        <v>36</v>
      </c>
      <c r="J112" s="32" t="s">
        <v>29</v>
      </c>
    </row>
    <row r="113" spans="1:11" ht="15.75" customHeight="1" x14ac:dyDescent="0.25">
      <c r="A113" s="22"/>
      <c r="B113" s="764" t="s">
        <v>161</v>
      </c>
      <c r="C113" s="764"/>
      <c r="D113" s="764"/>
      <c r="E113" s="764"/>
      <c r="F113" s="34">
        <v>0.56000000000000005</v>
      </c>
      <c r="G113" s="31" t="str">
        <f>IF(F113=0,"",VLOOKUP(B113,'LISTADO DE MATERIALES'!$B$6:$D$311,2,FALSE))</f>
        <v>m3</v>
      </c>
      <c r="H113" s="107"/>
      <c r="I113" s="24">
        <f>IF(F113=0,"",VLOOKUP(B113,'LISTADO DE MATERIALES'!$B$6:$D$311,3,FALSE))</f>
        <v>89250</v>
      </c>
      <c r="J113" s="24">
        <f>IF(I113="",0,ROUND((+F113*I113*(1+H113)),0))</f>
        <v>49980</v>
      </c>
    </row>
    <row r="114" spans="1:11" ht="15" customHeight="1" x14ac:dyDescent="0.25">
      <c r="A114" s="22"/>
      <c r="B114" s="760" t="s">
        <v>160</v>
      </c>
      <c r="C114" s="760"/>
      <c r="D114" s="760"/>
      <c r="E114" s="760"/>
      <c r="F114" s="34">
        <v>0.84</v>
      </c>
      <c r="G114" s="31" t="str">
        <f>IF(F114=0,"",VLOOKUP(B114,'LISTADO DE MATERIALES'!$B$6:$D$311,2,FALSE))</f>
        <v>m3</v>
      </c>
      <c r="H114" s="107"/>
      <c r="I114" s="24">
        <f>IF(F114=0,"",VLOOKUP(B114,'LISTADO DE MATERIALES'!$B$6:$D$311,3,FALSE))</f>
        <v>144000</v>
      </c>
      <c r="J114" s="24">
        <f t="shared" ref="J114:J118" si="10">IF(I114="",0,ROUND((+F114*I114*(1+H114)),0))</f>
        <v>120960</v>
      </c>
      <c r="K114" s="117"/>
    </row>
    <row r="115" spans="1:11" ht="15" customHeight="1" x14ac:dyDescent="0.25">
      <c r="A115" s="22"/>
      <c r="B115" s="760" t="s">
        <v>162</v>
      </c>
      <c r="C115" s="760"/>
      <c r="D115" s="760"/>
      <c r="E115" s="760"/>
      <c r="F115" s="34">
        <v>370</v>
      </c>
      <c r="G115" s="31" t="str">
        <f>IF(F115=0,"",VLOOKUP(B115,'LISTADO DE MATERIALES'!$B$6:$D$311,2,FALSE))</f>
        <v>Kg</v>
      </c>
      <c r="H115" s="107"/>
      <c r="I115" s="24">
        <f>IF(F115=0,"",VLOOKUP(B115,'LISTADO DE MATERIALES'!$B$6:$D$311,3,FALSE))</f>
        <v>977.2</v>
      </c>
      <c r="J115" s="24">
        <f t="shared" si="10"/>
        <v>361564</v>
      </c>
    </row>
    <row r="116" spans="1:11" ht="15" customHeight="1" x14ac:dyDescent="0.25">
      <c r="A116" s="22"/>
      <c r="B116" s="760"/>
      <c r="C116" s="760"/>
      <c r="D116" s="760"/>
      <c r="E116" s="760"/>
      <c r="F116" s="34"/>
      <c r="G116" s="31" t="str">
        <f>IF(F116=0,"",VLOOKUP(B116,'LISTADO DE MATERIALES'!$B$6:$D$311,2,FALSE))</f>
        <v/>
      </c>
      <c r="H116" s="107"/>
      <c r="I116" s="24" t="str">
        <f>IF(F116=0,"",VLOOKUP(B116,'LISTADO DE MATERIALES'!$B$6:$D$311,3,FALSE))</f>
        <v/>
      </c>
      <c r="J116" s="24">
        <f t="shared" si="10"/>
        <v>0</v>
      </c>
    </row>
    <row r="117" spans="1:11" ht="15" customHeight="1" x14ac:dyDescent="0.25">
      <c r="A117" s="22"/>
      <c r="B117" s="760"/>
      <c r="C117" s="760"/>
      <c r="D117" s="760"/>
      <c r="E117" s="760"/>
      <c r="F117" s="34"/>
      <c r="G117" s="31" t="str">
        <f>IF(F117=0,"",VLOOKUP(B117,'LISTADO DE MATERIALES'!$B$6:$D$311,2,FALSE))</f>
        <v/>
      </c>
      <c r="H117" s="107"/>
      <c r="I117" s="24" t="str">
        <f>IF(F117=0,"",VLOOKUP(B117,'LISTADO DE MATERIALES'!$B$6:$D$311,3,FALSE))</f>
        <v/>
      </c>
      <c r="J117" s="24">
        <f t="shared" si="10"/>
        <v>0</v>
      </c>
    </row>
    <row r="118" spans="1:11" ht="15" customHeight="1" x14ac:dyDescent="0.25">
      <c r="A118" s="22"/>
      <c r="B118" s="760"/>
      <c r="C118" s="760"/>
      <c r="D118" s="760"/>
      <c r="E118" s="760"/>
      <c r="F118" s="34"/>
      <c r="G118" s="31" t="str">
        <f>IF(F118=0,"",VLOOKUP(B118,'LISTADO DE MATERIALES'!$B$6:$D$311,2,FALSE))</f>
        <v/>
      </c>
      <c r="H118" s="107"/>
      <c r="I118" s="24" t="str">
        <f>IF(F118=0,"",VLOOKUP(B118,'LISTADO DE MATERIALES'!$B$6:$D$311,3,FALSE))</f>
        <v/>
      </c>
      <c r="J118" s="24">
        <f t="shared" si="10"/>
        <v>0</v>
      </c>
    </row>
    <row r="119" spans="1:11" ht="15" customHeight="1" x14ac:dyDescent="0.25">
      <c r="A119" s="22"/>
      <c r="B119" s="761" t="s">
        <v>37</v>
      </c>
      <c r="C119" s="761"/>
      <c r="D119" s="761"/>
      <c r="E119" s="761"/>
      <c r="F119" s="761"/>
      <c r="G119" s="761"/>
      <c r="H119" s="761"/>
      <c r="I119" s="761"/>
      <c r="J119" s="24">
        <f>SUM(J113:J118)</f>
        <v>532504</v>
      </c>
    </row>
    <row r="120" spans="1:11" ht="7.5" customHeight="1" x14ac:dyDescent="0.25">
      <c r="A120" s="22"/>
      <c r="B120" s="25"/>
      <c r="C120" s="25"/>
      <c r="D120" s="25"/>
      <c r="E120" s="25"/>
      <c r="F120" s="25"/>
      <c r="G120" s="25"/>
      <c r="H120" s="25"/>
      <c r="I120" s="25"/>
      <c r="J120" s="26"/>
    </row>
    <row r="121" spans="1:11" ht="15" customHeight="1" x14ac:dyDescent="0.25">
      <c r="A121" s="22"/>
      <c r="B121" s="761" t="s">
        <v>38</v>
      </c>
      <c r="C121" s="761"/>
      <c r="D121" s="761"/>
      <c r="E121" s="761"/>
      <c r="F121" s="761"/>
      <c r="G121" s="761"/>
      <c r="H121" s="761"/>
      <c r="I121" s="761"/>
      <c r="J121" s="761"/>
    </row>
    <row r="122" spans="1:11" ht="26.4" x14ac:dyDescent="0.25">
      <c r="A122" s="22"/>
      <c r="B122" s="763" t="s">
        <v>33</v>
      </c>
      <c r="C122" s="763"/>
      <c r="D122" s="763"/>
      <c r="E122" s="763"/>
      <c r="F122" s="763"/>
      <c r="G122" s="31" t="s">
        <v>133</v>
      </c>
      <c r="H122" s="31" t="s">
        <v>132</v>
      </c>
      <c r="I122" s="31" t="s">
        <v>39</v>
      </c>
      <c r="J122" s="32" t="s">
        <v>29</v>
      </c>
    </row>
    <row r="123" spans="1:11" ht="15" customHeight="1" x14ac:dyDescent="0.25">
      <c r="A123" s="22"/>
      <c r="B123" s="760" t="s">
        <v>262</v>
      </c>
      <c r="C123" s="760"/>
      <c r="D123" s="760"/>
      <c r="E123" s="760"/>
      <c r="F123" s="760"/>
      <c r="G123" s="34">
        <f>+SUM(F113:F114)</f>
        <v>1.4</v>
      </c>
      <c r="H123" s="34">
        <f>+TRANSPORTE!B6</f>
        <v>70</v>
      </c>
      <c r="I123" s="319">
        <f>+TRANSPORTE!C6</f>
        <v>1241.46</v>
      </c>
      <c r="J123" s="24">
        <f>ROUND((I123*H123*G123),0)</f>
        <v>121663</v>
      </c>
    </row>
    <row r="124" spans="1:11" ht="15" customHeight="1" x14ac:dyDescent="0.25">
      <c r="A124" s="22"/>
      <c r="B124" s="760"/>
      <c r="C124" s="760"/>
      <c r="D124" s="760"/>
      <c r="E124" s="760"/>
      <c r="F124" s="760"/>
      <c r="G124" s="31"/>
      <c r="H124" s="34"/>
      <c r="I124" s="24"/>
      <c r="J124" s="24">
        <v>0</v>
      </c>
    </row>
    <row r="125" spans="1:11" ht="15" customHeight="1" x14ac:dyDescent="0.25">
      <c r="A125" s="22"/>
      <c r="B125" s="760"/>
      <c r="C125" s="760"/>
      <c r="D125" s="760"/>
      <c r="E125" s="760"/>
      <c r="F125" s="760"/>
      <c r="G125" s="31"/>
      <c r="H125" s="34"/>
      <c r="I125" s="24"/>
      <c r="J125" s="24">
        <v>0</v>
      </c>
    </row>
    <row r="126" spans="1:11" ht="15" customHeight="1" x14ac:dyDescent="0.25">
      <c r="A126" s="22"/>
      <c r="B126" s="760"/>
      <c r="C126" s="760"/>
      <c r="D126" s="760"/>
      <c r="E126" s="760"/>
      <c r="F126" s="760"/>
      <c r="G126" s="31"/>
      <c r="H126" s="31"/>
      <c r="I126" s="24"/>
      <c r="J126" s="24">
        <v>0</v>
      </c>
    </row>
    <row r="127" spans="1:11" ht="15" customHeight="1" x14ac:dyDescent="0.25">
      <c r="A127" s="22"/>
      <c r="B127" s="761" t="s">
        <v>40</v>
      </c>
      <c r="C127" s="761"/>
      <c r="D127" s="761"/>
      <c r="E127" s="761"/>
      <c r="F127" s="761"/>
      <c r="G127" s="761"/>
      <c r="H127" s="761"/>
      <c r="I127" s="761"/>
      <c r="J127" s="24">
        <f>SUM(J123:J126)</f>
        <v>121663</v>
      </c>
    </row>
    <row r="128" spans="1:11" ht="7.5" customHeight="1" x14ac:dyDescent="0.25">
      <c r="A128" s="22"/>
      <c r="B128" s="25"/>
      <c r="C128" s="25"/>
      <c r="D128" s="25"/>
      <c r="E128" s="25"/>
      <c r="F128" s="25"/>
      <c r="G128" s="25"/>
      <c r="H128" s="25"/>
      <c r="I128" s="25"/>
      <c r="J128" s="26"/>
    </row>
    <row r="129" spans="1:14" ht="15" customHeight="1" x14ac:dyDescent="0.25">
      <c r="A129" s="22"/>
      <c r="B129" s="761" t="s">
        <v>41</v>
      </c>
      <c r="C129" s="761"/>
      <c r="D129" s="761"/>
      <c r="E129" s="761"/>
      <c r="F129" s="761"/>
      <c r="G129" s="761"/>
      <c r="H129" s="761"/>
      <c r="I129" s="761"/>
      <c r="J129" s="761"/>
      <c r="L129" s="768" t="s">
        <v>564</v>
      </c>
      <c r="M129" s="768"/>
    </row>
    <row r="130" spans="1:14" ht="26.4" x14ac:dyDescent="0.25">
      <c r="A130" s="22"/>
      <c r="B130" s="763" t="s">
        <v>4</v>
      </c>
      <c r="C130" s="763"/>
      <c r="D130" s="763"/>
      <c r="E130" s="763"/>
      <c r="F130" s="763"/>
      <c r="G130" s="32" t="s">
        <v>51</v>
      </c>
      <c r="H130" s="32" t="s">
        <v>19</v>
      </c>
      <c r="I130" s="32" t="s">
        <v>28</v>
      </c>
      <c r="J130" s="32" t="s">
        <v>29</v>
      </c>
      <c r="L130" s="277" t="s">
        <v>568</v>
      </c>
      <c r="M130" s="277">
        <v>2</v>
      </c>
    </row>
    <row r="131" spans="1:14" ht="15" customHeight="1" x14ac:dyDescent="0.25">
      <c r="A131" s="22"/>
      <c r="B131" s="760" t="s">
        <v>68</v>
      </c>
      <c r="C131" s="760"/>
      <c r="D131" s="760"/>
      <c r="E131" s="760"/>
      <c r="F131" s="760"/>
      <c r="G131" s="24">
        <f>IF(B131="","",VLOOKUP(B131,CUADRILLAS!$B$87:$C$101,2,FALSE))</f>
        <v>235820.59999999998</v>
      </c>
      <c r="H131" s="31">
        <v>1</v>
      </c>
      <c r="I131" s="34">
        <v>6</v>
      </c>
      <c r="J131" s="24">
        <f>ROUND(+IF(I131=0,0,G131*H131/I131),0)</f>
        <v>39303</v>
      </c>
      <c r="L131" s="277" t="s">
        <v>569</v>
      </c>
      <c r="M131" s="277">
        <v>2</v>
      </c>
    </row>
    <row r="132" spans="1:14" ht="15" customHeight="1" x14ac:dyDescent="0.25">
      <c r="A132" s="22"/>
      <c r="B132" s="760" t="s">
        <v>120</v>
      </c>
      <c r="C132" s="760"/>
      <c r="D132" s="760"/>
      <c r="E132" s="760"/>
      <c r="F132" s="760"/>
      <c r="G132" s="24">
        <f>IF(B132="","",VLOOKUP(B132,CUADRILLAS!$B$87:$C$101,2,FALSE))</f>
        <v>157213.73333333334</v>
      </c>
      <c r="H132" s="31">
        <v>1</v>
      </c>
      <c r="I132" s="34">
        <f>+I131</f>
        <v>6</v>
      </c>
      <c r="J132" s="24">
        <f>ROUND(+IF(I132=0,0,G132*H132/I132),0)</f>
        <v>26202</v>
      </c>
      <c r="L132" s="277" t="s">
        <v>570</v>
      </c>
      <c r="M132" s="277">
        <v>2</v>
      </c>
    </row>
    <row r="133" spans="1:14" ht="15" customHeight="1" x14ac:dyDescent="0.25">
      <c r="A133" s="22"/>
      <c r="B133" s="760" t="s">
        <v>121</v>
      </c>
      <c r="C133" s="760"/>
      <c r="D133" s="760"/>
      <c r="E133" s="760"/>
      <c r="F133" s="760"/>
      <c r="G133" s="24">
        <f>IF(B133="","",VLOOKUP(B133,CUADRILLAS!$B$87:$C$101,2,FALSE))</f>
        <v>78606.866666666669</v>
      </c>
      <c r="H133" s="31">
        <f>+SUM(M130:M133)</f>
        <v>10</v>
      </c>
      <c r="I133" s="34">
        <f>+I132</f>
        <v>6</v>
      </c>
      <c r="J133" s="24">
        <f>ROUND(+IF(I133=0,0,G133*H133/I133),0)</f>
        <v>131011</v>
      </c>
      <c r="L133" s="277" t="s">
        <v>571</v>
      </c>
      <c r="M133" s="277">
        <v>4</v>
      </c>
      <c r="N133" s="20" t="s">
        <v>581</v>
      </c>
    </row>
    <row r="134" spans="1:14" ht="15" customHeight="1" x14ac:dyDescent="0.25">
      <c r="A134" s="22"/>
      <c r="B134" s="760"/>
      <c r="C134" s="760"/>
      <c r="D134" s="760"/>
      <c r="E134" s="760"/>
      <c r="F134" s="760"/>
      <c r="G134" s="24" t="str">
        <f>IF(B134="","",VLOOKUP(B134,CUADRILLAS!$B$87:$C$101,2,FALSE))</f>
        <v/>
      </c>
      <c r="H134" s="31"/>
      <c r="I134" s="34"/>
      <c r="J134" s="24">
        <f t="shared" ref="J134" si="11">+IF(I134=0,0,G134*H134/I134)</f>
        <v>0</v>
      </c>
      <c r="L134" s="277" t="s">
        <v>147</v>
      </c>
      <c r="M134" s="277">
        <v>1</v>
      </c>
    </row>
    <row r="135" spans="1:14" ht="15" customHeight="1" x14ac:dyDescent="0.25">
      <c r="A135" s="22"/>
      <c r="B135" s="761" t="s">
        <v>42</v>
      </c>
      <c r="C135" s="761"/>
      <c r="D135" s="761"/>
      <c r="E135" s="761"/>
      <c r="F135" s="761"/>
      <c r="G135" s="761"/>
      <c r="H135" s="761"/>
      <c r="I135" s="761"/>
      <c r="J135" s="24">
        <f>SUM(J131:J134)</f>
        <v>196516</v>
      </c>
      <c r="L135" s="277" t="s">
        <v>572</v>
      </c>
      <c r="M135" s="277">
        <v>1</v>
      </c>
    </row>
    <row r="136" spans="1:14" ht="7.5" customHeight="1" x14ac:dyDescent="0.25">
      <c r="A136" s="22"/>
      <c r="B136" s="25"/>
      <c r="C136" s="25"/>
      <c r="D136" s="25"/>
      <c r="E136" s="25"/>
      <c r="F136" s="25"/>
      <c r="G136" s="25"/>
      <c r="H136" s="25"/>
      <c r="I136" s="25"/>
      <c r="J136" s="26"/>
    </row>
    <row r="137" spans="1:14" ht="15.75" customHeight="1" x14ac:dyDescent="0.25">
      <c r="A137" s="27"/>
      <c r="B137" s="762" t="s">
        <v>43</v>
      </c>
      <c r="C137" s="762"/>
      <c r="D137" s="762"/>
      <c r="E137" s="762"/>
      <c r="F137" s="762"/>
      <c r="G137" s="762"/>
      <c r="H137" s="762"/>
      <c r="I137" s="762"/>
      <c r="J137" s="106">
        <f>+J135+J127+J109+J119</f>
        <v>879842</v>
      </c>
      <c r="L137" s="277" t="s">
        <v>565</v>
      </c>
      <c r="M137" s="277">
        <f>+SUM(M130:M135)</f>
        <v>12</v>
      </c>
    </row>
    <row r="138" spans="1:14" x14ac:dyDescent="0.25">
      <c r="B138" s="21"/>
      <c r="C138" s="21"/>
      <c r="D138" s="21"/>
      <c r="E138" s="21"/>
      <c r="F138" s="21"/>
      <c r="G138" s="21"/>
      <c r="H138" s="21"/>
      <c r="I138" s="21"/>
      <c r="J138" s="21"/>
    </row>
    <row r="139" spans="1:14" x14ac:dyDescent="0.25">
      <c r="A139" s="765"/>
      <c r="B139" s="765"/>
      <c r="C139" s="765"/>
      <c r="D139" s="766" t="str">
        <f>'PPTO HOJA'!A4</f>
        <v>DEPARTAMENTO DE ANTIOQUIA</v>
      </c>
      <c r="E139" s="766"/>
      <c r="F139" s="766"/>
      <c r="G139" s="766"/>
      <c r="H139" s="766"/>
      <c r="I139" s="766"/>
      <c r="J139" s="766"/>
    </row>
    <row r="140" spans="1:14" x14ac:dyDescent="0.25">
      <c r="A140" s="765"/>
      <c r="B140" s="765"/>
      <c r="C140" s="765"/>
      <c r="D140" s="766" t="str">
        <f>'PPTO HOJA'!A5</f>
        <v>MUNICIPIO DE ARBOLETES</v>
      </c>
      <c r="E140" s="766"/>
      <c r="F140" s="766"/>
      <c r="G140" s="766"/>
      <c r="H140" s="766"/>
      <c r="I140" s="766"/>
      <c r="J140" s="766"/>
    </row>
    <row r="141" spans="1:14" ht="46.5" customHeight="1" x14ac:dyDescent="0.25">
      <c r="A141" s="765"/>
      <c r="B141" s="765"/>
      <c r="C141" s="765"/>
      <c r="D141"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E141" s="767"/>
      <c r="F141" s="767"/>
      <c r="G141" s="767"/>
      <c r="H141" s="767"/>
      <c r="I141" s="767"/>
      <c r="J141" s="767"/>
    </row>
    <row r="142" spans="1:14" x14ac:dyDescent="0.25">
      <c r="A142" s="765"/>
      <c r="B142" s="765"/>
      <c r="C142" s="765"/>
      <c r="D142" s="766" t="s">
        <v>20</v>
      </c>
      <c r="E142" s="766"/>
      <c r="F142" s="766"/>
      <c r="G142" s="766"/>
      <c r="H142" s="766"/>
      <c r="I142" s="766"/>
      <c r="J142" s="766"/>
    </row>
    <row r="143" spans="1:14" ht="9.75" customHeight="1" x14ac:dyDescent="0.25">
      <c r="A143" s="22"/>
      <c r="J143" s="23"/>
    </row>
    <row r="144" spans="1:14" s="21" customFormat="1" ht="33" customHeight="1" x14ac:dyDescent="0.3">
      <c r="A144" s="30" t="s">
        <v>21</v>
      </c>
      <c r="B144" s="29" t="s">
        <v>22</v>
      </c>
      <c r="C144" s="116"/>
      <c r="D144" s="28"/>
      <c r="E144" s="764" t="s">
        <v>507</v>
      </c>
      <c r="F144" s="764"/>
      <c r="G144" s="764"/>
      <c r="H144" s="764"/>
      <c r="I144" s="30" t="s">
        <v>23</v>
      </c>
      <c r="J144" s="31" t="str">
        <f>+'PPTO HOJA'!C65</f>
        <v>m2</v>
      </c>
    </row>
    <row r="145" spans="1:10" ht="15" customHeight="1" x14ac:dyDescent="0.25">
      <c r="A145" s="22"/>
      <c r="B145" s="761" t="s">
        <v>24</v>
      </c>
      <c r="C145" s="761"/>
      <c r="D145" s="761"/>
      <c r="E145" s="761"/>
      <c r="F145" s="761"/>
      <c r="G145" s="761"/>
      <c r="H145" s="761"/>
      <c r="I145" s="761"/>
      <c r="J145" s="761"/>
    </row>
    <row r="146" spans="1:10" ht="26.4" x14ac:dyDescent="0.25">
      <c r="A146" s="22"/>
      <c r="B146" s="763" t="s">
        <v>25</v>
      </c>
      <c r="C146" s="763"/>
      <c r="D146" s="763"/>
      <c r="E146" s="763"/>
      <c r="F146" s="763"/>
      <c r="G146" s="31" t="s">
        <v>26</v>
      </c>
      <c r="H146" s="31" t="s">
        <v>27</v>
      </c>
      <c r="I146" s="31" t="s">
        <v>28</v>
      </c>
      <c r="J146" s="32" t="s">
        <v>29</v>
      </c>
    </row>
    <row r="147" spans="1:10" ht="15" customHeight="1" x14ac:dyDescent="0.25">
      <c r="A147" s="22"/>
      <c r="B147" s="760" t="s">
        <v>30</v>
      </c>
      <c r="C147" s="760"/>
      <c r="D147" s="760"/>
      <c r="E147" s="760"/>
      <c r="F147" s="760"/>
      <c r="G147" s="31"/>
      <c r="H147" s="24"/>
      <c r="I147" s="33">
        <v>0.05</v>
      </c>
      <c r="J147" s="24">
        <f>ROUND(I147*J179,0)</f>
        <v>557</v>
      </c>
    </row>
    <row r="148" spans="1:10" ht="15" customHeight="1" x14ac:dyDescent="0.25">
      <c r="A148" s="22"/>
      <c r="B148" s="794" t="s">
        <v>260</v>
      </c>
      <c r="C148" s="795"/>
      <c r="D148" s="795"/>
      <c r="E148" s="795"/>
      <c r="F148" s="796"/>
      <c r="G148" s="31" t="str">
        <f>IF(B148="","",VLOOKUP(B148,EQUIPOS!$B$7:$F$46,3,FALSE))</f>
        <v>GASOLINA</v>
      </c>
      <c r="H148" s="24">
        <f>IF(B148="","",VLOOKUP(B148,EQUIPOS!$B$7:$F$46,5,FALSE))</f>
        <v>116000</v>
      </c>
      <c r="I148" s="34">
        <f>+I175</f>
        <v>120</v>
      </c>
      <c r="J148" s="24">
        <f>IF(B148="",0,ROUND(H148/I148,0))</f>
        <v>967</v>
      </c>
    </row>
    <row r="149" spans="1:10" ht="15" customHeight="1" x14ac:dyDescent="0.25">
      <c r="A149" s="22"/>
      <c r="B149" s="760"/>
      <c r="C149" s="760"/>
      <c r="D149" s="760"/>
      <c r="E149" s="760"/>
      <c r="F149" s="760"/>
      <c r="G149" s="31" t="s">
        <v>501</v>
      </c>
      <c r="H149" s="24" t="s">
        <v>501</v>
      </c>
      <c r="I149" s="34"/>
      <c r="J149" s="24">
        <f t="shared" ref="J149:J151" si="12">IF(B149="",0,ROUND(H149/I149,0))</f>
        <v>0</v>
      </c>
    </row>
    <row r="150" spans="1:10" ht="15" customHeight="1" x14ac:dyDescent="0.25">
      <c r="A150" s="22"/>
      <c r="B150" s="760"/>
      <c r="C150" s="760"/>
      <c r="D150" s="760"/>
      <c r="E150" s="760"/>
      <c r="F150" s="760"/>
      <c r="G150" s="31" t="s">
        <v>501</v>
      </c>
      <c r="H150" s="24" t="s">
        <v>501</v>
      </c>
      <c r="I150" s="34"/>
      <c r="J150" s="24">
        <f t="shared" si="12"/>
        <v>0</v>
      </c>
    </row>
    <row r="151" spans="1:10" ht="15" customHeight="1" x14ac:dyDescent="0.25">
      <c r="A151" s="22"/>
      <c r="B151" s="760"/>
      <c r="C151" s="760"/>
      <c r="D151" s="760"/>
      <c r="E151" s="760"/>
      <c r="F151" s="760"/>
      <c r="G151" s="31" t="s">
        <v>501</v>
      </c>
      <c r="H151" s="24" t="s">
        <v>501</v>
      </c>
      <c r="I151" s="34"/>
      <c r="J151" s="24">
        <f t="shared" si="12"/>
        <v>0</v>
      </c>
    </row>
    <row r="152" spans="1:10" ht="15" customHeight="1" x14ac:dyDescent="0.25">
      <c r="A152" s="22"/>
      <c r="B152" s="760"/>
      <c r="C152" s="760"/>
      <c r="D152" s="760"/>
      <c r="E152" s="760"/>
      <c r="F152" s="760"/>
      <c r="G152" s="31" t="s">
        <v>501</v>
      </c>
      <c r="H152" s="24" t="s">
        <v>501</v>
      </c>
      <c r="I152" s="34"/>
      <c r="J152" s="24"/>
    </row>
    <row r="153" spans="1:10" ht="15" customHeight="1" x14ac:dyDescent="0.25">
      <c r="A153" s="22"/>
      <c r="B153" s="761" t="s">
        <v>31</v>
      </c>
      <c r="C153" s="761"/>
      <c r="D153" s="761"/>
      <c r="E153" s="761"/>
      <c r="F153" s="761"/>
      <c r="G153" s="761"/>
      <c r="H153" s="761"/>
      <c r="I153" s="761"/>
      <c r="J153" s="24">
        <f>SUM(J147:J152)</f>
        <v>1524</v>
      </c>
    </row>
    <row r="154" spans="1:10" ht="7.5" customHeight="1" x14ac:dyDescent="0.25">
      <c r="A154" s="22"/>
      <c r="B154" s="25"/>
      <c r="C154" s="25"/>
      <c r="D154" s="25"/>
      <c r="E154" s="25"/>
      <c r="F154" s="25"/>
      <c r="G154" s="25"/>
      <c r="H154" s="25"/>
      <c r="I154" s="25"/>
      <c r="J154" s="26"/>
    </row>
    <row r="155" spans="1:10" ht="15" customHeight="1" x14ac:dyDescent="0.25">
      <c r="A155" s="22"/>
      <c r="B155" s="761" t="s">
        <v>32</v>
      </c>
      <c r="C155" s="761"/>
      <c r="D155" s="761"/>
      <c r="E155" s="761"/>
      <c r="F155" s="761"/>
      <c r="G155" s="761"/>
      <c r="H155" s="761"/>
      <c r="I155" s="761"/>
      <c r="J155" s="761"/>
    </row>
    <row r="156" spans="1:10" ht="26.4" x14ac:dyDescent="0.25">
      <c r="A156" s="22"/>
      <c r="B156" s="763" t="s">
        <v>33</v>
      </c>
      <c r="C156" s="763"/>
      <c r="D156" s="763"/>
      <c r="E156" s="763"/>
      <c r="F156" s="28" t="s">
        <v>19</v>
      </c>
      <c r="G156" s="31" t="s">
        <v>34</v>
      </c>
      <c r="H156" s="32" t="s">
        <v>35</v>
      </c>
      <c r="I156" s="32" t="s">
        <v>36</v>
      </c>
      <c r="J156" s="32" t="s">
        <v>29</v>
      </c>
    </row>
    <row r="157" spans="1:10" ht="14.25" customHeight="1" x14ac:dyDescent="0.25">
      <c r="A157" s="22"/>
      <c r="B157" s="760" t="s">
        <v>161</v>
      </c>
      <c r="C157" s="760"/>
      <c r="D157" s="760"/>
      <c r="E157" s="760"/>
      <c r="F157" s="34">
        <v>0.04</v>
      </c>
      <c r="G157" s="31" t="str">
        <f>IF(F157=0,"",VLOOKUP(B157,'LISTADO DE MATERIALES'!$B$6:$D$311,2,FALSE))</f>
        <v>m3</v>
      </c>
      <c r="H157" s="107"/>
      <c r="I157" s="24">
        <f>IF(F157=0,"",VLOOKUP(B157,'LISTADO DE MATERIALES'!$B$6:$D$311,3,FALSE))</f>
        <v>89250</v>
      </c>
      <c r="J157" s="24">
        <f>IF(I157="",0,ROUND((+F157*I157*(1+H157)),0))</f>
        <v>3570</v>
      </c>
    </row>
    <row r="158" spans="1:10" ht="15" customHeight="1" x14ac:dyDescent="0.25">
      <c r="A158" s="22"/>
      <c r="B158" s="760" t="s">
        <v>160</v>
      </c>
      <c r="C158" s="760"/>
      <c r="D158" s="760"/>
      <c r="E158" s="760"/>
      <c r="F158" s="34">
        <v>0.03</v>
      </c>
      <c r="G158" s="31" t="str">
        <f>IF(F158=0,"",VLOOKUP(B158,'LISTADO DE MATERIALES'!$B$6:$D$311,2,FALSE))</f>
        <v>m3</v>
      </c>
      <c r="H158" s="107"/>
      <c r="I158" s="24">
        <f>IF(F158=0,"",VLOOKUP(B158,'LISTADO DE MATERIALES'!$B$6:$D$311,3,FALSE))</f>
        <v>144000</v>
      </c>
      <c r="J158" s="24">
        <f t="shared" ref="J158:J162" si="13">IF(I158="",0,ROUND((+F158*I158*(1+H158)),0))</f>
        <v>4320</v>
      </c>
    </row>
    <row r="159" spans="1:10" ht="15" customHeight="1" x14ac:dyDescent="0.25">
      <c r="A159" s="22"/>
      <c r="B159" s="760" t="s">
        <v>162</v>
      </c>
      <c r="C159" s="760"/>
      <c r="D159" s="760"/>
      <c r="E159" s="760"/>
      <c r="F159" s="34">
        <v>15</v>
      </c>
      <c r="G159" s="31" t="str">
        <f>IF(F159=0,"",VLOOKUP(B159,'LISTADO DE MATERIALES'!$B$6:$D$311,2,FALSE))</f>
        <v>Kg</v>
      </c>
      <c r="H159" s="107"/>
      <c r="I159" s="24">
        <f>IF(F159=0,"",VLOOKUP(B159,'LISTADO DE MATERIALES'!$B$6:$D$311,3,FALSE))</f>
        <v>977.2</v>
      </c>
      <c r="J159" s="24">
        <f t="shared" si="13"/>
        <v>14658</v>
      </c>
    </row>
    <row r="160" spans="1:10" ht="15" customHeight="1" x14ac:dyDescent="0.25">
      <c r="A160" s="22"/>
      <c r="B160" s="760"/>
      <c r="C160" s="760"/>
      <c r="D160" s="760"/>
      <c r="E160" s="760"/>
      <c r="F160" s="34"/>
      <c r="G160" s="31" t="str">
        <f>IF(F160=0,"",VLOOKUP(B160,'LISTADO DE MATERIALES'!$B$6:$D$311,2,FALSE))</f>
        <v/>
      </c>
      <c r="H160" s="107"/>
      <c r="I160" s="24" t="str">
        <f>IF(F160=0,"",VLOOKUP(B160,'LISTADO DE MATERIALES'!$B$6:$D$311,3,FALSE))</f>
        <v/>
      </c>
      <c r="J160" s="24">
        <f t="shared" si="13"/>
        <v>0</v>
      </c>
    </row>
    <row r="161" spans="1:10" ht="15" customHeight="1" x14ac:dyDescent="0.25">
      <c r="A161" s="22"/>
      <c r="B161" s="760"/>
      <c r="C161" s="760"/>
      <c r="D161" s="760"/>
      <c r="E161" s="760"/>
      <c r="F161" s="34"/>
      <c r="G161" s="31" t="s">
        <v>501</v>
      </c>
      <c r="H161" s="107"/>
      <c r="I161" s="24" t="s">
        <v>501</v>
      </c>
      <c r="J161" s="24">
        <f t="shared" si="13"/>
        <v>0</v>
      </c>
    </row>
    <row r="162" spans="1:10" ht="15" customHeight="1" x14ac:dyDescent="0.25">
      <c r="A162" s="22"/>
      <c r="B162" s="760"/>
      <c r="C162" s="760"/>
      <c r="D162" s="760"/>
      <c r="E162" s="760"/>
      <c r="F162" s="34"/>
      <c r="G162" s="31" t="s">
        <v>501</v>
      </c>
      <c r="H162" s="107"/>
      <c r="I162" s="24" t="s">
        <v>501</v>
      </c>
      <c r="J162" s="24">
        <f t="shared" si="13"/>
        <v>0</v>
      </c>
    </row>
    <row r="163" spans="1:10" ht="15" customHeight="1" x14ac:dyDescent="0.25">
      <c r="A163" s="22"/>
      <c r="B163" s="761" t="s">
        <v>37</v>
      </c>
      <c r="C163" s="761"/>
      <c r="D163" s="761"/>
      <c r="E163" s="761"/>
      <c r="F163" s="761"/>
      <c r="G163" s="761"/>
      <c r="H163" s="761"/>
      <c r="I163" s="761"/>
      <c r="J163" s="24">
        <f>SUM(J157:J162)</f>
        <v>22548</v>
      </c>
    </row>
    <row r="164" spans="1:10" ht="7.5" customHeight="1" x14ac:dyDescent="0.25">
      <c r="A164" s="22"/>
      <c r="B164" s="25"/>
      <c r="C164" s="25"/>
      <c r="D164" s="25"/>
      <c r="E164" s="25"/>
      <c r="F164" s="25"/>
      <c r="G164" s="25"/>
      <c r="H164" s="25"/>
      <c r="I164" s="25"/>
      <c r="J164" s="26"/>
    </row>
    <row r="165" spans="1:10" ht="15" customHeight="1" x14ac:dyDescent="0.25">
      <c r="A165" s="22"/>
      <c r="B165" s="761" t="s">
        <v>38</v>
      </c>
      <c r="C165" s="761"/>
      <c r="D165" s="761"/>
      <c r="E165" s="761"/>
      <c r="F165" s="761"/>
      <c r="G165" s="761"/>
      <c r="H165" s="761"/>
      <c r="I165" s="761"/>
      <c r="J165" s="761"/>
    </row>
    <row r="166" spans="1:10" ht="26.4" x14ac:dyDescent="0.25">
      <c r="A166" s="22"/>
      <c r="B166" s="763" t="s">
        <v>33</v>
      </c>
      <c r="C166" s="763"/>
      <c r="D166" s="763"/>
      <c r="E166" s="763"/>
      <c r="F166" s="763"/>
      <c r="G166" s="31" t="s">
        <v>133</v>
      </c>
      <c r="H166" s="31" t="s">
        <v>132</v>
      </c>
      <c r="I166" s="31" t="s">
        <v>39</v>
      </c>
      <c r="J166" s="32" t="s">
        <v>29</v>
      </c>
    </row>
    <row r="167" spans="1:10" ht="15" customHeight="1" x14ac:dyDescent="0.25">
      <c r="A167" s="22"/>
      <c r="B167" s="760" t="s">
        <v>262</v>
      </c>
      <c r="C167" s="760"/>
      <c r="D167" s="760"/>
      <c r="E167" s="760"/>
      <c r="F167" s="760"/>
      <c r="G167" s="34">
        <f>SUM(F157:F158)</f>
        <v>7.0000000000000007E-2</v>
      </c>
      <c r="H167" s="34">
        <f>+TRANSPORTE!B6</f>
        <v>70</v>
      </c>
      <c r="I167" s="319">
        <f>+TRANSPORTE!C6</f>
        <v>1241.46</v>
      </c>
      <c r="J167" s="24">
        <f>ROUND((I167*H167*G167),0)</f>
        <v>6083</v>
      </c>
    </row>
    <row r="168" spans="1:10" ht="15" customHeight="1" x14ac:dyDescent="0.25">
      <c r="A168" s="22"/>
      <c r="B168" s="760"/>
      <c r="C168" s="760"/>
      <c r="D168" s="760"/>
      <c r="E168" s="760"/>
      <c r="F168" s="760"/>
      <c r="G168" s="31"/>
      <c r="H168" s="34"/>
      <c r="I168" s="24"/>
      <c r="J168" s="24">
        <v>0</v>
      </c>
    </row>
    <row r="169" spans="1:10" ht="15" customHeight="1" x14ac:dyDescent="0.25">
      <c r="A169" s="22"/>
      <c r="B169" s="760"/>
      <c r="C169" s="760"/>
      <c r="D169" s="760"/>
      <c r="E169" s="760"/>
      <c r="F169" s="760"/>
      <c r="G169" s="31"/>
      <c r="H169" s="34"/>
      <c r="I169" s="24"/>
      <c r="J169" s="24">
        <v>0</v>
      </c>
    </row>
    <row r="170" spans="1:10" ht="15" customHeight="1" x14ac:dyDescent="0.25">
      <c r="A170" s="22"/>
      <c r="B170" s="760"/>
      <c r="C170" s="760"/>
      <c r="D170" s="760"/>
      <c r="E170" s="760"/>
      <c r="F170" s="760"/>
      <c r="G170" s="31"/>
      <c r="H170" s="31"/>
      <c r="I170" s="24"/>
      <c r="J170" s="24">
        <v>0</v>
      </c>
    </row>
    <row r="171" spans="1:10" ht="15" customHeight="1" x14ac:dyDescent="0.25">
      <c r="A171" s="22"/>
      <c r="B171" s="761" t="s">
        <v>40</v>
      </c>
      <c r="C171" s="761"/>
      <c r="D171" s="761"/>
      <c r="E171" s="761"/>
      <c r="F171" s="761"/>
      <c r="G171" s="761"/>
      <c r="H171" s="761"/>
      <c r="I171" s="761"/>
      <c r="J171" s="24">
        <f>SUM(J167:J170)</f>
        <v>6083</v>
      </c>
    </row>
    <row r="172" spans="1:10" ht="7.5" customHeight="1" x14ac:dyDescent="0.25">
      <c r="A172" s="22"/>
      <c r="B172" s="25"/>
      <c r="C172" s="25"/>
      <c r="D172" s="25"/>
      <c r="E172" s="25"/>
      <c r="F172" s="25"/>
      <c r="G172" s="25"/>
      <c r="H172" s="25"/>
      <c r="I172" s="25"/>
      <c r="J172" s="26"/>
    </row>
    <row r="173" spans="1:10" ht="15" customHeight="1" x14ac:dyDescent="0.25">
      <c r="A173" s="22"/>
      <c r="B173" s="761" t="s">
        <v>41</v>
      </c>
      <c r="C173" s="761"/>
      <c r="D173" s="761"/>
      <c r="E173" s="761"/>
      <c r="F173" s="761"/>
      <c r="G173" s="761"/>
      <c r="H173" s="761"/>
      <c r="I173" s="761"/>
      <c r="J173" s="761"/>
    </row>
    <row r="174" spans="1:10" ht="26.4" x14ac:dyDescent="0.25">
      <c r="A174" s="22"/>
      <c r="B174" s="763" t="s">
        <v>4</v>
      </c>
      <c r="C174" s="763"/>
      <c r="D174" s="763"/>
      <c r="E174" s="763"/>
      <c r="F174" s="763"/>
      <c r="G174" s="32" t="s">
        <v>51</v>
      </c>
      <c r="H174" s="32" t="s">
        <v>19</v>
      </c>
      <c r="I174" s="32" t="s">
        <v>28</v>
      </c>
      <c r="J174" s="32" t="s">
        <v>29</v>
      </c>
    </row>
    <row r="175" spans="1:10" ht="15" customHeight="1" x14ac:dyDescent="0.25">
      <c r="A175" s="22"/>
      <c r="B175" s="760" t="s">
        <v>68</v>
      </c>
      <c r="C175" s="760"/>
      <c r="D175" s="760"/>
      <c r="E175" s="760"/>
      <c r="F175" s="760"/>
      <c r="G175" s="24">
        <f>IF(B175="","",VLOOKUP(B175,CUADRILLAS!$B$87:$C$101,2,FALSE))</f>
        <v>235820.59999999998</v>
      </c>
      <c r="H175" s="31">
        <v>1</v>
      </c>
      <c r="I175" s="34">
        <v>120</v>
      </c>
      <c r="J175" s="24">
        <f>ROUND(+IF(I175=0,0,G175*H175/I175),0)</f>
        <v>1965</v>
      </c>
    </row>
    <row r="176" spans="1:10" ht="15" customHeight="1" x14ac:dyDescent="0.25">
      <c r="A176" s="22"/>
      <c r="B176" s="760" t="s">
        <v>120</v>
      </c>
      <c r="C176" s="760"/>
      <c r="D176" s="760"/>
      <c r="E176" s="760"/>
      <c r="F176" s="760"/>
      <c r="G176" s="24">
        <f>IF(B176="","",VLOOKUP(B176,CUADRILLAS!$B$87:$C$101,2,FALSE))</f>
        <v>157213.73333333334</v>
      </c>
      <c r="H176" s="31">
        <v>1</v>
      </c>
      <c r="I176" s="34">
        <f>I175</f>
        <v>120</v>
      </c>
      <c r="J176" s="24">
        <f>ROUND(+IF(I176=0,0,G176*H176/I176),0)</f>
        <v>1310</v>
      </c>
    </row>
    <row r="177" spans="1:11" ht="15" customHeight="1" x14ac:dyDescent="0.25">
      <c r="A177" s="22"/>
      <c r="B177" s="760" t="s">
        <v>121</v>
      </c>
      <c r="C177" s="760"/>
      <c r="D177" s="760"/>
      <c r="E177" s="760"/>
      <c r="F177" s="760"/>
      <c r="G177" s="24">
        <f>IF(B177="","",VLOOKUP(B177,CUADRILLAS!$B$87:$C$101,2,FALSE))</f>
        <v>78606.866666666669</v>
      </c>
      <c r="H177" s="31">
        <f>1+2+1+3+4+1</f>
        <v>12</v>
      </c>
      <c r="I177" s="34">
        <f>I176</f>
        <v>120</v>
      </c>
      <c r="J177" s="24">
        <f>ROUND(+IF(I177=0,0,G177*H177/I177),0)</f>
        <v>7861</v>
      </c>
    </row>
    <row r="178" spans="1:11" ht="15" customHeight="1" x14ac:dyDescent="0.25">
      <c r="A178" s="22"/>
      <c r="B178" s="760"/>
      <c r="C178" s="760"/>
      <c r="D178" s="760"/>
      <c r="E178" s="760"/>
      <c r="F178" s="760"/>
      <c r="G178" s="24" t="s">
        <v>501</v>
      </c>
      <c r="H178" s="31"/>
      <c r="I178" s="34"/>
      <c r="J178" s="24">
        <f t="shared" ref="J178" si="14">+IF(I178=0,0,G178*H178/I178)</f>
        <v>0</v>
      </c>
    </row>
    <row r="179" spans="1:11" ht="15" customHeight="1" x14ac:dyDescent="0.25">
      <c r="A179" s="22"/>
      <c r="B179" s="761" t="s">
        <v>42</v>
      </c>
      <c r="C179" s="761"/>
      <c r="D179" s="761"/>
      <c r="E179" s="761"/>
      <c r="F179" s="761"/>
      <c r="G179" s="761"/>
      <c r="H179" s="761"/>
      <c r="I179" s="761"/>
      <c r="J179" s="24">
        <f>SUM(J175:J178)</f>
        <v>11136</v>
      </c>
    </row>
    <row r="180" spans="1:11" ht="7.5" customHeight="1" x14ac:dyDescent="0.25">
      <c r="A180" s="22"/>
      <c r="B180" s="25"/>
      <c r="C180" s="25"/>
      <c r="D180" s="25"/>
      <c r="E180" s="25"/>
      <c r="F180" s="25"/>
      <c r="G180" s="25"/>
      <c r="H180" s="25"/>
      <c r="I180" s="25"/>
      <c r="J180" s="26"/>
    </row>
    <row r="181" spans="1:11" ht="15.75" customHeight="1" x14ac:dyDescent="0.25">
      <c r="A181" s="27"/>
      <c r="B181" s="762" t="s">
        <v>43</v>
      </c>
      <c r="C181" s="762"/>
      <c r="D181" s="762"/>
      <c r="E181" s="762"/>
      <c r="F181" s="762"/>
      <c r="G181" s="762"/>
      <c r="H181" s="762"/>
      <c r="I181" s="762"/>
      <c r="J181" s="106">
        <f>+J179+J171+J153+J163</f>
        <v>41291</v>
      </c>
      <c r="K181" s="163"/>
    </row>
    <row r="183" spans="1:11" x14ac:dyDescent="0.25">
      <c r="A183" s="765"/>
      <c r="B183" s="765"/>
      <c r="C183" s="765"/>
      <c r="D183" s="766" t="str">
        <f>+D139</f>
        <v>DEPARTAMENTO DE ANTIOQUIA</v>
      </c>
      <c r="E183" s="766"/>
      <c r="F183" s="766"/>
      <c r="G183" s="766"/>
      <c r="H183" s="766"/>
      <c r="I183" s="766"/>
      <c r="J183" s="766"/>
    </row>
    <row r="184" spans="1:11" x14ac:dyDescent="0.25">
      <c r="A184" s="765"/>
      <c r="B184" s="765"/>
      <c r="C184" s="765"/>
      <c r="D184" s="766" t="str">
        <f t="shared" ref="D184:D185" si="15">+D140</f>
        <v>MUNICIPIO DE ARBOLETES</v>
      </c>
      <c r="E184" s="766"/>
      <c r="F184" s="766"/>
      <c r="G184" s="766"/>
      <c r="H184" s="766"/>
      <c r="I184" s="766"/>
      <c r="J184" s="766"/>
    </row>
    <row r="185" spans="1:11" ht="51.75" customHeight="1" x14ac:dyDescent="0.25">
      <c r="A185" s="765"/>
      <c r="B185" s="765"/>
      <c r="C185" s="765"/>
      <c r="D185" s="825" t="str">
        <f t="shared" si="15"/>
        <v>CONSTRUCCION DE OBRAS CIVILES COMPLEMENTARIAS PARA EL CORRECTO FUNCIONAMIENTO DEL PROYECTO DENOMINADO “PARQUE GEOLÓGICO, NATURAL, AMBIENTAL, CULTURAL Y TURÍSTICO, VOLCÁN DE LODO DE ARBOLETES”, QUE SE LLEVARÁ A CABO EN EL MUNICIPIO DE ARBOLETES-ANTIOQUIA</v>
      </c>
      <c r="E185" s="826"/>
      <c r="F185" s="826"/>
      <c r="G185" s="826"/>
      <c r="H185" s="826"/>
      <c r="I185" s="826"/>
      <c r="J185" s="827"/>
    </row>
    <row r="186" spans="1:11" x14ac:dyDescent="0.25">
      <c r="A186" s="765"/>
      <c r="B186" s="765"/>
      <c r="C186" s="765"/>
      <c r="D186" s="766" t="s">
        <v>20</v>
      </c>
      <c r="E186" s="766"/>
      <c r="F186" s="766"/>
      <c r="G186" s="766"/>
      <c r="H186" s="766"/>
      <c r="I186" s="766"/>
      <c r="J186" s="766"/>
    </row>
    <row r="187" spans="1:11" ht="9.75" customHeight="1" x14ac:dyDescent="0.25">
      <c r="A187" s="22"/>
      <c r="J187" s="23"/>
    </row>
    <row r="188" spans="1:11" s="21" customFormat="1" ht="33" customHeight="1" x14ac:dyDescent="0.3">
      <c r="A188" s="30" t="s">
        <v>21</v>
      </c>
      <c r="B188" s="29" t="s">
        <v>22</v>
      </c>
      <c r="C188" s="116" t="e">
        <f>+'PPTO HOJA'!#REF!</f>
        <v>#REF!</v>
      </c>
      <c r="D188" s="28"/>
      <c r="E188" s="764" t="s">
        <v>304</v>
      </c>
      <c r="F188" s="764"/>
      <c r="G188" s="764"/>
      <c r="H188" s="764"/>
      <c r="I188" s="30" t="s">
        <v>23</v>
      </c>
      <c r="J188" s="31" t="e">
        <f>+'PPTO HOJA'!#REF!</f>
        <v>#REF!</v>
      </c>
    </row>
    <row r="189" spans="1:11" ht="15" customHeight="1" x14ac:dyDescent="0.25">
      <c r="A189" s="22"/>
      <c r="B189" s="761" t="s">
        <v>24</v>
      </c>
      <c r="C189" s="761"/>
      <c r="D189" s="761"/>
      <c r="E189" s="761"/>
      <c r="F189" s="761"/>
      <c r="G189" s="761"/>
      <c r="H189" s="761"/>
      <c r="I189" s="761"/>
      <c r="J189" s="761"/>
    </row>
    <row r="190" spans="1:11" ht="26.4" x14ac:dyDescent="0.25">
      <c r="A190" s="22"/>
      <c r="B190" s="763" t="s">
        <v>25</v>
      </c>
      <c r="C190" s="763"/>
      <c r="D190" s="763"/>
      <c r="E190" s="763"/>
      <c r="F190" s="763"/>
      <c r="G190" s="31" t="s">
        <v>26</v>
      </c>
      <c r="H190" s="31" t="s">
        <v>27</v>
      </c>
      <c r="I190" s="31" t="s">
        <v>28</v>
      </c>
      <c r="J190" s="32" t="s">
        <v>29</v>
      </c>
    </row>
    <row r="191" spans="1:11" ht="15" customHeight="1" x14ac:dyDescent="0.25">
      <c r="A191" s="22"/>
      <c r="B191" s="760" t="s">
        <v>30</v>
      </c>
      <c r="C191" s="760"/>
      <c r="D191" s="760"/>
      <c r="E191" s="760"/>
      <c r="F191" s="760"/>
      <c r="G191" s="31"/>
      <c r="H191" s="24"/>
      <c r="I191" s="33">
        <v>0.05</v>
      </c>
      <c r="J191" s="24">
        <f>ROUND(I191*J223,0)</f>
        <v>6863</v>
      </c>
    </row>
    <row r="192" spans="1:11" ht="15" customHeight="1" x14ac:dyDescent="0.25">
      <c r="A192" s="22"/>
      <c r="B192" s="794" t="s">
        <v>305</v>
      </c>
      <c r="C192" s="795"/>
      <c r="D192" s="795"/>
      <c r="E192" s="795"/>
      <c r="F192" s="796"/>
      <c r="G192" s="31" t="str">
        <f>IF(B192="","",VLOOKUP(B192,EQUIPOS!$B$7:$F$46,3,FALSE))</f>
        <v>Eléctrica</v>
      </c>
      <c r="H192" s="24">
        <f>IF(B192="","",VLOOKUP(B192,EQUIPOS!$B$7:$F$46,5,FALSE))</f>
        <v>1618018.56</v>
      </c>
      <c r="I192" s="34">
        <f>+I219</f>
        <v>6.2995028823810015</v>
      </c>
      <c r="J192" s="24">
        <f>IF(B192="",0,ROUND(H192/I192,0))</f>
        <v>256849</v>
      </c>
    </row>
    <row r="193" spans="1:10" ht="15" customHeight="1" x14ac:dyDescent="0.25">
      <c r="A193" s="22"/>
      <c r="B193" s="760"/>
      <c r="C193" s="760"/>
      <c r="D193" s="760"/>
      <c r="E193" s="760"/>
      <c r="F193" s="760"/>
      <c r="G193" s="31" t="s">
        <v>501</v>
      </c>
      <c r="H193" s="24" t="s">
        <v>501</v>
      </c>
      <c r="I193" s="34"/>
      <c r="J193" s="24">
        <f t="shared" ref="J193:J195" si="16">IF(B193="",0,ROUND(H193/I193,0))</f>
        <v>0</v>
      </c>
    </row>
    <row r="194" spans="1:10" ht="15" customHeight="1" x14ac:dyDescent="0.25">
      <c r="A194" s="22"/>
      <c r="B194" s="760"/>
      <c r="C194" s="760"/>
      <c r="D194" s="760"/>
      <c r="E194" s="760"/>
      <c r="F194" s="760"/>
      <c r="G194" s="31" t="s">
        <v>501</v>
      </c>
      <c r="H194" s="24" t="s">
        <v>501</v>
      </c>
      <c r="I194" s="34"/>
      <c r="J194" s="24">
        <f t="shared" si="16"/>
        <v>0</v>
      </c>
    </row>
    <row r="195" spans="1:10" ht="15" customHeight="1" x14ac:dyDescent="0.25">
      <c r="A195" s="22"/>
      <c r="B195" s="760"/>
      <c r="C195" s="760"/>
      <c r="D195" s="760"/>
      <c r="E195" s="760"/>
      <c r="F195" s="760"/>
      <c r="G195" s="31" t="s">
        <v>501</v>
      </c>
      <c r="H195" s="24" t="s">
        <v>501</v>
      </c>
      <c r="I195" s="34"/>
      <c r="J195" s="24">
        <f t="shared" si="16"/>
        <v>0</v>
      </c>
    </row>
    <row r="196" spans="1:10" ht="15" customHeight="1" x14ac:dyDescent="0.25">
      <c r="A196" s="22"/>
      <c r="B196" s="760"/>
      <c r="C196" s="760"/>
      <c r="D196" s="760"/>
      <c r="E196" s="760"/>
      <c r="F196" s="760"/>
      <c r="G196" s="31" t="s">
        <v>501</v>
      </c>
      <c r="H196" s="24" t="s">
        <v>501</v>
      </c>
      <c r="I196" s="34"/>
      <c r="J196" s="24"/>
    </row>
    <row r="197" spans="1:10" ht="15" customHeight="1" x14ac:dyDescent="0.25">
      <c r="A197" s="22"/>
      <c r="B197" s="761" t="s">
        <v>31</v>
      </c>
      <c r="C197" s="761"/>
      <c r="D197" s="761"/>
      <c r="E197" s="761"/>
      <c r="F197" s="761"/>
      <c r="G197" s="761"/>
      <c r="H197" s="761"/>
      <c r="I197" s="761"/>
      <c r="J197" s="24">
        <f>SUM(J191:J196)</f>
        <v>263712</v>
      </c>
    </row>
    <row r="198" spans="1:10" ht="7.5" customHeight="1" x14ac:dyDescent="0.25">
      <c r="A198" s="22"/>
      <c r="B198" s="25"/>
      <c r="C198" s="25"/>
      <c r="D198" s="25"/>
      <c r="E198" s="25"/>
      <c r="F198" s="25"/>
      <c r="G198" s="25"/>
      <c r="H198" s="25"/>
      <c r="I198" s="25"/>
      <c r="J198" s="26"/>
    </row>
    <row r="199" spans="1:10" ht="15" customHeight="1" x14ac:dyDescent="0.25">
      <c r="A199" s="22"/>
      <c r="B199" s="761" t="s">
        <v>32</v>
      </c>
      <c r="C199" s="761"/>
      <c r="D199" s="761"/>
      <c r="E199" s="761"/>
      <c r="F199" s="761"/>
      <c r="G199" s="761"/>
      <c r="H199" s="761"/>
      <c r="I199" s="761"/>
      <c r="J199" s="761"/>
    </row>
    <row r="200" spans="1:10" ht="26.4" x14ac:dyDescent="0.25">
      <c r="A200" s="22"/>
      <c r="B200" s="763" t="s">
        <v>33</v>
      </c>
      <c r="C200" s="763"/>
      <c r="D200" s="763"/>
      <c r="E200" s="763"/>
      <c r="F200" s="28" t="s">
        <v>19</v>
      </c>
      <c r="G200" s="31" t="s">
        <v>34</v>
      </c>
      <c r="H200" s="32" t="s">
        <v>35</v>
      </c>
      <c r="I200" s="32" t="s">
        <v>36</v>
      </c>
      <c r="J200" s="32" t="s">
        <v>29</v>
      </c>
    </row>
    <row r="201" spans="1:10" ht="14.25" customHeight="1" x14ac:dyDescent="0.25">
      <c r="A201" s="22"/>
      <c r="B201" s="760" t="s">
        <v>161</v>
      </c>
      <c r="C201" s="760"/>
      <c r="D201" s="760"/>
      <c r="E201" s="760"/>
      <c r="F201" s="34">
        <v>0.32</v>
      </c>
      <c r="G201" s="31" t="str">
        <f>IF(F201=0,"",VLOOKUP(B201,'LISTADO DE MATERIALES'!$B$6:$D$311,2,FALSE))</f>
        <v>m3</v>
      </c>
      <c r="H201" s="107"/>
      <c r="I201" s="24">
        <f>IF(F201=0,"",VLOOKUP(B201,'LISTADO DE MATERIALES'!$B$6:$D$311,3,FALSE))</f>
        <v>89250</v>
      </c>
      <c r="J201" s="24">
        <f>IF(I201="",0,ROUND((+F201*I201*(1+H201)),0))</f>
        <v>28560</v>
      </c>
    </row>
    <row r="202" spans="1:10" ht="28.2" customHeight="1" x14ac:dyDescent="0.25">
      <c r="A202" s="22"/>
      <c r="B202" s="764" t="s">
        <v>307</v>
      </c>
      <c r="C202" s="764"/>
      <c r="D202" s="764"/>
      <c r="E202" s="764"/>
      <c r="F202" s="34">
        <v>0.56699999999999995</v>
      </c>
      <c r="G202" s="31" t="str">
        <f>IF(F202=0,"",VLOOKUP(B202,'LISTADO DE MATERIALES'!$B$6:$D$311,2,FALSE))</f>
        <v>m3</v>
      </c>
      <c r="H202" s="107"/>
      <c r="I202" s="24">
        <f>IF(F202=0,"",VLOOKUP(B202,'LISTADO DE MATERIALES'!$B$6:$D$311,3,FALSE))</f>
        <v>61474.959699999992</v>
      </c>
      <c r="J202" s="24">
        <f>IF(I202="",0,ROUND((+F202*I202*(1+H202)),0))</f>
        <v>34856</v>
      </c>
    </row>
    <row r="203" spans="1:10" x14ac:dyDescent="0.25">
      <c r="A203" s="22"/>
      <c r="B203" s="760" t="s">
        <v>162</v>
      </c>
      <c r="C203" s="760"/>
      <c r="D203" s="760"/>
      <c r="E203" s="760"/>
      <c r="F203" s="34">
        <v>193.446</v>
      </c>
      <c r="G203" s="31" t="str">
        <f>IF(F203=0,"",VLOOKUP(B203,'LISTADO DE MATERIALES'!$B$6:$D$311,2,FALSE))</f>
        <v>Kg</v>
      </c>
      <c r="H203" s="107"/>
      <c r="I203" s="24">
        <f>IF(F203=0,"",VLOOKUP(B203,'LISTADO DE MATERIALES'!$B$6:$D$311,3,FALSE))</f>
        <v>977.2</v>
      </c>
      <c r="J203" s="24">
        <f>IF(I203="",0,ROUND((+F203*I203*(1+H203)),0))</f>
        <v>189035</v>
      </c>
    </row>
    <row r="204" spans="1:10" ht="15" customHeight="1" x14ac:dyDescent="0.25">
      <c r="A204" s="22"/>
      <c r="B204" s="760"/>
      <c r="C204" s="760"/>
      <c r="D204" s="760"/>
      <c r="E204" s="760"/>
      <c r="F204" s="34"/>
      <c r="G204" s="31" t="str">
        <f>IF(F204=0,"",VLOOKUP(B204,'LISTADO DE MATERIALES'!$B$6:$D$311,2,FALSE))</f>
        <v/>
      </c>
      <c r="H204" s="107"/>
      <c r="I204" s="24" t="str">
        <f>IF(F204=0,"",VLOOKUP(B204,'LISTADO DE MATERIALES'!$B$6:$D$311,3,FALSE))</f>
        <v/>
      </c>
      <c r="J204" s="24">
        <f>IF(I204="",0,ROUND((+F204*I204*(1+H204)),0))</f>
        <v>0</v>
      </c>
    </row>
    <row r="205" spans="1:10" ht="15" customHeight="1" x14ac:dyDescent="0.25">
      <c r="A205" s="22"/>
      <c r="B205" s="760"/>
      <c r="C205" s="760"/>
      <c r="D205" s="760"/>
      <c r="E205" s="760"/>
      <c r="F205" s="34"/>
      <c r="G205" s="31" t="s">
        <v>501</v>
      </c>
      <c r="H205" s="107"/>
      <c r="I205" s="24" t="s">
        <v>501</v>
      </c>
      <c r="J205" s="24">
        <f t="shared" ref="J205:J206" si="17">IF(I205="",0,ROUND((+F205*I205*(1+H205)),0))</f>
        <v>0</v>
      </c>
    </row>
    <row r="206" spans="1:10" ht="15" customHeight="1" x14ac:dyDescent="0.25">
      <c r="A206" s="22"/>
      <c r="B206" s="760"/>
      <c r="C206" s="760"/>
      <c r="D206" s="760"/>
      <c r="E206" s="760"/>
      <c r="F206" s="34"/>
      <c r="G206" s="31" t="s">
        <v>501</v>
      </c>
      <c r="H206" s="107"/>
      <c r="I206" s="24" t="s">
        <v>501</v>
      </c>
      <c r="J206" s="24">
        <f t="shared" si="17"/>
        <v>0</v>
      </c>
    </row>
    <row r="207" spans="1:10" ht="15" customHeight="1" x14ac:dyDescent="0.25">
      <c r="A207" s="22"/>
      <c r="B207" s="761" t="s">
        <v>37</v>
      </c>
      <c r="C207" s="761"/>
      <c r="D207" s="761"/>
      <c r="E207" s="761"/>
      <c r="F207" s="761"/>
      <c r="G207" s="761"/>
      <c r="H207" s="761"/>
      <c r="I207" s="761"/>
      <c r="J207" s="24">
        <f>SUM(J201:J206)</f>
        <v>252451</v>
      </c>
    </row>
    <row r="208" spans="1:10" ht="7.5" customHeight="1" x14ac:dyDescent="0.25">
      <c r="A208" s="22"/>
      <c r="B208" s="25"/>
      <c r="C208" s="25"/>
      <c r="D208" s="25"/>
      <c r="E208" s="25"/>
      <c r="F208" s="25"/>
      <c r="G208" s="25"/>
      <c r="H208" s="25"/>
      <c r="I208" s="25"/>
      <c r="J208" s="26"/>
    </row>
    <row r="209" spans="1:10" ht="15" customHeight="1" x14ac:dyDescent="0.25">
      <c r="A209" s="22"/>
      <c r="B209" s="761" t="s">
        <v>38</v>
      </c>
      <c r="C209" s="761"/>
      <c r="D209" s="761"/>
      <c r="E209" s="761"/>
      <c r="F209" s="761"/>
      <c r="G209" s="761"/>
      <c r="H209" s="761"/>
      <c r="I209" s="761"/>
      <c r="J209" s="761"/>
    </row>
    <row r="210" spans="1:10" ht="26.4" x14ac:dyDescent="0.25">
      <c r="A210" s="22"/>
      <c r="B210" s="763" t="s">
        <v>33</v>
      </c>
      <c r="C210" s="763"/>
      <c r="D210" s="763"/>
      <c r="E210" s="763"/>
      <c r="F210" s="763"/>
      <c r="G210" s="31" t="s">
        <v>133</v>
      </c>
      <c r="H210" s="31" t="s">
        <v>132</v>
      </c>
      <c r="I210" s="31" t="s">
        <v>39</v>
      </c>
      <c r="J210" s="32" t="s">
        <v>29</v>
      </c>
    </row>
    <row r="211" spans="1:10" ht="15" customHeight="1" x14ac:dyDescent="0.25">
      <c r="A211" s="22"/>
      <c r="B211" s="760" t="s">
        <v>262</v>
      </c>
      <c r="C211" s="760"/>
      <c r="D211" s="760"/>
      <c r="E211" s="760"/>
      <c r="F211" s="760"/>
      <c r="G211" s="34">
        <f>SUM(F201:F202)</f>
        <v>0.88700000000000001</v>
      </c>
      <c r="H211" s="34">
        <f>+TRANSPORTE!B6</f>
        <v>70</v>
      </c>
      <c r="I211" s="319">
        <f>+TRANSPORTE!C6</f>
        <v>1241.46</v>
      </c>
      <c r="J211" s="24">
        <f>ROUND((I211*H211*G211),0)</f>
        <v>77082</v>
      </c>
    </row>
    <row r="212" spans="1:10" ht="15" customHeight="1" x14ac:dyDescent="0.25">
      <c r="A212" s="22"/>
      <c r="B212" s="760"/>
      <c r="C212" s="760"/>
      <c r="D212" s="760"/>
      <c r="E212" s="760"/>
      <c r="F212" s="760"/>
      <c r="G212" s="31"/>
      <c r="H212" s="34"/>
      <c r="I212" s="24"/>
      <c r="J212" s="24">
        <v>0</v>
      </c>
    </row>
    <row r="213" spans="1:10" ht="15" customHeight="1" x14ac:dyDescent="0.25">
      <c r="A213" s="22"/>
      <c r="B213" s="760"/>
      <c r="C213" s="760"/>
      <c r="D213" s="760"/>
      <c r="E213" s="760"/>
      <c r="F213" s="760"/>
      <c r="G213" s="31"/>
      <c r="H213" s="34"/>
      <c r="I213" s="24"/>
      <c r="J213" s="24">
        <v>0</v>
      </c>
    </row>
    <row r="214" spans="1:10" ht="15" customHeight="1" x14ac:dyDescent="0.25">
      <c r="A214" s="22"/>
      <c r="B214" s="760"/>
      <c r="C214" s="760"/>
      <c r="D214" s="760"/>
      <c r="E214" s="760"/>
      <c r="F214" s="760"/>
      <c r="G214" s="31"/>
      <c r="H214" s="31"/>
      <c r="I214" s="24"/>
      <c r="J214" s="24">
        <v>0</v>
      </c>
    </row>
    <row r="215" spans="1:10" ht="15" customHeight="1" x14ac:dyDescent="0.25">
      <c r="A215" s="22"/>
      <c r="B215" s="761" t="s">
        <v>40</v>
      </c>
      <c r="C215" s="761"/>
      <c r="D215" s="761"/>
      <c r="E215" s="761"/>
      <c r="F215" s="761"/>
      <c r="G215" s="761"/>
      <c r="H215" s="761"/>
      <c r="I215" s="761"/>
      <c r="J215" s="24">
        <f>SUM(J211:J214)</f>
        <v>77082</v>
      </c>
    </row>
    <row r="216" spans="1:10" ht="7.5" customHeight="1" x14ac:dyDescent="0.25">
      <c r="A216" s="22"/>
      <c r="B216" s="25"/>
      <c r="C216" s="25"/>
      <c r="D216" s="25"/>
      <c r="E216" s="25"/>
      <c r="F216" s="25"/>
      <c r="G216" s="25"/>
      <c r="H216" s="25"/>
      <c r="I216" s="25"/>
      <c r="J216" s="26"/>
    </row>
    <row r="217" spans="1:10" ht="15" customHeight="1" x14ac:dyDescent="0.25">
      <c r="A217" s="22"/>
      <c r="B217" s="761" t="s">
        <v>41</v>
      </c>
      <c r="C217" s="761"/>
      <c r="D217" s="761"/>
      <c r="E217" s="761"/>
      <c r="F217" s="761"/>
      <c r="G217" s="761"/>
      <c r="H217" s="761"/>
      <c r="I217" s="761"/>
      <c r="J217" s="761"/>
    </row>
    <row r="218" spans="1:10" ht="26.4" x14ac:dyDescent="0.25">
      <c r="A218" s="22"/>
      <c r="B218" s="763" t="s">
        <v>4</v>
      </c>
      <c r="C218" s="763"/>
      <c r="D218" s="763"/>
      <c r="E218" s="763"/>
      <c r="F218" s="763"/>
      <c r="G218" s="32" t="s">
        <v>51</v>
      </c>
      <c r="H218" s="32" t="s">
        <v>19</v>
      </c>
      <c r="I218" s="32" t="s">
        <v>28</v>
      </c>
      <c r="J218" s="32" t="s">
        <v>29</v>
      </c>
    </row>
    <row r="219" spans="1:10" ht="15" customHeight="1" x14ac:dyDescent="0.25">
      <c r="A219" s="22"/>
      <c r="B219" s="760" t="s">
        <v>68</v>
      </c>
      <c r="C219" s="760"/>
      <c r="D219" s="760"/>
      <c r="E219" s="760"/>
      <c r="F219" s="760"/>
      <c r="G219" s="24">
        <f>IF(B219="","",VLOOKUP(B219,CUADRILLAS!$B$87:$C$101,2,FALSE))</f>
        <v>235820.59999999998</v>
      </c>
      <c r="H219" s="31">
        <v>1</v>
      </c>
      <c r="I219" s="34">
        <v>6.2995028823810015</v>
      </c>
      <c r="J219" s="24">
        <f>ROUND(+IF(I219=0,0,G219*H219/I219),0)</f>
        <v>37435</v>
      </c>
    </row>
    <row r="220" spans="1:10" ht="15" customHeight="1" x14ac:dyDescent="0.25">
      <c r="A220" s="22"/>
      <c r="B220" s="760" t="s">
        <v>120</v>
      </c>
      <c r="C220" s="760"/>
      <c r="D220" s="760"/>
      <c r="E220" s="760"/>
      <c r="F220" s="760"/>
      <c r="G220" s="24">
        <f>IF(B220="","",VLOOKUP(B220,CUADRILLAS!$B$87:$C$101,2,FALSE))</f>
        <v>157213.73333333334</v>
      </c>
      <c r="H220" s="31">
        <v>1</v>
      </c>
      <c r="I220" s="34">
        <f>I219</f>
        <v>6.2995028823810015</v>
      </c>
      <c r="J220" s="24">
        <f>ROUND(+IF(I220=0,0,G220*H220/I220),0)</f>
        <v>24957</v>
      </c>
    </row>
    <row r="221" spans="1:10" ht="15" customHeight="1" x14ac:dyDescent="0.25">
      <c r="A221" s="22"/>
      <c r="B221" s="760" t="s">
        <v>121</v>
      </c>
      <c r="C221" s="760"/>
      <c r="D221" s="760"/>
      <c r="E221" s="760"/>
      <c r="F221" s="760"/>
      <c r="G221" s="24">
        <f>IF(B221="","",VLOOKUP(B221,CUADRILLAS!$B$87:$C$101,2,FALSE))</f>
        <v>78606.866666666669</v>
      </c>
      <c r="H221" s="31">
        <v>6</v>
      </c>
      <c r="I221" s="34">
        <v>6.3</v>
      </c>
      <c r="J221" s="24">
        <f>ROUND(+IF(I221=0,0,G221*H221/I221),0)</f>
        <v>74864</v>
      </c>
    </row>
    <row r="222" spans="1:10" ht="15" customHeight="1" x14ac:dyDescent="0.25">
      <c r="A222" s="22"/>
      <c r="B222" s="760"/>
      <c r="C222" s="760"/>
      <c r="D222" s="760"/>
      <c r="E222" s="760"/>
      <c r="F222" s="760"/>
      <c r="G222" s="24" t="s">
        <v>501</v>
      </c>
      <c r="H222" s="31"/>
      <c r="I222" s="34"/>
      <c r="J222" s="24">
        <f t="shared" ref="J222" si="18">+IF(I222=0,0,G222*H222/I222)</f>
        <v>0</v>
      </c>
    </row>
    <row r="223" spans="1:10" ht="15" customHeight="1" x14ac:dyDescent="0.25">
      <c r="A223" s="22"/>
      <c r="B223" s="761" t="s">
        <v>42</v>
      </c>
      <c r="C223" s="761"/>
      <c r="D223" s="761"/>
      <c r="E223" s="761"/>
      <c r="F223" s="761"/>
      <c r="G223" s="761"/>
      <c r="H223" s="761"/>
      <c r="I223" s="761"/>
      <c r="J223" s="24">
        <f>SUM(J219:J222)</f>
        <v>137256</v>
      </c>
    </row>
    <row r="224" spans="1:10" ht="7.5" customHeight="1" x14ac:dyDescent="0.25">
      <c r="A224" s="22"/>
      <c r="B224" s="25"/>
      <c r="C224" s="25"/>
      <c r="D224" s="25"/>
      <c r="E224" s="25"/>
      <c r="F224" s="25"/>
      <c r="G224" s="25"/>
      <c r="H224" s="25"/>
      <c r="I224" s="25"/>
      <c r="J224" s="26"/>
    </row>
    <row r="225" spans="1:10" ht="15.75" customHeight="1" x14ac:dyDescent="0.25">
      <c r="A225" s="27"/>
      <c r="B225" s="762" t="s">
        <v>43</v>
      </c>
      <c r="C225" s="762"/>
      <c r="D225" s="762"/>
      <c r="E225" s="762"/>
      <c r="F225" s="762"/>
      <c r="G225" s="762"/>
      <c r="H225" s="762"/>
      <c r="I225" s="762"/>
      <c r="J225" s="106">
        <f>+J223+J215+J197+J207</f>
        <v>730501</v>
      </c>
    </row>
    <row r="227" spans="1:10" x14ac:dyDescent="0.25">
      <c r="A227" s="765"/>
      <c r="B227" s="765"/>
      <c r="C227" s="765"/>
      <c r="D227" s="766" t="str">
        <f>+D139</f>
        <v>DEPARTAMENTO DE ANTIOQUIA</v>
      </c>
      <c r="E227" s="766"/>
      <c r="F227" s="766"/>
      <c r="G227" s="766"/>
      <c r="H227" s="766"/>
      <c r="I227" s="766"/>
      <c r="J227" s="766"/>
    </row>
    <row r="228" spans="1:10" x14ac:dyDescent="0.25">
      <c r="A228" s="765"/>
      <c r="B228" s="765"/>
      <c r="C228" s="765"/>
      <c r="D228" s="766" t="str">
        <f>+D140</f>
        <v>MUNICIPIO DE ARBOLETES</v>
      </c>
      <c r="E228" s="766"/>
      <c r="F228" s="766"/>
      <c r="G228" s="766"/>
      <c r="H228" s="766"/>
      <c r="I228" s="766"/>
      <c r="J228" s="766"/>
    </row>
    <row r="229" spans="1:10" ht="46.5" customHeight="1" x14ac:dyDescent="0.25">
      <c r="A229" s="765"/>
      <c r="B229" s="765"/>
      <c r="C229" s="765"/>
      <c r="D229" s="767" t="str">
        <f>+D141</f>
        <v>CONSTRUCCION DE OBRAS CIVILES COMPLEMENTARIAS PARA EL CORRECTO FUNCIONAMIENTO DEL PROYECTO DENOMINADO “PARQUE GEOLÓGICO, NATURAL, AMBIENTAL, CULTURAL Y TURÍSTICO, VOLCÁN DE LODO DE ARBOLETES”, QUE SE LLEVARÁ A CABO EN EL MUNICIPIO DE ARBOLETES-ANTIOQUIA</v>
      </c>
      <c r="E229" s="767"/>
      <c r="F229" s="767"/>
      <c r="G229" s="767"/>
      <c r="H229" s="767"/>
      <c r="I229" s="767"/>
      <c r="J229" s="767"/>
    </row>
    <row r="230" spans="1:10" x14ac:dyDescent="0.25">
      <c r="A230" s="765"/>
      <c r="B230" s="765"/>
      <c r="C230" s="765"/>
      <c r="D230" s="766" t="s">
        <v>20</v>
      </c>
      <c r="E230" s="766"/>
      <c r="F230" s="766"/>
      <c r="G230" s="766"/>
      <c r="H230" s="766"/>
      <c r="I230" s="766"/>
      <c r="J230" s="766"/>
    </row>
    <row r="231" spans="1:10" ht="9.75" customHeight="1" x14ac:dyDescent="0.25">
      <c r="A231" s="22"/>
      <c r="J231" s="23"/>
    </row>
    <row r="232" spans="1:10" s="21" customFormat="1" ht="33" customHeight="1" x14ac:dyDescent="0.3">
      <c r="A232" s="30" t="s">
        <v>21</v>
      </c>
      <c r="B232" s="29" t="s">
        <v>22</v>
      </c>
      <c r="C232" s="115"/>
      <c r="D232" s="28"/>
      <c r="E232" s="764" t="s">
        <v>263</v>
      </c>
      <c r="F232" s="764"/>
      <c r="G232" s="764"/>
      <c r="H232" s="764"/>
      <c r="I232" s="30" t="s">
        <v>23</v>
      </c>
      <c r="J232" s="31" t="s">
        <v>261</v>
      </c>
    </row>
    <row r="233" spans="1:10" ht="15" customHeight="1" x14ac:dyDescent="0.25">
      <c r="A233" s="22"/>
      <c r="B233" s="761" t="s">
        <v>24</v>
      </c>
      <c r="C233" s="761"/>
      <c r="D233" s="761"/>
      <c r="E233" s="761"/>
      <c r="F233" s="761"/>
      <c r="G233" s="761"/>
      <c r="H233" s="761"/>
      <c r="I233" s="761"/>
      <c r="J233" s="761"/>
    </row>
    <row r="234" spans="1:10" ht="26.4" x14ac:dyDescent="0.25">
      <c r="A234" s="22"/>
      <c r="B234" s="763" t="s">
        <v>25</v>
      </c>
      <c r="C234" s="763"/>
      <c r="D234" s="763"/>
      <c r="E234" s="763"/>
      <c r="F234" s="763"/>
      <c r="G234" s="31" t="s">
        <v>26</v>
      </c>
      <c r="H234" s="31" t="s">
        <v>27</v>
      </c>
      <c r="I234" s="31" t="s">
        <v>28</v>
      </c>
      <c r="J234" s="32" t="s">
        <v>29</v>
      </c>
    </row>
    <row r="235" spans="1:10" ht="15" customHeight="1" x14ac:dyDescent="0.25">
      <c r="A235" s="22"/>
      <c r="B235" s="760" t="s">
        <v>30</v>
      </c>
      <c r="C235" s="760"/>
      <c r="D235" s="760"/>
      <c r="E235" s="760"/>
      <c r="F235" s="760"/>
      <c r="G235" s="31"/>
      <c r="H235" s="24"/>
      <c r="I235" s="33">
        <v>0.05</v>
      </c>
      <c r="J235" s="24">
        <f>ROUND(I235*J267,0)</f>
        <v>6878</v>
      </c>
    </row>
    <row r="236" spans="1:10" ht="15" customHeight="1" x14ac:dyDescent="0.25">
      <c r="A236" s="22"/>
      <c r="B236" s="794" t="s">
        <v>260</v>
      </c>
      <c r="C236" s="795"/>
      <c r="D236" s="795"/>
      <c r="E236" s="795"/>
      <c r="F236" s="796"/>
      <c r="G236" s="31" t="s">
        <v>108</v>
      </c>
      <c r="H236" s="24">
        <v>116000</v>
      </c>
      <c r="I236" s="34">
        <f>+I263</f>
        <v>8</v>
      </c>
      <c r="J236" s="24">
        <f>IF(B236="",0,ROUND(H236/I236,0))</f>
        <v>14500</v>
      </c>
    </row>
    <row r="237" spans="1:10" ht="15" customHeight="1" x14ac:dyDescent="0.25">
      <c r="A237" s="22"/>
      <c r="B237" s="760"/>
      <c r="C237" s="760"/>
      <c r="D237" s="760"/>
      <c r="E237" s="760"/>
      <c r="F237" s="760"/>
      <c r="G237" s="31" t="s">
        <v>501</v>
      </c>
      <c r="H237" s="24" t="s">
        <v>501</v>
      </c>
      <c r="I237" s="34"/>
      <c r="J237" s="24">
        <f t="shared" ref="J237:J239" si="19">IF(B237="",0,ROUND(H237/I237,0))</f>
        <v>0</v>
      </c>
    </row>
    <row r="238" spans="1:10" ht="15" customHeight="1" x14ac:dyDescent="0.25">
      <c r="A238" s="22"/>
      <c r="B238" s="760"/>
      <c r="C238" s="760"/>
      <c r="D238" s="760"/>
      <c r="E238" s="760"/>
      <c r="F238" s="760"/>
      <c r="G238" s="31" t="s">
        <v>501</v>
      </c>
      <c r="H238" s="24" t="s">
        <v>501</v>
      </c>
      <c r="I238" s="34"/>
      <c r="J238" s="24">
        <f t="shared" si="19"/>
        <v>0</v>
      </c>
    </row>
    <row r="239" spans="1:10" ht="15" customHeight="1" x14ac:dyDescent="0.25">
      <c r="A239" s="22"/>
      <c r="B239" s="760"/>
      <c r="C239" s="760"/>
      <c r="D239" s="760"/>
      <c r="E239" s="760"/>
      <c r="F239" s="760"/>
      <c r="G239" s="31" t="s">
        <v>501</v>
      </c>
      <c r="H239" s="24" t="s">
        <v>501</v>
      </c>
      <c r="I239" s="34"/>
      <c r="J239" s="24">
        <f t="shared" si="19"/>
        <v>0</v>
      </c>
    </row>
    <row r="240" spans="1:10" ht="15" customHeight="1" x14ac:dyDescent="0.25">
      <c r="A240" s="22"/>
      <c r="B240" s="760"/>
      <c r="C240" s="760"/>
      <c r="D240" s="760"/>
      <c r="E240" s="760"/>
      <c r="F240" s="760"/>
      <c r="G240" s="31" t="s">
        <v>501</v>
      </c>
      <c r="H240" s="24" t="s">
        <v>501</v>
      </c>
      <c r="I240" s="34"/>
      <c r="J240" s="24"/>
    </row>
    <row r="241" spans="1:10" ht="15" customHeight="1" x14ac:dyDescent="0.25">
      <c r="A241" s="22"/>
      <c r="B241" s="761" t="s">
        <v>31</v>
      </c>
      <c r="C241" s="761"/>
      <c r="D241" s="761"/>
      <c r="E241" s="761"/>
      <c r="F241" s="761"/>
      <c r="G241" s="761"/>
      <c r="H241" s="761"/>
      <c r="I241" s="761"/>
      <c r="J241" s="24">
        <f>SUM(J235:J240)</f>
        <v>21378</v>
      </c>
    </row>
    <row r="242" spans="1:10" ht="7.5" customHeight="1" x14ac:dyDescent="0.25">
      <c r="A242" s="22"/>
      <c r="B242" s="25"/>
      <c r="C242" s="25"/>
      <c r="D242" s="25"/>
      <c r="E242" s="25"/>
      <c r="F242" s="25"/>
      <c r="G242" s="25"/>
      <c r="H242" s="25"/>
      <c r="I242" s="25"/>
      <c r="J242" s="26"/>
    </row>
    <row r="243" spans="1:10" ht="15" customHeight="1" x14ac:dyDescent="0.25">
      <c r="A243" s="22"/>
      <c r="B243" s="761" t="s">
        <v>32</v>
      </c>
      <c r="C243" s="761"/>
      <c r="D243" s="761"/>
      <c r="E243" s="761"/>
      <c r="F243" s="761"/>
      <c r="G243" s="761"/>
      <c r="H243" s="761"/>
      <c r="I243" s="761"/>
      <c r="J243" s="761"/>
    </row>
    <row r="244" spans="1:10" ht="26.4" x14ac:dyDescent="0.25">
      <c r="A244" s="22"/>
      <c r="B244" s="763" t="s">
        <v>33</v>
      </c>
      <c r="C244" s="763"/>
      <c r="D244" s="763"/>
      <c r="E244" s="763"/>
      <c r="F244" s="28" t="s">
        <v>19</v>
      </c>
      <c r="G244" s="31" t="s">
        <v>34</v>
      </c>
      <c r="H244" s="32" t="s">
        <v>35</v>
      </c>
      <c r="I244" s="32" t="s">
        <v>36</v>
      </c>
      <c r="J244" s="32" t="s">
        <v>29</v>
      </c>
    </row>
    <row r="245" spans="1:10" ht="14.25" customHeight="1" x14ac:dyDescent="0.25">
      <c r="A245" s="22"/>
      <c r="B245" s="760" t="s">
        <v>264</v>
      </c>
      <c r="C245" s="760"/>
      <c r="D245" s="760"/>
      <c r="E245" s="760"/>
      <c r="F245" s="34">
        <v>1.1599999999999999</v>
      </c>
      <c r="G245" s="31" t="str">
        <f>IF(F245=0,"",VLOOKUP(B245,'LISTADO DE MATERIALES'!$B$6:$D$311,2,FALSE))</f>
        <v>m3</v>
      </c>
      <c r="H245" s="107"/>
      <c r="I245" s="24">
        <f>IF(F245=0,"",VLOOKUP(B245,'LISTADO DE MATERIALES'!$B$6:$D$311,3,FALSE))</f>
        <v>89250</v>
      </c>
      <c r="J245" s="24">
        <f>IF(I245="",0,ROUND((+F245*I245*(1+H245)),0))</f>
        <v>103530</v>
      </c>
    </row>
    <row r="246" spans="1:10" ht="15" customHeight="1" x14ac:dyDescent="0.25">
      <c r="A246" s="22"/>
      <c r="B246" s="760" t="s">
        <v>162</v>
      </c>
      <c r="C246" s="760"/>
      <c r="D246" s="760"/>
      <c r="E246" s="760"/>
      <c r="F246" s="34">
        <v>364</v>
      </c>
      <c r="G246" s="31" t="str">
        <f>IF(F246=0,"",VLOOKUP(B246,'LISTADO DE MATERIALES'!$B$6:$D$311,2,FALSE))</f>
        <v>Kg</v>
      </c>
      <c r="H246" s="107"/>
      <c r="I246" s="24">
        <f>IF(F246=0,"",VLOOKUP(B246,'LISTADO DE MATERIALES'!$B$6:$D$311,3,FALSE))</f>
        <v>977.2</v>
      </c>
      <c r="J246" s="24">
        <f t="shared" ref="J246:J250" si="20">IF(I246="",0,ROUND((+F246*I246*(1+H246)),0))</f>
        <v>355701</v>
      </c>
    </row>
    <row r="247" spans="1:10" ht="15" customHeight="1" x14ac:dyDescent="0.25">
      <c r="A247" s="22"/>
      <c r="B247" s="760"/>
      <c r="C247" s="760"/>
      <c r="D247" s="760"/>
      <c r="E247" s="760"/>
      <c r="F247" s="34"/>
      <c r="G247" s="31"/>
      <c r="H247" s="107"/>
      <c r="I247" s="24" t="str">
        <f>IF(F247=0,"",VLOOKUP(B247,'LISTADO DE MATERIALES'!$B$6:$D$311,3,FALSE))</f>
        <v/>
      </c>
      <c r="J247" s="24">
        <f t="shared" si="20"/>
        <v>0</v>
      </c>
    </row>
    <row r="248" spans="1:10" ht="15" customHeight="1" x14ac:dyDescent="0.25">
      <c r="A248" s="22"/>
      <c r="B248" s="760"/>
      <c r="C248" s="760"/>
      <c r="D248" s="760"/>
      <c r="E248" s="760"/>
      <c r="F248" s="34"/>
      <c r="G248" s="31" t="s">
        <v>501</v>
      </c>
      <c r="H248" s="107"/>
      <c r="I248" s="24" t="s">
        <v>501</v>
      </c>
      <c r="J248" s="24">
        <f t="shared" si="20"/>
        <v>0</v>
      </c>
    </row>
    <row r="249" spans="1:10" ht="15" customHeight="1" x14ac:dyDescent="0.25">
      <c r="A249" s="22"/>
      <c r="B249" s="760"/>
      <c r="C249" s="760"/>
      <c r="D249" s="760"/>
      <c r="E249" s="760"/>
      <c r="F249" s="34"/>
      <c r="G249" s="31" t="s">
        <v>501</v>
      </c>
      <c r="H249" s="107"/>
      <c r="I249" s="24" t="s">
        <v>501</v>
      </c>
      <c r="J249" s="24">
        <f t="shared" si="20"/>
        <v>0</v>
      </c>
    </row>
    <row r="250" spans="1:10" ht="15" customHeight="1" x14ac:dyDescent="0.25">
      <c r="A250" s="22"/>
      <c r="B250" s="760"/>
      <c r="C250" s="760"/>
      <c r="D250" s="760"/>
      <c r="E250" s="760"/>
      <c r="F250" s="34"/>
      <c r="G250" s="31" t="s">
        <v>501</v>
      </c>
      <c r="H250" s="107"/>
      <c r="I250" s="24" t="s">
        <v>501</v>
      </c>
      <c r="J250" s="24">
        <f t="shared" si="20"/>
        <v>0</v>
      </c>
    </row>
    <row r="251" spans="1:10" ht="15" customHeight="1" x14ac:dyDescent="0.25">
      <c r="A251" s="22"/>
      <c r="B251" s="761" t="s">
        <v>37</v>
      </c>
      <c r="C251" s="761"/>
      <c r="D251" s="761"/>
      <c r="E251" s="761"/>
      <c r="F251" s="761"/>
      <c r="G251" s="761"/>
      <c r="H251" s="761"/>
      <c r="I251" s="761"/>
      <c r="J251" s="24">
        <f>SUM(J245:J250)</f>
        <v>459231</v>
      </c>
    </row>
    <row r="252" spans="1:10" ht="7.5" customHeight="1" x14ac:dyDescent="0.25">
      <c r="A252" s="22"/>
      <c r="B252" s="25"/>
      <c r="C252" s="25"/>
      <c r="D252" s="25"/>
      <c r="E252" s="25"/>
      <c r="F252" s="25"/>
      <c r="G252" s="25"/>
      <c r="H252" s="25"/>
      <c r="I252" s="25"/>
      <c r="J252" s="26"/>
    </row>
    <row r="253" spans="1:10" ht="15" customHeight="1" x14ac:dyDescent="0.25">
      <c r="A253" s="22"/>
      <c r="B253" s="761" t="s">
        <v>38</v>
      </c>
      <c r="C253" s="761"/>
      <c r="D253" s="761"/>
      <c r="E253" s="761"/>
      <c r="F253" s="761"/>
      <c r="G253" s="761"/>
      <c r="H253" s="761"/>
      <c r="I253" s="761"/>
      <c r="J253" s="761"/>
    </row>
    <row r="254" spans="1:10" ht="26.4" x14ac:dyDescent="0.25">
      <c r="A254" s="22"/>
      <c r="B254" s="763" t="s">
        <v>33</v>
      </c>
      <c r="C254" s="763"/>
      <c r="D254" s="763"/>
      <c r="E254" s="763"/>
      <c r="F254" s="763"/>
      <c r="G254" s="31" t="s">
        <v>133</v>
      </c>
      <c r="H254" s="31" t="s">
        <v>132</v>
      </c>
      <c r="I254" s="31" t="s">
        <v>39</v>
      </c>
      <c r="J254" s="32" t="s">
        <v>29</v>
      </c>
    </row>
    <row r="255" spans="1:10" ht="15" customHeight="1" x14ac:dyDescent="0.25">
      <c r="A255" s="22"/>
      <c r="B255" s="760" t="s">
        <v>262</v>
      </c>
      <c r="C255" s="760"/>
      <c r="D255" s="760"/>
      <c r="E255" s="760"/>
      <c r="F255" s="760"/>
      <c r="G255" s="34">
        <f>+F245</f>
        <v>1.1599999999999999</v>
      </c>
      <c r="H255" s="34">
        <f>+TRANSPORTE!B6</f>
        <v>70</v>
      </c>
      <c r="I255" s="319">
        <f>+TRANSPORTE!C6</f>
        <v>1241.46</v>
      </c>
      <c r="J255" s="24">
        <f>ROUND((I255*H255*G255),0)</f>
        <v>100807</v>
      </c>
    </row>
    <row r="256" spans="1:10" ht="15" customHeight="1" x14ac:dyDescent="0.25">
      <c r="A256" s="22"/>
      <c r="B256" s="760"/>
      <c r="C256" s="760"/>
      <c r="D256" s="760"/>
      <c r="E256" s="760"/>
      <c r="F256" s="760"/>
      <c r="G256" s="31"/>
      <c r="H256" s="34"/>
      <c r="I256" s="24"/>
      <c r="J256" s="24">
        <v>0</v>
      </c>
    </row>
    <row r="257" spans="1:10" ht="15" customHeight="1" x14ac:dyDescent="0.25">
      <c r="A257" s="22"/>
      <c r="B257" s="760"/>
      <c r="C257" s="760"/>
      <c r="D257" s="760"/>
      <c r="E257" s="760"/>
      <c r="F257" s="760"/>
      <c r="G257" s="31"/>
      <c r="H257" s="34"/>
      <c r="I257" s="24"/>
      <c r="J257" s="24">
        <v>0</v>
      </c>
    </row>
    <row r="258" spans="1:10" ht="15" customHeight="1" x14ac:dyDescent="0.25">
      <c r="A258" s="22"/>
      <c r="B258" s="760"/>
      <c r="C258" s="760"/>
      <c r="D258" s="760"/>
      <c r="E258" s="760"/>
      <c r="F258" s="760"/>
      <c r="G258" s="31"/>
      <c r="H258" s="31"/>
      <c r="I258" s="24"/>
      <c r="J258" s="24">
        <v>0</v>
      </c>
    </row>
    <row r="259" spans="1:10" ht="15" customHeight="1" x14ac:dyDescent="0.25">
      <c r="A259" s="22"/>
      <c r="B259" s="761" t="s">
        <v>40</v>
      </c>
      <c r="C259" s="761"/>
      <c r="D259" s="761"/>
      <c r="E259" s="761"/>
      <c r="F259" s="761"/>
      <c r="G259" s="761"/>
      <c r="H259" s="761"/>
      <c r="I259" s="761"/>
      <c r="J259" s="24">
        <f>SUM(J255:J258)</f>
        <v>100807</v>
      </c>
    </row>
    <row r="260" spans="1:10" ht="7.5" customHeight="1" x14ac:dyDescent="0.25">
      <c r="A260" s="22"/>
      <c r="B260" s="25"/>
      <c r="C260" s="25"/>
      <c r="D260" s="25"/>
      <c r="E260" s="25"/>
      <c r="F260" s="25"/>
      <c r="G260" s="25"/>
      <c r="H260" s="25"/>
      <c r="I260" s="25"/>
      <c r="J260" s="26"/>
    </row>
    <row r="261" spans="1:10" ht="15" customHeight="1" x14ac:dyDescent="0.25">
      <c r="A261" s="22"/>
      <c r="B261" s="761" t="s">
        <v>41</v>
      </c>
      <c r="C261" s="761"/>
      <c r="D261" s="761"/>
      <c r="E261" s="761"/>
      <c r="F261" s="761"/>
      <c r="G261" s="761"/>
      <c r="H261" s="761"/>
      <c r="I261" s="761"/>
      <c r="J261" s="761"/>
    </row>
    <row r="262" spans="1:10" ht="26.4" x14ac:dyDescent="0.25">
      <c r="A262" s="22"/>
      <c r="B262" s="763" t="s">
        <v>4</v>
      </c>
      <c r="C262" s="763"/>
      <c r="D262" s="763"/>
      <c r="E262" s="763"/>
      <c r="F262" s="763"/>
      <c r="G262" s="32" t="s">
        <v>51</v>
      </c>
      <c r="H262" s="32" t="s">
        <v>19</v>
      </c>
      <c r="I262" s="32" t="s">
        <v>28</v>
      </c>
      <c r="J262" s="32" t="s">
        <v>29</v>
      </c>
    </row>
    <row r="263" spans="1:10" ht="15" customHeight="1" x14ac:dyDescent="0.25">
      <c r="A263" s="22"/>
      <c r="B263" s="760" t="s">
        <v>68</v>
      </c>
      <c r="C263" s="760"/>
      <c r="D263" s="760"/>
      <c r="E263" s="760"/>
      <c r="F263" s="760"/>
      <c r="G263" s="24">
        <f>IF(B263="","",VLOOKUP(B263,CUADRILLAS!$B$87:$C$101,2,FALSE))</f>
        <v>235820.59999999998</v>
      </c>
      <c r="H263" s="31">
        <v>1</v>
      </c>
      <c r="I263" s="34">
        <v>8</v>
      </c>
      <c r="J263" s="24">
        <f>ROUND(+IF(I263=0,0,G263*H263/I263),0)</f>
        <v>29478</v>
      </c>
    </row>
    <row r="264" spans="1:10" ht="15" customHeight="1" x14ac:dyDescent="0.25">
      <c r="A264" s="22"/>
      <c r="B264" s="760" t="s">
        <v>120</v>
      </c>
      <c r="C264" s="760"/>
      <c r="D264" s="760"/>
      <c r="E264" s="760"/>
      <c r="F264" s="760"/>
      <c r="G264" s="24">
        <f>IF(B264="","",VLOOKUP(B264,CUADRILLAS!$B$87:$C$101,2,FALSE))</f>
        <v>157213.73333333334</v>
      </c>
      <c r="H264" s="31">
        <v>1</v>
      </c>
      <c r="I264" s="34">
        <f>I263</f>
        <v>8</v>
      </c>
      <c r="J264" s="24">
        <f>ROUND(+IF(I264=0,0,G264*H264/I264),0)</f>
        <v>19652</v>
      </c>
    </row>
    <row r="265" spans="1:10" ht="15" customHeight="1" x14ac:dyDescent="0.25">
      <c r="A265" s="22"/>
      <c r="B265" s="760" t="s">
        <v>121</v>
      </c>
      <c r="C265" s="760"/>
      <c r="D265" s="760"/>
      <c r="E265" s="760"/>
      <c r="F265" s="760"/>
      <c r="G265" s="24">
        <f>IF(B265="","",VLOOKUP(B265,CUADRILLAS!$B$87:$C$101,2,FALSE))</f>
        <v>78606.866666666669</v>
      </c>
      <c r="H265" s="31">
        <f>1+2+1+4+1</f>
        <v>9</v>
      </c>
      <c r="I265" s="34">
        <v>8</v>
      </c>
      <c r="J265" s="24">
        <f>ROUND(+IF(I265=0,0,G265*H265/I265),0)</f>
        <v>88433</v>
      </c>
    </row>
    <row r="266" spans="1:10" ht="15" customHeight="1" x14ac:dyDescent="0.25">
      <c r="A266" s="22"/>
      <c r="B266" s="760"/>
      <c r="C266" s="760"/>
      <c r="D266" s="760"/>
      <c r="E266" s="760"/>
      <c r="F266" s="760"/>
      <c r="G266" s="24" t="s">
        <v>501</v>
      </c>
      <c r="H266" s="31"/>
      <c r="I266" s="34"/>
      <c r="J266" s="24">
        <f t="shared" ref="J266" si="21">+IF(I266=0,0,G266*H266/I266)</f>
        <v>0</v>
      </c>
    </row>
    <row r="267" spans="1:10" ht="15" customHeight="1" x14ac:dyDescent="0.25">
      <c r="A267" s="22"/>
      <c r="B267" s="761" t="s">
        <v>42</v>
      </c>
      <c r="C267" s="761"/>
      <c r="D267" s="761"/>
      <c r="E267" s="761"/>
      <c r="F267" s="761"/>
      <c r="G267" s="761"/>
      <c r="H267" s="761"/>
      <c r="I267" s="761"/>
      <c r="J267" s="24">
        <f>SUM(J263:J266)</f>
        <v>137563</v>
      </c>
    </row>
    <row r="268" spans="1:10" ht="7.5" customHeight="1" x14ac:dyDescent="0.25">
      <c r="A268" s="22"/>
      <c r="B268" s="25"/>
      <c r="C268" s="25"/>
      <c r="D268" s="25"/>
      <c r="E268" s="25"/>
      <c r="F268" s="25"/>
      <c r="G268" s="25"/>
      <c r="H268" s="25"/>
      <c r="I268" s="25"/>
      <c r="J268" s="26"/>
    </row>
    <row r="269" spans="1:10" ht="15.75" customHeight="1" x14ac:dyDescent="0.25">
      <c r="A269" s="27"/>
      <c r="B269" s="762" t="s">
        <v>43</v>
      </c>
      <c r="C269" s="762"/>
      <c r="D269" s="762"/>
      <c r="E269" s="762"/>
      <c r="F269" s="762"/>
      <c r="G269" s="762"/>
      <c r="H269" s="762"/>
      <c r="I269" s="762"/>
      <c r="J269" s="106">
        <f>+J267+J259+J241+J251</f>
        <v>718979</v>
      </c>
    </row>
    <row r="271" spans="1:10" x14ac:dyDescent="0.25">
      <c r="A271" s="765"/>
      <c r="B271" s="765"/>
      <c r="C271" s="765"/>
      <c r="D271" s="766" t="s">
        <v>1</v>
      </c>
      <c r="E271" s="766"/>
      <c r="F271" s="766"/>
      <c r="G271" s="766"/>
      <c r="H271" s="766"/>
      <c r="I271" s="766"/>
      <c r="J271" s="766"/>
    </row>
    <row r="272" spans="1:10" x14ac:dyDescent="0.25">
      <c r="A272" s="765"/>
      <c r="B272" s="765"/>
      <c r="C272" s="765"/>
      <c r="D272" s="766" t="s">
        <v>2</v>
      </c>
      <c r="E272" s="766"/>
      <c r="F272" s="766"/>
      <c r="G272" s="766"/>
      <c r="H272" s="766"/>
      <c r="I272" s="766"/>
      <c r="J272" s="766"/>
    </row>
    <row r="273" spans="1:10" x14ac:dyDescent="0.25">
      <c r="A273" s="765"/>
      <c r="B273" s="765"/>
      <c r="C273" s="765"/>
      <c r="D273" s="767" t="s">
        <v>328</v>
      </c>
      <c r="E273" s="767"/>
      <c r="F273" s="767"/>
      <c r="G273" s="767"/>
      <c r="H273" s="767"/>
      <c r="I273" s="767"/>
      <c r="J273" s="767"/>
    </row>
    <row r="274" spans="1:10" x14ac:dyDescent="0.25">
      <c r="A274" s="765"/>
      <c r="B274" s="765"/>
      <c r="C274" s="765"/>
      <c r="D274" s="766" t="s">
        <v>20</v>
      </c>
      <c r="E274" s="766"/>
      <c r="F274" s="766"/>
      <c r="G274" s="766"/>
      <c r="H274" s="766"/>
      <c r="I274" s="766"/>
      <c r="J274" s="766"/>
    </row>
    <row r="275" spans="1:10" x14ac:dyDescent="0.25">
      <c r="A275" s="22"/>
      <c r="J275" s="23"/>
    </row>
    <row r="276" spans="1:10" ht="14.4" x14ac:dyDescent="0.25">
      <c r="A276" s="30" t="s">
        <v>21</v>
      </c>
      <c r="B276" s="29" t="s">
        <v>22</v>
      </c>
      <c r="C276" s="116"/>
      <c r="D276" s="28"/>
      <c r="E276" s="764" t="s">
        <v>507</v>
      </c>
      <c r="F276" s="764"/>
      <c r="G276" s="764"/>
      <c r="H276" s="764"/>
      <c r="I276" s="30" t="s">
        <v>23</v>
      </c>
      <c r="J276" s="31" t="s">
        <v>261</v>
      </c>
    </row>
    <row r="277" spans="1:10" x14ac:dyDescent="0.25">
      <c r="A277" s="22"/>
      <c r="B277" s="761" t="s">
        <v>24</v>
      </c>
      <c r="C277" s="761"/>
      <c r="D277" s="761"/>
      <c r="E277" s="761"/>
      <c r="F277" s="761"/>
      <c r="G277" s="761"/>
      <c r="H277" s="761"/>
      <c r="I277" s="761"/>
      <c r="J277" s="761"/>
    </row>
    <row r="278" spans="1:10" ht="26.4" x14ac:dyDescent="0.25">
      <c r="A278" s="22"/>
      <c r="B278" s="763" t="s">
        <v>25</v>
      </c>
      <c r="C278" s="763"/>
      <c r="D278" s="763"/>
      <c r="E278" s="763"/>
      <c r="F278" s="763"/>
      <c r="G278" s="31" t="s">
        <v>26</v>
      </c>
      <c r="H278" s="31" t="s">
        <v>27</v>
      </c>
      <c r="I278" s="31" t="s">
        <v>28</v>
      </c>
      <c r="J278" s="32" t="s">
        <v>29</v>
      </c>
    </row>
    <row r="279" spans="1:10" x14ac:dyDescent="0.25">
      <c r="A279" s="22"/>
      <c r="B279" s="760" t="s">
        <v>30</v>
      </c>
      <c r="C279" s="760"/>
      <c r="D279" s="760"/>
      <c r="E279" s="760"/>
      <c r="F279" s="760"/>
      <c r="G279" s="31"/>
      <c r="H279" s="24"/>
      <c r="I279" s="33">
        <v>0.05</v>
      </c>
      <c r="J279" s="24">
        <f>ROUND(I279*J311,0)</f>
        <v>557</v>
      </c>
    </row>
    <row r="280" spans="1:10" x14ac:dyDescent="0.25">
      <c r="A280" s="22"/>
      <c r="B280" s="794" t="s">
        <v>260</v>
      </c>
      <c r="C280" s="795"/>
      <c r="D280" s="795"/>
      <c r="E280" s="795"/>
      <c r="F280" s="796"/>
      <c r="G280" s="31" t="str">
        <f>IF(B280="","",VLOOKUP(B280,EQUIPOS!$B$7:$F$46,3,FALSE))</f>
        <v>GASOLINA</v>
      </c>
      <c r="H280" s="24">
        <f>IF(B280="","",VLOOKUP(B280,EQUIPOS!$B$7:$F$46,5,FALSE))</f>
        <v>116000</v>
      </c>
      <c r="I280" s="34">
        <f>+I307</f>
        <v>120</v>
      </c>
      <c r="J280" s="24">
        <f>IF(B280="",0,ROUND(H280/I280,0))</f>
        <v>967</v>
      </c>
    </row>
    <row r="281" spans="1:10" x14ac:dyDescent="0.25">
      <c r="A281" s="22"/>
      <c r="B281" s="760"/>
      <c r="C281" s="760"/>
      <c r="D281" s="760"/>
      <c r="E281" s="760"/>
      <c r="F281" s="760"/>
      <c r="G281" s="31" t="s">
        <v>501</v>
      </c>
      <c r="H281" s="24" t="s">
        <v>501</v>
      </c>
      <c r="I281" s="34"/>
      <c r="J281" s="24">
        <f t="shared" ref="J281:J283" si="22">IF(B281="",0,ROUND(H281/I281,0))</f>
        <v>0</v>
      </c>
    </row>
    <row r="282" spans="1:10" x14ac:dyDescent="0.25">
      <c r="A282" s="22"/>
      <c r="B282" s="760"/>
      <c r="C282" s="760"/>
      <c r="D282" s="760"/>
      <c r="E282" s="760"/>
      <c r="F282" s="760"/>
      <c r="G282" s="31" t="s">
        <v>501</v>
      </c>
      <c r="H282" s="24" t="s">
        <v>501</v>
      </c>
      <c r="I282" s="34"/>
      <c r="J282" s="24">
        <f t="shared" si="22"/>
        <v>0</v>
      </c>
    </row>
    <row r="283" spans="1:10" x14ac:dyDescent="0.25">
      <c r="A283" s="22"/>
      <c r="B283" s="760"/>
      <c r="C283" s="760"/>
      <c r="D283" s="760"/>
      <c r="E283" s="760"/>
      <c r="F283" s="760"/>
      <c r="G283" s="31" t="s">
        <v>501</v>
      </c>
      <c r="H283" s="24" t="s">
        <v>501</v>
      </c>
      <c r="I283" s="34"/>
      <c r="J283" s="24">
        <f t="shared" si="22"/>
        <v>0</v>
      </c>
    </row>
    <row r="284" spans="1:10" x14ac:dyDescent="0.25">
      <c r="A284" s="22"/>
      <c r="B284" s="760"/>
      <c r="C284" s="760"/>
      <c r="D284" s="760"/>
      <c r="E284" s="760"/>
      <c r="F284" s="760"/>
      <c r="G284" s="31" t="s">
        <v>501</v>
      </c>
      <c r="H284" s="24" t="s">
        <v>501</v>
      </c>
      <c r="I284" s="34"/>
      <c r="J284" s="24"/>
    </row>
    <row r="285" spans="1:10" x14ac:dyDescent="0.25">
      <c r="A285" s="22"/>
      <c r="B285" s="761" t="s">
        <v>31</v>
      </c>
      <c r="C285" s="761"/>
      <c r="D285" s="761"/>
      <c r="E285" s="761"/>
      <c r="F285" s="761"/>
      <c r="G285" s="761"/>
      <c r="H285" s="761"/>
      <c r="I285" s="761"/>
      <c r="J285" s="24">
        <f>SUM(J279:J284)</f>
        <v>1524</v>
      </c>
    </row>
    <row r="286" spans="1:10" x14ac:dyDescent="0.25">
      <c r="A286" s="22"/>
      <c r="B286" s="25"/>
      <c r="C286" s="25"/>
      <c r="D286" s="25"/>
      <c r="E286" s="25"/>
      <c r="F286" s="25"/>
      <c r="G286" s="25"/>
      <c r="H286" s="25"/>
      <c r="I286" s="25"/>
      <c r="J286" s="26"/>
    </row>
    <row r="287" spans="1:10" x14ac:dyDescent="0.25">
      <c r="A287" s="22"/>
      <c r="B287" s="761" t="s">
        <v>32</v>
      </c>
      <c r="C287" s="761"/>
      <c r="D287" s="761"/>
      <c r="E287" s="761"/>
      <c r="F287" s="761"/>
      <c r="G287" s="761"/>
      <c r="H287" s="761"/>
      <c r="I287" s="761"/>
      <c r="J287" s="761"/>
    </row>
    <row r="288" spans="1:10" ht="26.4" x14ac:dyDescent="0.25">
      <c r="A288" s="22"/>
      <c r="B288" s="763" t="s">
        <v>33</v>
      </c>
      <c r="C288" s="763"/>
      <c r="D288" s="763"/>
      <c r="E288" s="763"/>
      <c r="F288" s="28" t="s">
        <v>19</v>
      </c>
      <c r="G288" s="31" t="s">
        <v>34</v>
      </c>
      <c r="H288" s="32" t="s">
        <v>35</v>
      </c>
      <c r="I288" s="32" t="s">
        <v>36</v>
      </c>
      <c r="J288" s="32" t="s">
        <v>29</v>
      </c>
    </row>
    <row r="289" spans="1:10" x14ac:dyDescent="0.25">
      <c r="A289" s="22"/>
      <c r="B289" s="760" t="s">
        <v>161</v>
      </c>
      <c r="C289" s="760"/>
      <c r="D289" s="760"/>
      <c r="E289" s="760"/>
      <c r="F289" s="34">
        <v>0.6</v>
      </c>
      <c r="G289" s="31" t="str">
        <f>IF(F289=0,"",VLOOKUP(B289,'LISTADO DE MATERIALES'!$B$6:$D$311,2,FALSE))</f>
        <v>m3</v>
      </c>
      <c r="H289" s="107"/>
      <c r="I289" s="24">
        <f>IF(F289=0,"",VLOOKUP(B289,'LISTADO DE MATERIALES'!$B$6:$D$311,3,FALSE))</f>
        <v>89250</v>
      </c>
      <c r="J289" s="24">
        <f>IF(I289="",0,ROUND((+F289*I289*(1+H289)),0))</f>
        <v>53550</v>
      </c>
    </row>
    <row r="290" spans="1:10" x14ac:dyDescent="0.25">
      <c r="A290" s="22"/>
      <c r="B290" s="760" t="s">
        <v>160</v>
      </c>
      <c r="C290" s="760"/>
      <c r="D290" s="760"/>
      <c r="E290" s="760"/>
      <c r="F290" s="34">
        <v>0.95</v>
      </c>
      <c r="G290" s="31" t="str">
        <f>IF(F290=0,"",VLOOKUP(B290,'LISTADO DE MATERIALES'!$B$6:$D$311,2,FALSE))</f>
        <v>m3</v>
      </c>
      <c r="H290" s="107"/>
      <c r="I290" s="24">
        <f>IF(F290=0,"",VLOOKUP(B290,'LISTADO DE MATERIALES'!$B$6:$D$311,3,FALSE))</f>
        <v>144000</v>
      </c>
      <c r="J290" s="24">
        <f t="shared" ref="J290:J294" si="23">IF(I290="",0,ROUND((+F290*I290*(1+H290)),0))</f>
        <v>136800</v>
      </c>
    </row>
    <row r="291" spans="1:10" x14ac:dyDescent="0.25">
      <c r="A291" s="22"/>
      <c r="B291" s="760" t="s">
        <v>162</v>
      </c>
      <c r="C291" s="760"/>
      <c r="D291" s="760"/>
      <c r="E291" s="760"/>
      <c r="F291" s="34">
        <v>270</v>
      </c>
      <c r="G291" s="31" t="str">
        <f>IF(F291=0,"",VLOOKUP(B291,'LISTADO DE MATERIALES'!$B$6:$D$311,2,FALSE))</f>
        <v>Kg</v>
      </c>
      <c r="H291" s="107"/>
      <c r="I291" s="24">
        <f>IF(F291=0,"",VLOOKUP(B291,'LISTADO DE MATERIALES'!$B$6:$D$311,3,FALSE))</f>
        <v>977.2</v>
      </c>
      <c r="J291" s="24">
        <f t="shared" si="23"/>
        <v>263844</v>
      </c>
    </row>
    <row r="292" spans="1:10" x14ac:dyDescent="0.25">
      <c r="A292" s="22"/>
      <c r="B292" s="760"/>
      <c r="C292" s="760"/>
      <c r="D292" s="760"/>
      <c r="E292" s="760"/>
      <c r="F292" s="34"/>
      <c r="G292" s="31" t="str">
        <f>IF(F292=0,"",VLOOKUP(B292,'LISTADO DE MATERIALES'!$B$6:$D$311,2,FALSE))</f>
        <v/>
      </c>
      <c r="H292" s="107"/>
      <c r="I292" s="24" t="str">
        <f>IF(F292=0,"",VLOOKUP(B292,'LISTADO DE MATERIALES'!$B$6:$D$311,3,FALSE))</f>
        <v/>
      </c>
      <c r="J292" s="24">
        <f t="shared" si="23"/>
        <v>0</v>
      </c>
    </row>
    <row r="293" spans="1:10" x14ac:dyDescent="0.25">
      <c r="A293" s="22"/>
      <c r="B293" s="760"/>
      <c r="C293" s="760"/>
      <c r="D293" s="760"/>
      <c r="E293" s="760"/>
      <c r="F293" s="34"/>
      <c r="G293" s="31" t="s">
        <v>501</v>
      </c>
      <c r="H293" s="107"/>
      <c r="I293" s="24" t="s">
        <v>501</v>
      </c>
      <c r="J293" s="24">
        <f t="shared" si="23"/>
        <v>0</v>
      </c>
    </row>
    <row r="294" spans="1:10" x14ac:dyDescent="0.25">
      <c r="A294" s="22"/>
      <c r="B294" s="760"/>
      <c r="C294" s="760"/>
      <c r="D294" s="760"/>
      <c r="E294" s="760"/>
      <c r="F294" s="34"/>
      <c r="G294" s="31" t="s">
        <v>501</v>
      </c>
      <c r="H294" s="107"/>
      <c r="I294" s="24" t="s">
        <v>501</v>
      </c>
      <c r="J294" s="24">
        <f t="shared" si="23"/>
        <v>0</v>
      </c>
    </row>
    <row r="295" spans="1:10" x14ac:dyDescent="0.25">
      <c r="A295" s="22"/>
      <c r="B295" s="761" t="s">
        <v>37</v>
      </c>
      <c r="C295" s="761"/>
      <c r="D295" s="761"/>
      <c r="E295" s="761"/>
      <c r="F295" s="761"/>
      <c r="G295" s="761"/>
      <c r="H295" s="761"/>
      <c r="I295" s="761"/>
      <c r="J295" s="24">
        <f>SUM(J289:J294)</f>
        <v>454194</v>
      </c>
    </row>
    <row r="296" spans="1:10" x14ac:dyDescent="0.25">
      <c r="A296" s="22"/>
      <c r="B296" s="25"/>
      <c r="C296" s="25"/>
      <c r="D296" s="25"/>
      <c r="E296" s="25"/>
      <c r="F296" s="25"/>
      <c r="G296" s="25"/>
      <c r="H296" s="25"/>
      <c r="I296" s="25"/>
      <c r="J296" s="26"/>
    </row>
    <row r="297" spans="1:10" x14ac:dyDescent="0.25">
      <c r="A297" s="22"/>
      <c r="B297" s="761" t="s">
        <v>38</v>
      </c>
      <c r="C297" s="761"/>
      <c r="D297" s="761"/>
      <c r="E297" s="761"/>
      <c r="F297" s="761"/>
      <c r="G297" s="761"/>
      <c r="H297" s="761"/>
      <c r="I297" s="761"/>
      <c r="J297" s="761"/>
    </row>
    <row r="298" spans="1:10" ht="26.4" x14ac:dyDescent="0.25">
      <c r="A298" s="22"/>
      <c r="B298" s="763" t="s">
        <v>33</v>
      </c>
      <c r="C298" s="763"/>
      <c r="D298" s="763"/>
      <c r="E298" s="763"/>
      <c r="F298" s="763"/>
      <c r="G298" s="31" t="s">
        <v>133</v>
      </c>
      <c r="H298" s="31" t="s">
        <v>132</v>
      </c>
      <c r="I298" s="31" t="s">
        <v>39</v>
      </c>
      <c r="J298" s="32" t="s">
        <v>29</v>
      </c>
    </row>
    <row r="299" spans="1:10" x14ac:dyDescent="0.25">
      <c r="A299" s="22"/>
      <c r="B299" s="760" t="s">
        <v>262</v>
      </c>
      <c r="C299" s="760"/>
      <c r="D299" s="760"/>
      <c r="E299" s="760"/>
      <c r="F299" s="760"/>
      <c r="G299" s="34">
        <f>SUM(F289:F290)</f>
        <v>1.5499999999999998</v>
      </c>
      <c r="H299" s="34">
        <f>+TRANSPORTE!B6</f>
        <v>70</v>
      </c>
      <c r="I299" s="319">
        <f>+TRANSPORTE!C6</f>
        <v>1241.46</v>
      </c>
      <c r="J299" s="24">
        <f>ROUND((I299*H299*G299),0)</f>
        <v>134698</v>
      </c>
    </row>
    <row r="300" spans="1:10" x14ac:dyDescent="0.25">
      <c r="A300" s="22"/>
      <c r="B300" s="760"/>
      <c r="C300" s="760"/>
      <c r="D300" s="760"/>
      <c r="E300" s="760"/>
      <c r="F300" s="760"/>
      <c r="G300" s="31"/>
      <c r="H300" s="34"/>
      <c r="I300" s="24"/>
      <c r="J300" s="24">
        <v>0</v>
      </c>
    </row>
    <row r="301" spans="1:10" x14ac:dyDescent="0.25">
      <c r="A301" s="22"/>
      <c r="B301" s="760"/>
      <c r="C301" s="760"/>
      <c r="D301" s="760"/>
      <c r="E301" s="760"/>
      <c r="F301" s="760"/>
      <c r="G301" s="31"/>
      <c r="H301" s="34"/>
      <c r="I301" s="24"/>
      <c r="J301" s="24">
        <v>0</v>
      </c>
    </row>
    <row r="302" spans="1:10" x14ac:dyDescent="0.25">
      <c r="A302" s="22"/>
      <c r="B302" s="760"/>
      <c r="C302" s="760"/>
      <c r="D302" s="760"/>
      <c r="E302" s="760"/>
      <c r="F302" s="760"/>
      <c r="G302" s="31"/>
      <c r="H302" s="31"/>
      <c r="I302" s="24"/>
      <c r="J302" s="24">
        <v>0</v>
      </c>
    </row>
    <row r="303" spans="1:10" x14ac:dyDescent="0.25">
      <c r="A303" s="22"/>
      <c r="B303" s="761" t="s">
        <v>40</v>
      </c>
      <c r="C303" s="761"/>
      <c r="D303" s="761"/>
      <c r="E303" s="761"/>
      <c r="F303" s="761"/>
      <c r="G303" s="761"/>
      <c r="H303" s="761"/>
      <c r="I303" s="761"/>
      <c r="J303" s="24">
        <f>SUM(J299:J302)</f>
        <v>134698</v>
      </c>
    </row>
    <row r="304" spans="1:10" x14ac:dyDescent="0.25">
      <c r="A304" s="22"/>
      <c r="B304" s="25"/>
      <c r="C304" s="25"/>
      <c r="D304" s="25"/>
      <c r="E304" s="25"/>
      <c r="F304" s="25"/>
      <c r="G304" s="25"/>
      <c r="H304" s="25"/>
      <c r="I304" s="25"/>
      <c r="J304" s="26"/>
    </row>
    <row r="305" spans="1:10" x14ac:dyDescent="0.25">
      <c r="A305" s="22"/>
      <c r="B305" s="761" t="s">
        <v>41</v>
      </c>
      <c r="C305" s="761"/>
      <c r="D305" s="761"/>
      <c r="E305" s="761"/>
      <c r="F305" s="761"/>
      <c r="G305" s="761"/>
      <c r="H305" s="761"/>
      <c r="I305" s="761"/>
      <c r="J305" s="761"/>
    </row>
    <row r="306" spans="1:10" ht="26.4" x14ac:dyDescent="0.25">
      <c r="A306" s="22"/>
      <c r="B306" s="763" t="s">
        <v>4</v>
      </c>
      <c r="C306" s="763"/>
      <c r="D306" s="763"/>
      <c r="E306" s="763"/>
      <c r="F306" s="763"/>
      <c r="G306" s="32" t="s">
        <v>51</v>
      </c>
      <c r="H306" s="32" t="s">
        <v>19</v>
      </c>
      <c r="I306" s="32" t="s">
        <v>28</v>
      </c>
      <c r="J306" s="32" t="s">
        <v>29</v>
      </c>
    </row>
    <row r="307" spans="1:10" x14ac:dyDescent="0.25">
      <c r="A307" s="22"/>
      <c r="B307" s="760" t="s">
        <v>68</v>
      </c>
      <c r="C307" s="760"/>
      <c r="D307" s="760"/>
      <c r="E307" s="760"/>
      <c r="F307" s="760"/>
      <c r="G307" s="24">
        <f>IF(B307="","",VLOOKUP(B307,CUADRILLAS!$B$87:$C$101,2,FALSE))</f>
        <v>235820.59999999998</v>
      </c>
      <c r="H307" s="31">
        <v>1</v>
      </c>
      <c r="I307" s="34">
        <v>120</v>
      </c>
      <c r="J307" s="24">
        <f>ROUND(+IF(I307=0,0,G307*H307/I307),0)</f>
        <v>1965</v>
      </c>
    </row>
    <row r="308" spans="1:10" x14ac:dyDescent="0.25">
      <c r="A308" s="22"/>
      <c r="B308" s="760" t="s">
        <v>120</v>
      </c>
      <c r="C308" s="760"/>
      <c r="D308" s="760"/>
      <c r="E308" s="760"/>
      <c r="F308" s="760"/>
      <c r="G308" s="24">
        <f>IF(B308="","",VLOOKUP(B308,CUADRILLAS!$B$87:$C$101,2,FALSE))</f>
        <v>157213.73333333334</v>
      </c>
      <c r="H308" s="31">
        <v>1</v>
      </c>
      <c r="I308" s="34">
        <f>I307</f>
        <v>120</v>
      </c>
      <c r="J308" s="24">
        <f>ROUND(+IF(I308=0,0,G308*H308/I308),0)</f>
        <v>1310</v>
      </c>
    </row>
    <row r="309" spans="1:10" x14ac:dyDescent="0.25">
      <c r="A309" s="22"/>
      <c r="B309" s="760" t="s">
        <v>121</v>
      </c>
      <c r="C309" s="760"/>
      <c r="D309" s="760"/>
      <c r="E309" s="760"/>
      <c r="F309" s="760"/>
      <c r="G309" s="24">
        <f>IF(B309="","",VLOOKUP(B309,CUADRILLAS!$B$87:$C$101,2,FALSE))</f>
        <v>78606.866666666669</v>
      </c>
      <c r="H309" s="31">
        <f>+H177</f>
        <v>12</v>
      </c>
      <c r="I309" s="34">
        <f>I308</f>
        <v>120</v>
      </c>
      <c r="J309" s="24">
        <f>ROUND(+IF(I309=0,0,G309*H309/I309),0)</f>
        <v>7861</v>
      </c>
    </row>
    <row r="310" spans="1:10" x14ac:dyDescent="0.25">
      <c r="A310" s="22"/>
      <c r="B310" s="760"/>
      <c r="C310" s="760"/>
      <c r="D310" s="760"/>
      <c r="E310" s="760"/>
      <c r="F310" s="760"/>
      <c r="G310" s="24" t="s">
        <v>501</v>
      </c>
      <c r="H310" s="31"/>
      <c r="I310" s="34"/>
      <c r="J310" s="24">
        <f t="shared" ref="J310" si="24">+IF(I310=0,0,G310*H310/I310)</f>
        <v>0</v>
      </c>
    </row>
    <row r="311" spans="1:10" x14ac:dyDescent="0.25">
      <c r="A311" s="22"/>
      <c r="B311" s="761" t="s">
        <v>42</v>
      </c>
      <c r="C311" s="761"/>
      <c r="D311" s="761"/>
      <c r="E311" s="761"/>
      <c r="F311" s="761"/>
      <c r="G311" s="761"/>
      <c r="H311" s="761"/>
      <c r="I311" s="761"/>
      <c r="J311" s="24">
        <f>SUM(J307:J310)</f>
        <v>11136</v>
      </c>
    </row>
    <row r="312" spans="1:10" x14ac:dyDescent="0.25">
      <c r="A312" s="22"/>
      <c r="B312" s="25"/>
      <c r="C312" s="25"/>
      <c r="D312" s="25"/>
      <c r="E312" s="25"/>
      <c r="F312" s="25"/>
      <c r="G312" s="25"/>
      <c r="H312" s="25"/>
      <c r="I312" s="25"/>
      <c r="J312" s="26"/>
    </row>
    <row r="313" spans="1:10" x14ac:dyDescent="0.25">
      <c r="A313" s="27"/>
      <c r="B313" s="762" t="s">
        <v>43</v>
      </c>
      <c r="C313" s="762"/>
      <c r="D313" s="762"/>
      <c r="E313" s="762"/>
      <c r="F313" s="762"/>
      <c r="G313" s="762"/>
      <c r="H313" s="762"/>
      <c r="I313" s="762"/>
      <c r="J313" s="106">
        <f>+J311+J303+J285+J295</f>
        <v>601552</v>
      </c>
    </row>
  </sheetData>
  <mergeCells count="283">
    <mergeCell ref="L66:M66"/>
    <mergeCell ref="B310:F310"/>
    <mergeCell ref="B311:I311"/>
    <mergeCell ref="B313:I313"/>
    <mergeCell ref="B300:F300"/>
    <mergeCell ref="B301:F301"/>
    <mergeCell ref="B302:F302"/>
    <mergeCell ref="B303:I303"/>
    <mergeCell ref="B305:J305"/>
    <mergeCell ref="B306:F306"/>
    <mergeCell ref="B307:F307"/>
    <mergeCell ref="B308:F308"/>
    <mergeCell ref="B309:F309"/>
    <mergeCell ref="B290:E290"/>
    <mergeCell ref="B291:E291"/>
    <mergeCell ref="B292:E292"/>
    <mergeCell ref="B293:E293"/>
    <mergeCell ref="B294:E294"/>
    <mergeCell ref="B295:I295"/>
    <mergeCell ref="B297:J297"/>
    <mergeCell ref="B298:F298"/>
    <mergeCell ref="B299:F299"/>
    <mergeCell ref="B280:F280"/>
    <mergeCell ref="B281:F281"/>
    <mergeCell ref="B282:F282"/>
    <mergeCell ref="B283:F283"/>
    <mergeCell ref="B284:F284"/>
    <mergeCell ref="B285:I285"/>
    <mergeCell ref="B287:J287"/>
    <mergeCell ref="B288:E288"/>
    <mergeCell ref="B289:E289"/>
    <mergeCell ref="A271:C274"/>
    <mergeCell ref="D271:J271"/>
    <mergeCell ref="D272:J272"/>
    <mergeCell ref="D273:J273"/>
    <mergeCell ref="D274:J274"/>
    <mergeCell ref="E276:H276"/>
    <mergeCell ref="B277:J277"/>
    <mergeCell ref="B278:F278"/>
    <mergeCell ref="B279:F279"/>
    <mergeCell ref="B106:F106"/>
    <mergeCell ref="B217:J217"/>
    <mergeCell ref="B87:F87"/>
    <mergeCell ref="B88:F88"/>
    <mergeCell ref="B89:I89"/>
    <mergeCell ref="B91:I91"/>
    <mergeCell ref="A183:C186"/>
    <mergeCell ref="D183:J183"/>
    <mergeCell ref="D184:J184"/>
    <mergeCell ref="D185:J185"/>
    <mergeCell ref="D186:J186"/>
    <mergeCell ref="B116:E116"/>
    <mergeCell ref="B115:E115"/>
    <mergeCell ref="E144:H144"/>
    <mergeCell ref="B145:J145"/>
    <mergeCell ref="B146:F146"/>
    <mergeCell ref="B147:F147"/>
    <mergeCell ref="B148:F148"/>
    <mergeCell ref="A139:C142"/>
    <mergeCell ref="D139:J139"/>
    <mergeCell ref="D140:J140"/>
    <mergeCell ref="D141:J141"/>
    <mergeCell ref="D142:J142"/>
    <mergeCell ref="B202:E202"/>
    <mergeCell ref="B86:F86"/>
    <mergeCell ref="B58:F58"/>
    <mergeCell ref="A47:C50"/>
    <mergeCell ref="D47:J47"/>
    <mergeCell ref="D48:J48"/>
    <mergeCell ref="D49:J49"/>
    <mergeCell ref="D50:J50"/>
    <mergeCell ref="E52:H52"/>
    <mergeCell ref="B53:J53"/>
    <mergeCell ref="B54:F54"/>
    <mergeCell ref="B55:F55"/>
    <mergeCell ref="B56:F56"/>
    <mergeCell ref="B57:F57"/>
    <mergeCell ref="B59:F59"/>
    <mergeCell ref="B60:F60"/>
    <mergeCell ref="B61:F61"/>
    <mergeCell ref="B62:F62"/>
    <mergeCell ref="B63:I63"/>
    <mergeCell ref="B65:J65"/>
    <mergeCell ref="B66:E66"/>
    <mergeCell ref="B67:E67"/>
    <mergeCell ref="B68:E68"/>
    <mergeCell ref="B69:E69"/>
    <mergeCell ref="B70:E70"/>
    <mergeCell ref="B85:F85"/>
    <mergeCell ref="B72:E72"/>
    <mergeCell ref="B73:I73"/>
    <mergeCell ref="B75:J75"/>
    <mergeCell ref="B76:F76"/>
    <mergeCell ref="B77:F77"/>
    <mergeCell ref="B78:F78"/>
    <mergeCell ref="B79:F79"/>
    <mergeCell ref="B80:F80"/>
    <mergeCell ref="B81:I81"/>
    <mergeCell ref="B83:J83"/>
    <mergeCell ref="B84:F84"/>
    <mergeCell ref="B71:E71"/>
    <mergeCell ref="B153:I153"/>
    <mergeCell ref="B166:F166"/>
    <mergeCell ref="B167:F167"/>
    <mergeCell ref="B171:I171"/>
    <mergeCell ref="B173:J173"/>
    <mergeCell ref="B157:E157"/>
    <mergeCell ref="B155:J155"/>
    <mergeCell ref="B156:E156"/>
    <mergeCell ref="B111:J111"/>
    <mergeCell ref="B112:E112"/>
    <mergeCell ref="B113:E113"/>
    <mergeCell ref="B114:E114"/>
    <mergeCell ref="B137:I137"/>
    <mergeCell ref="B129:J129"/>
    <mergeCell ref="B130:F130"/>
    <mergeCell ref="B131:F131"/>
    <mergeCell ref="B132:F132"/>
    <mergeCell ref="B133:F133"/>
    <mergeCell ref="B160:E160"/>
    <mergeCell ref="B161:E161"/>
    <mergeCell ref="B162:E162"/>
    <mergeCell ref="B163:I163"/>
    <mergeCell ref="B165:J165"/>
    <mergeCell ref="B221:F221"/>
    <mergeCell ref="B178:F178"/>
    <mergeCell ref="B179:I179"/>
    <mergeCell ref="B177:F177"/>
    <mergeCell ref="B181:I181"/>
    <mergeCell ref="B204:E204"/>
    <mergeCell ref="B205:E205"/>
    <mergeCell ref="B206:E206"/>
    <mergeCell ref="B218:F218"/>
    <mergeCell ref="B219:F219"/>
    <mergeCell ref="B220:F220"/>
    <mergeCell ref="B207:I207"/>
    <mergeCell ref="B209:J209"/>
    <mergeCell ref="B210:F210"/>
    <mergeCell ref="B194:F194"/>
    <mergeCell ref="B195:F195"/>
    <mergeCell ref="B222:F222"/>
    <mergeCell ref="B223:I223"/>
    <mergeCell ref="B225:I225"/>
    <mergeCell ref="B238:F238"/>
    <mergeCell ref="D229:J229"/>
    <mergeCell ref="D230:J230"/>
    <mergeCell ref="B254:F254"/>
    <mergeCell ref="B255:F255"/>
    <mergeCell ref="B248:E248"/>
    <mergeCell ref="B249:E249"/>
    <mergeCell ref="B250:E250"/>
    <mergeCell ref="B251:I251"/>
    <mergeCell ref="B253:J253"/>
    <mergeCell ref="B243:J243"/>
    <mergeCell ref="B244:E244"/>
    <mergeCell ref="B245:E245"/>
    <mergeCell ref="B246:E246"/>
    <mergeCell ref="B247:E247"/>
    <mergeCell ref="B237:F237"/>
    <mergeCell ref="B239:F239"/>
    <mergeCell ref="B240:F240"/>
    <mergeCell ref="B241:I241"/>
    <mergeCell ref="E232:H232"/>
    <mergeCell ref="B233:J233"/>
    <mergeCell ref="B234:F234"/>
    <mergeCell ref="B266:F266"/>
    <mergeCell ref="B235:F235"/>
    <mergeCell ref="B236:F236"/>
    <mergeCell ref="B264:F264"/>
    <mergeCell ref="B256:F256"/>
    <mergeCell ref="B257:F257"/>
    <mergeCell ref="B258:F258"/>
    <mergeCell ref="B267:I267"/>
    <mergeCell ref="B269:I269"/>
    <mergeCell ref="A93:C96"/>
    <mergeCell ref="D93:J93"/>
    <mergeCell ref="D94:J94"/>
    <mergeCell ref="D95:J95"/>
    <mergeCell ref="D96:J96"/>
    <mergeCell ref="E98:H98"/>
    <mergeCell ref="B99:J99"/>
    <mergeCell ref="B100:F100"/>
    <mergeCell ref="B101:F101"/>
    <mergeCell ref="B102:F102"/>
    <mergeCell ref="B103:F103"/>
    <mergeCell ref="B104:F104"/>
    <mergeCell ref="B105:F105"/>
    <mergeCell ref="B261:J261"/>
    <mergeCell ref="B262:F262"/>
    <mergeCell ref="B263:F263"/>
    <mergeCell ref="B265:F265"/>
    <mergeCell ref="B259:I259"/>
    <mergeCell ref="A227:C230"/>
    <mergeCell ref="D227:J227"/>
    <mergeCell ref="D228:J228"/>
    <mergeCell ref="B134:F134"/>
    <mergeCell ref="B135:I135"/>
    <mergeCell ref="B158:E158"/>
    <mergeCell ref="B159:E159"/>
    <mergeCell ref="B174:F174"/>
    <mergeCell ref="B175:F175"/>
    <mergeCell ref="B176:F176"/>
    <mergeCell ref="B149:F149"/>
    <mergeCell ref="B150:F150"/>
    <mergeCell ref="B151:F151"/>
    <mergeCell ref="B152:F152"/>
    <mergeCell ref="B168:F168"/>
    <mergeCell ref="B169:F169"/>
    <mergeCell ref="B170:F170"/>
    <mergeCell ref="B196:F196"/>
    <mergeCell ref="B197:I197"/>
    <mergeCell ref="E188:H188"/>
    <mergeCell ref="B189:J189"/>
    <mergeCell ref="B190:F190"/>
    <mergeCell ref="B191:F191"/>
    <mergeCell ref="B192:F192"/>
    <mergeCell ref="B193:F193"/>
    <mergeCell ref="B215:I215"/>
    <mergeCell ref="B199:J199"/>
    <mergeCell ref="B200:E200"/>
    <mergeCell ref="B201:E201"/>
    <mergeCell ref="B203:E203"/>
    <mergeCell ref="B211:F211"/>
    <mergeCell ref="B212:F212"/>
    <mergeCell ref="B213:F213"/>
    <mergeCell ref="B214:F214"/>
    <mergeCell ref="B124:F124"/>
    <mergeCell ref="B125:F125"/>
    <mergeCell ref="B126:F126"/>
    <mergeCell ref="B127:I127"/>
    <mergeCell ref="A1:C4"/>
    <mergeCell ref="D1:J1"/>
    <mergeCell ref="D2:J2"/>
    <mergeCell ref="D3:J3"/>
    <mergeCell ref="D4:J4"/>
    <mergeCell ref="E6:H6"/>
    <mergeCell ref="B7:J7"/>
    <mergeCell ref="B8:F8"/>
    <mergeCell ref="B9:F9"/>
    <mergeCell ref="B10:F10"/>
    <mergeCell ref="B11:F11"/>
    <mergeCell ref="B12:F12"/>
    <mergeCell ref="B13:F13"/>
    <mergeCell ref="B14:F14"/>
    <mergeCell ref="B15:F15"/>
    <mergeCell ref="B16:F16"/>
    <mergeCell ref="B17:I17"/>
    <mergeCell ref="B19:J19"/>
    <mergeCell ref="B20:E20"/>
    <mergeCell ref="B109:I109"/>
    <mergeCell ref="B21:E21"/>
    <mergeCell ref="B22:E22"/>
    <mergeCell ref="B23:E23"/>
    <mergeCell ref="B24:E24"/>
    <mergeCell ref="B25:E25"/>
    <mergeCell ref="B26:E26"/>
    <mergeCell ref="B27:I27"/>
    <mergeCell ref="B29:J29"/>
    <mergeCell ref="L37:M37"/>
    <mergeCell ref="L83:M83"/>
    <mergeCell ref="L129:M129"/>
    <mergeCell ref="B40:F40"/>
    <mergeCell ref="B41:F41"/>
    <mergeCell ref="B42:F42"/>
    <mergeCell ref="B43:I43"/>
    <mergeCell ref="B45:I45"/>
    <mergeCell ref="B30:F30"/>
    <mergeCell ref="B31:F31"/>
    <mergeCell ref="B32:F32"/>
    <mergeCell ref="B33:F33"/>
    <mergeCell ref="B34:F34"/>
    <mergeCell ref="B35:I35"/>
    <mergeCell ref="B37:J37"/>
    <mergeCell ref="B38:F38"/>
    <mergeCell ref="B39:F39"/>
    <mergeCell ref="B117:E117"/>
    <mergeCell ref="B118:E118"/>
    <mergeCell ref="B119:I119"/>
    <mergeCell ref="B121:J121"/>
    <mergeCell ref="B122:F122"/>
    <mergeCell ref="B107:F107"/>
    <mergeCell ref="B108:F108"/>
    <mergeCell ref="B123:F123"/>
  </mergeCells>
  <hyperlinks>
    <hyperlink ref="C6" location="'PPTO HOJA'!A122" display="'PPTO HOJA'!A122" xr:uid="{00000000-0004-0000-4600-000000000000}"/>
    <hyperlink ref="C188" location="'PPTO HOJA'!A123" display="'PPTO HOJA'!A123" xr:uid="{00000000-0004-0000-4600-000001000000}"/>
  </hyperlink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disablePrompts="1" count="1">
        <x14:dataValidation type="list" showInputMessage="1" showErrorMessage="1" xr:uid="{00000000-0002-0000-4600-000000000000}">
          <x14:formula1>
            <xm:f>CUADRILLAS!$B$86:$B$101</xm:f>
          </x14:formula1>
          <xm:sqref>B131:F134 B39:F42 B85:F88 B219:F221 B175:F177 B263:F265 B307:F309</xm:sqref>
        </x14:dataValidation>
      </x14:dataValidations>
    </ext>
  </extLst>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Hoja88"/>
  <dimension ref="A1:W101"/>
  <sheetViews>
    <sheetView zoomScale="85" zoomScaleNormal="85" workbookViewId="0">
      <selection activeCell="B23" sqref="B23"/>
    </sheetView>
  </sheetViews>
  <sheetFormatPr baseColWidth="10" defaultColWidth="11.44140625" defaultRowHeight="13.2" outlineLevelRow="1" x14ac:dyDescent="0.25"/>
  <cols>
    <col min="1" max="1" width="4.44140625" style="43" bestFit="1" customWidth="1"/>
    <col min="2" max="2" width="38.5546875" style="43" customWidth="1"/>
    <col min="3" max="3" width="13.44140625" style="43" customWidth="1"/>
    <col min="4" max="4" width="20.33203125" style="43" customWidth="1"/>
    <col min="5" max="5" width="21" style="43" customWidth="1"/>
    <col min="6" max="6" width="17.6640625" style="43" customWidth="1"/>
    <col min="7" max="7" width="13.88671875" style="43" customWidth="1"/>
    <col min="8" max="8" width="13.5546875" style="44" customWidth="1"/>
    <col min="9" max="9" width="15.6640625" style="43" customWidth="1"/>
    <col min="10" max="10" width="11.44140625" style="43"/>
    <col min="11" max="11" width="13.33203125" style="43" bestFit="1" customWidth="1"/>
    <col min="12" max="16384" width="11.44140625" style="43"/>
  </cols>
  <sheetData>
    <row r="1" spans="1:23" s="41" customFormat="1" ht="18" customHeight="1" x14ac:dyDescent="0.3">
      <c r="A1" s="35"/>
      <c r="B1" s="35"/>
      <c r="C1" s="832"/>
      <c r="D1" s="832"/>
      <c r="E1" s="832"/>
      <c r="F1" s="832"/>
      <c r="G1" s="832"/>
      <c r="H1" s="832"/>
      <c r="I1" s="832"/>
      <c r="J1" s="36"/>
      <c r="K1" s="36"/>
      <c r="L1" s="37"/>
      <c r="M1" s="38"/>
      <c r="N1" s="38"/>
      <c r="O1" s="38"/>
      <c r="P1" s="38"/>
      <c r="Q1" s="39"/>
      <c r="R1" s="39"/>
      <c r="S1" s="39"/>
      <c r="T1" s="37"/>
      <c r="U1" s="37"/>
      <c r="V1" s="37"/>
      <c r="W1" s="40"/>
    </row>
    <row r="2" spans="1:23" s="41" customFormat="1" ht="20.25" customHeight="1" x14ac:dyDescent="0.3">
      <c r="A2" s="35"/>
      <c r="B2" s="833" t="s">
        <v>52</v>
      </c>
      <c r="C2" s="833"/>
      <c r="D2" s="833"/>
      <c r="E2" s="833"/>
      <c r="F2" s="833"/>
      <c r="G2" s="833"/>
      <c r="H2" s="833"/>
      <c r="I2" s="833"/>
      <c r="J2" s="36"/>
      <c r="K2" s="36"/>
      <c r="L2" s="37"/>
      <c r="M2" s="38"/>
      <c r="N2" s="38"/>
      <c r="O2" s="38"/>
      <c r="P2" s="38"/>
      <c r="Q2" s="39"/>
      <c r="R2" s="39"/>
      <c r="S2" s="39"/>
      <c r="T2" s="37"/>
      <c r="U2" s="37"/>
      <c r="V2" s="37"/>
      <c r="W2" s="40"/>
    </row>
    <row r="3" spans="1:23" s="41" customFormat="1" ht="52.5" customHeight="1" x14ac:dyDescent="0.3">
      <c r="A3" s="35"/>
      <c r="B3" s="833" t="str">
        <f>'PPTO HOJA'!A7</f>
        <v>CONSTRUCCION DE OBRAS CIVILES COMPLEMENTARIAS PARA EL CORRECTO FUNCIONAMIENTO DEL PROYECTO DENOMINADO “PARQUE GEOLÓGICO, NATURAL, AMBIENTAL, CULTURAL Y TURÍSTICO, VOLCÁN DE LODO DE ARBOLETES”, QUE SE LLEVARÁ A CABO EN EL MUNICIPIO DE ARBOLETES-ANTIOQUIA</v>
      </c>
      <c r="C3" s="833"/>
      <c r="D3" s="833"/>
      <c r="E3" s="833"/>
      <c r="F3" s="833"/>
      <c r="G3" s="833"/>
      <c r="H3" s="833"/>
      <c r="I3" s="833"/>
      <c r="J3" s="42"/>
      <c r="K3" s="42"/>
      <c r="L3" s="37"/>
      <c r="M3" s="38"/>
      <c r="N3" s="38"/>
      <c r="O3" s="38"/>
      <c r="P3" s="38"/>
      <c r="Q3" s="39"/>
      <c r="R3" s="39"/>
      <c r="S3" s="39"/>
      <c r="T3" s="37"/>
      <c r="U3" s="37"/>
      <c r="V3" s="37"/>
      <c r="W3" s="40"/>
    </row>
    <row r="5" spans="1:23" x14ac:dyDescent="0.25">
      <c r="B5" s="834" t="s">
        <v>53</v>
      </c>
      <c r="C5" s="834"/>
    </row>
    <row r="6" spans="1:23" x14ac:dyDescent="0.25">
      <c r="B6" s="82" t="s">
        <v>83</v>
      </c>
      <c r="C6" s="83">
        <f>1300000+162000</f>
        <v>1462000</v>
      </c>
    </row>
    <row r="7" spans="1:23" x14ac:dyDescent="0.25">
      <c r="B7" s="45">
        <v>0.214</v>
      </c>
      <c r="C7" s="46" t="s">
        <v>54</v>
      </c>
    </row>
    <row r="8" spans="1:23" x14ac:dyDescent="0.25">
      <c r="B8" s="45">
        <v>0.16</v>
      </c>
      <c r="C8" s="46" t="s">
        <v>55</v>
      </c>
    </row>
    <row r="9" spans="1:23" x14ac:dyDescent="0.25">
      <c r="B9" s="45">
        <v>0.08</v>
      </c>
      <c r="C9" s="47" t="s">
        <v>56</v>
      </c>
    </row>
    <row r="10" spans="1:23" ht="15.6" x14ac:dyDescent="0.3">
      <c r="B10" s="45">
        <v>6.9000000000000006E-2</v>
      </c>
      <c r="C10" s="46" t="s">
        <v>57</v>
      </c>
      <c r="L10" s="48"/>
    </row>
    <row r="11" spans="1:23" x14ac:dyDescent="0.25">
      <c r="B11" s="45">
        <v>0.09</v>
      </c>
      <c r="C11" s="49" t="s">
        <v>58</v>
      </c>
    </row>
    <row r="12" spans="1:23" x14ac:dyDescent="0.25">
      <c r="B12" s="50">
        <f>+SUM(B7:B11)</f>
        <v>0.61299999999999999</v>
      </c>
    </row>
    <row r="14" spans="1:23" s="54" customFormat="1" ht="15" customHeight="1" x14ac:dyDescent="0.3">
      <c r="A14" s="51">
        <v>1</v>
      </c>
      <c r="B14" s="830" t="s">
        <v>59</v>
      </c>
      <c r="C14" s="830"/>
      <c r="D14" s="51" t="s">
        <v>60</v>
      </c>
      <c r="E14" s="52">
        <f>+H21</f>
        <v>292400</v>
      </c>
      <c r="F14" s="52">
        <f>+I21-E14</f>
        <v>179241.19999999995</v>
      </c>
      <c r="G14" s="53">
        <f>+E14+F14</f>
        <v>471641.19999999995</v>
      </c>
      <c r="H14" s="831"/>
      <c r="I14" s="831"/>
    </row>
    <row r="15" spans="1:23" ht="13.8" outlineLevel="1" thickBot="1" x14ac:dyDescent="0.3">
      <c r="I15" s="44"/>
    </row>
    <row r="16" spans="1:23" s="55" customFormat="1" ht="54" customHeight="1" outlineLevel="1" thickBot="1" x14ac:dyDescent="0.3">
      <c r="B16" s="56" t="s">
        <v>61</v>
      </c>
      <c r="C16" s="57" t="s">
        <v>62</v>
      </c>
      <c r="D16" s="58" t="s">
        <v>63</v>
      </c>
      <c r="E16" s="57" t="s">
        <v>64</v>
      </c>
      <c r="F16" s="57" t="s">
        <v>65</v>
      </c>
      <c r="G16" s="57" t="s">
        <v>19</v>
      </c>
      <c r="H16" s="58" t="s">
        <v>66</v>
      </c>
      <c r="I16" s="59" t="s">
        <v>67</v>
      </c>
    </row>
    <row r="17" spans="1:9" outlineLevel="1" x14ac:dyDescent="0.25">
      <c r="B17" s="60" t="s">
        <v>68</v>
      </c>
      <c r="C17" s="61">
        <f>+C19*3</f>
        <v>146200</v>
      </c>
      <c r="D17" s="62">
        <f>+$B$12</f>
        <v>0.61299999999999999</v>
      </c>
      <c r="E17" s="61">
        <f>+C17*D17</f>
        <v>89620.599999999991</v>
      </c>
      <c r="F17" s="61">
        <f>+C17+E17</f>
        <v>235820.59999999998</v>
      </c>
      <c r="G17" s="63">
        <v>1</v>
      </c>
      <c r="H17" s="61">
        <f>+C17*G17</f>
        <v>146200</v>
      </c>
      <c r="I17" s="64">
        <f>+F17*G17</f>
        <v>235820.59999999998</v>
      </c>
    </row>
    <row r="18" spans="1:9" outlineLevel="1" x14ac:dyDescent="0.25">
      <c r="B18" s="65" t="s">
        <v>69</v>
      </c>
      <c r="C18" s="66">
        <f>+C19*2</f>
        <v>97466.666666666672</v>
      </c>
      <c r="D18" s="62">
        <f>+$B$12</f>
        <v>0.61299999999999999</v>
      </c>
      <c r="E18" s="66">
        <f>+C18*D18</f>
        <v>59747.066666666666</v>
      </c>
      <c r="F18" s="66">
        <f>+C18+E18</f>
        <v>157213.73333333334</v>
      </c>
      <c r="G18" s="67">
        <v>1</v>
      </c>
      <c r="H18" s="66">
        <f>+C18*G18</f>
        <v>97466.666666666672</v>
      </c>
      <c r="I18" s="68">
        <f>+F18*G18</f>
        <v>157213.73333333334</v>
      </c>
    </row>
    <row r="19" spans="1:9" outlineLevel="1" x14ac:dyDescent="0.25">
      <c r="B19" s="65" t="s">
        <v>70</v>
      </c>
      <c r="C19" s="66">
        <f>C6/30</f>
        <v>48733.333333333336</v>
      </c>
      <c r="D19" s="62">
        <f>+$B$12</f>
        <v>0.61299999999999999</v>
      </c>
      <c r="E19" s="66">
        <f>+C19*D19</f>
        <v>29873.533333333333</v>
      </c>
      <c r="F19" s="66">
        <f>+C19+E19</f>
        <v>78606.866666666669</v>
      </c>
      <c r="G19" s="67">
        <v>1</v>
      </c>
      <c r="H19" s="66">
        <f>+C19*G19</f>
        <v>48733.333333333336</v>
      </c>
      <c r="I19" s="68">
        <f>+F19*G19</f>
        <v>78606.866666666669</v>
      </c>
    </row>
    <row r="20" spans="1:9" ht="13.8" outlineLevel="1" thickBot="1" x14ac:dyDescent="0.3">
      <c r="B20" s="69"/>
      <c r="C20" s="70"/>
      <c r="D20" s="71"/>
      <c r="E20" s="70">
        <f>+C20*D20</f>
        <v>0</v>
      </c>
      <c r="F20" s="70">
        <f>+C20+E20</f>
        <v>0</v>
      </c>
      <c r="G20" s="72"/>
      <c r="H20" s="73">
        <f>+C20*G20</f>
        <v>0</v>
      </c>
      <c r="I20" s="74">
        <f>+F20*G20</f>
        <v>0</v>
      </c>
    </row>
    <row r="21" spans="1:9" ht="13.8" outlineLevel="1" thickBot="1" x14ac:dyDescent="0.3">
      <c r="C21" s="171"/>
      <c r="D21" s="54"/>
      <c r="E21" s="54"/>
      <c r="F21" s="54"/>
      <c r="G21" s="75" t="s">
        <v>71</v>
      </c>
      <c r="H21" s="76">
        <f>+SUM(H17:H20)</f>
        <v>292400</v>
      </c>
      <c r="I21" s="77">
        <f>+SUM(I17:I20)</f>
        <v>471641.19999999995</v>
      </c>
    </row>
    <row r="22" spans="1:9" outlineLevel="1" x14ac:dyDescent="0.25"/>
    <row r="24" spans="1:9" s="54" customFormat="1" ht="15" customHeight="1" x14ac:dyDescent="0.3">
      <c r="A24" s="51">
        <v>2</v>
      </c>
      <c r="B24" s="830" t="s">
        <v>72</v>
      </c>
      <c r="C24" s="830"/>
      <c r="D24" s="51" t="s">
        <v>50</v>
      </c>
      <c r="E24" s="52">
        <f>+H31</f>
        <v>341133.33333333337</v>
      </c>
      <c r="F24" s="52">
        <f>+I31-E24</f>
        <v>209114.73333333328</v>
      </c>
      <c r="G24" s="53">
        <f>+E24+F24</f>
        <v>550248.06666666665</v>
      </c>
      <c r="H24" s="831"/>
      <c r="I24" s="831"/>
    </row>
    <row r="25" spans="1:9" ht="13.8" outlineLevel="1" thickBot="1" x14ac:dyDescent="0.3">
      <c r="I25" s="44"/>
    </row>
    <row r="26" spans="1:9" s="55" customFormat="1" ht="54.75" customHeight="1" outlineLevel="1" thickBot="1" x14ac:dyDescent="0.3">
      <c r="B26" s="56" t="s">
        <v>61</v>
      </c>
      <c r="C26" s="57" t="s">
        <v>62</v>
      </c>
      <c r="D26" s="58" t="s">
        <v>63</v>
      </c>
      <c r="E26" s="57" t="s">
        <v>64</v>
      </c>
      <c r="F26" s="57" t="s">
        <v>65</v>
      </c>
      <c r="G26" s="57" t="s">
        <v>19</v>
      </c>
      <c r="H26" s="58" t="s">
        <v>66</v>
      </c>
      <c r="I26" s="59" t="s">
        <v>67</v>
      </c>
    </row>
    <row r="27" spans="1:9" outlineLevel="1" x14ac:dyDescent="0.25">
      <c r="B27" s="60" t="s">
        <v>68</v>
      </c>
      <c r="C27" s="61">
        <f>+C17</f>
        <v>146200</v>
      </c>
      <c r="D27" s="62">
        <f>+$B$12</f>
        <v>0.61299999999999999</v>
      </c>
      <c r="E27" s="61">
        <f>+C27*D27</f>
        <v>89620.599999999991</v>
      </c>
      <c r="F27" s="61">
        <f>+C27+E27</f>
        <v>235820.59999999998</v>
      </c>
      <c r="G27" s="63">
        <v>1</v>
      </c>
      <c r="H27" s="61">
        <f>+C27*G27</f>
        <v>146200</v>
      </c>
      <c r="I27" s="64">
        <f>+F27*G27</f>
        <v>235820.59999999998</v>
      </c>
    </row>
    <row r="28" spans="1:9" outlineLevel="1" x14ac:dyDescent="0.25">
      <c r="B28" s="65" t="s">
        <v>69</v>
      </c>
      <c r="C28" s="66">
        <f>+C18</f>
        <v>97466.666666666672</v>
      </c>
      <c r="D28" s="62">
        <f>+$B$12</f>
        <v>0.61299999999999999</v>
      </c>
      <c r="E28" s="66">
        <f>+C28*D28</f>
        <v>59747.066666666666</v>
      </c>
      <c r="F28" s="66">
        <f>+C28+E28</f>
        <v>157213.73333333334</v>
      </c>
      <c r="G28" s="67">
        <v>1</v>
      </c>
      <c r="H28" s="66">
        <f>+C28*G28</f>
        <v>97466.666666666672</v>
      </c>
      <c r="I28" s="68">
        <f>+F28*G28</f>
        <v>157213.73333333334</v>
      </c>
    </row>
    <row r="29" spans="1:9" outlineLevel="1" x14ac:dyDescent="0.25">
      <c r="B29" s="65" t="s">
        <v>70</v>
      </c>
      <c r="C29" s="66">
        <f>+C19</f>
        <v>48733.333333333336</v>
      </c>
      <c r="D29" s="62">
        <f>+$B$12</f>
        <v>0.61299999999999999</v>
      </c>
      <c r="E29" s="66">
        <f>+C29*D29</f>
        <v>29873.533333333333</v>
      </c>
      <c r="F29" s="66">
        <f>+C29+E29</f>
        <v>78606.866666666669</v>
      </c>
      <c r="G29" s="67">
        <v>2</v>
      </c>
      <c r="H29" s="66">
        <f>+C29*G29</f>
        <v>97466.666666666672</v>
      </c>
      <c r="I29" s="68">
        <f>+F29*G29</f>
        <v>157213.73333333334</v>
      </c>
    </row>
    <row r="30" spans="1:9" ht="13.8" outlineLevel="1" thickBot="1" x14ac:dyDescent="0.3">
      <c r="B30" s="69"/>
      <c r="C30" s="70"/>
      <c r="D30" s="71"/>
      <c r="E30" s="70">
        <f>+C30*D30</f>
        <v>0</v>
      </c>
      <c r="F30" s="70">
        <f>+C30+E30</f>
        <v>0</v>
      </c>
      <c r="G30" s="72"/>
      <c r="H30" s="73">
        <f>+C30*G30</f>
        <v>0</v>
      </c>
      <c r="I30" s="74">
        <f>+F30*G30</f>
        <v>0</v>
      </c>
    </row>
    <row r="31" spans="1:9" ht="13.8" outlineLevel="1" thickBot="1" x14ac:dyDescent="0.3">
      <c r="C31" s="54"/>
      <c r="D31" s="54"/>
      <c r="E31" s="54"/>
      <c r="F31" s="54"/>
      <c r="G31" s="75" t="s">
        <v>71</v>
      </c>
      <c r="H31" s="76">
        <f>+SUM(H27:H30)</f>
        <v>341133.33333333337</v>
      </c>
      <c r="I31" s="77">
        <f>+SUM(I27:I30)</f>
        <v>550248.06666666665</v>
      </c>
    </row>
    <row r="32" spans="1:9" outlineLevel="1" x14ac:dyDescent="0.25"/>
    <row r="35" spans="1:9" s="54" customFormat="1" ht="15" customHeight="1" x14ac:dyDescent="0.3">
      <c r="A35" s="51">
        <v>3</v>
      </c>
      <c r="B35" s="830" t="s">
        <v>73</v>
      </c>
      <c r="C35" s="830"/>
      <c r="D35" s="51" t="s">
        <v>74</v>
      </c>
      <c r="E35" s="52">
        <f>+H42</f>
        <v>389866.66666666669</v>
      </c>
      <c r="F35" s="52">
        <f>+I42-E35</f>
        <v>238988.26666666666</v>
      </c>
      <c r="G35" s="53">
        <f>+E35+F35</f>
        <v>628854.93333333335</v>
      </c>
      <c r="H35" s="831"/>
      <c r="I35" s="831"/>
    </row>
    <row r="36" spans="1:9" ht="13.8" outlineLevel="1" thickBot="1" x14ac:dyDescent="0.3">
      <c r="I36" s="44"/>
    </row>
    <row r="37" spans="1:9" s="55" customFormat="1" ht="53.4" outlineLevel="1" thickBot="1" x14ac:dyDescent="0.3">
      <c r="B37" s="56" t="s">
        <v>61</v>
      </c>
      <c r="C37" s="57" t="s">
        <v>62</v>
      </c>
      <c r="D37" s="58" t="s">
        <v>63</v>
      </c>
      <c r="E37" s="57" t="s">
        <v>64</v>
      </c>
      <c r="F37" s="57" t="s">
        <v>65</v>
      </c>
      <c r="G37" s="57" t="s">
        <v>19</v>
      </c>
      <c r="H37" s="58" t="s">
        <v>66</v>
      </c>
      <c r="I37" s="59" t="s">
        <v>67</v>
      </c>
    </row>
    <row r="38" spans="1:9" outlineLevel="1" x14ac:dyDescent="0.25">
      <c r="B38" s="60" t="s">
        <v>75</v>
      </c>
      <c r="C38" s="61">
        <f>+C27</f>
        <v>146200</v>
      </c>
      <c r="D38" s="62">
        <f>+$B$12</f>
        <v>0.61299999999999999</v>
      </c>
      <c r="E38" s="61">
        <f>+C38*D38</f>
        <v>89620.599999999991</v>
      </c>
      <c r="F38" s="61">
        <f>+C38+E38</f>
        <v>235820.59999999998</v>
      </c>
      <c r="G38" s="63">
        <v>1</v>
      </c>
      <c r="H38" s="61">
        <f>+C38*G38</f>
        <v>146200</v>
      </c>
      <c r="I38" s="64">
        <f>+F38*G38</f>
        <v>235820.59999999998</v>
      </c>
    </row>
    <row r="39" spans="1:9" outlineLevel="1" x14ac:dyDescent="0.25">
      <c r="B39" s="65" t="s">
        <v>76</v>
      </c>
      <c r="C39" s="66">
        <f>+C28</f>
        <v>97466.666666666672</v>
      </c>
      <c r="D39" s="62">
        <f>+$B$12</f>
        <v>0.61299999999999999</v>
      </c>
      <c r="E39" s="66">
        <f>+C39*D39</f>
        <v>59747.066666666666</v>
      </c>
      <c r="F39" s="66">
        <f>+C39+E39</f>
        <v>157213.73333333334</v>
      </c>
      <c r="G39" s="67">
        <v>1</v>
      </c>
      <c r="H39" s="66">
        <f>+C39*G39</f>
        <v>97466.666666666672</v>
      </c>
      <c r="I39" s="68">
        <f>+F39*G39</f>
        <v>157213.73333333334</v>
      </c>
    </row>
    <row r="40" spans="1:9" outlineLevel="1" x14ac:dyDescent="0.25">
      <c r="B40" s="65" t="s">
        <v>77</v>
      </c>
      <c r="C40" s="66">
        <f>+C29</f>
        <v>48733.333333333336</v>
      </c>
      <c r="D40" s="62">
        <f>+$B$12</f>
        <v>0.61299999999999999</v>
      </c>
      <c r="E40" s="66">
        <f>+C40*D40</f>
        <v>29873.533333333333</v>
      </c>
      <c r="F40" s="66">
        <f>+C40+E40</f>
        <v>78606.866666666669</v>
      </c>
      <c r="G40" s="67">
        <v>3</v>
      </c>
      <c r="H40" s="66">
        <f>+C40*G40</f>
        <v>146200</v>
      </c>
      <c r="I40" s="68">
        <f>+F40*G40</f>
        <v>235820.6</v>
      </c>
    </row>
    <row r="41" spans="1:9" ht="13.8" outlineLevel="1" thickBot="1" x14ac:dyDescent="0.3">
      <c r="B41" s="69"/>
      <c r="C41" s="70"/>
      <c r="D41" s="71"/>
      <c r="E41" s="70">
        <f>+C41*D41</f>
        <v>0</v>
      </c>
      <c r="F41" s="70">
        <f>+C41+E41</f>
        <v>0</v>
      </c>
      <c r="G41" s="72"/>
      <c r="H41" s="73">
        <f>+C41*G41</f>
        <v>0</v>
      </c>
      <c r="I41" s="74">
        <f>+F41*G41</f>
        <v>0</v>
      </c>
    </row>
    <row r="42" spans="1:9" ht="13.8" outlineLevel="1" thickBot="1" x14ac:dyDescent="0.3">
      <c r="C42" s="54"/>
      <c r="D42" s="54"/>
      <c r="E42" s="54"/>
      <c r="F42" s="54"/>
      <c r="G42" s="75" t="s">
        <v>71</v>
      </c>
      <c r="H42" s="76">
        <f>+SUM(H38:H41)</f>
        <v>389866.66666666669</v>
      </c>
      <c r="I42" s="77">
        <f>+SUM(I38:I41)</f>
        <v>628854.93333333335</v>
      </c>
    </row>
    <row r="43" spans="1:9" outlineLevel="1" x14ac:dyDescent="0.25">
      <c r="C43" s="54"/>
      <c r="D43" s="54"/>
      <c r="E43" s="54"/>
      <c r="F43" s="54"/>
      <c r="G43" s="78"/>
      <c r="H43" s="79"/>
      <c r="I43" s="79"/>
    </row>
    <row r="44" spans="1:9" outlineLevel="1" x14ac:dyDescent="0.25">
      <c r="A44" s="43">
        <v>4</v>
      </c>
      <c r="B44" s="830" t="s">
        <v>78</v>
      </c>
      <c r="C44" s="830"/>
      <c r="D44" s="51" t="s">
        <v>79</v>
      </c>
      <c r="E44" s="52">
        <f>+H51</f>
        <v>214426.66666666666</v>
      </c>
      <c r="F44" s="52">
        <f>+I51-E44</f>
        <v>131443.54666666672</v>
      </c>
      <c r="G44" s="53">
        <f>+E44+F44</f>
        <v>345870.21333333338</v>
      </c>
      <c r="H44" s="831"/>
      <c r="I44" s="831"/>
    </row>
    <row r="45" spans="1:9" ht="13.8" outlineLevel="1" thickBot="1" x14ac:dyDescent="0.3">
      <c r="C45" s="54"/>
      <c r="D45" s="54"/>
      <c r="E45" s="54"/>
      <c r="F45" s="54"/>
      <c r="G45" s="78"/>
      <c r="H45" s="79"/>
      <c r="I45" s="79"/>
    </row>
    <row r="46" spans="1:9" ht="53.25" customHeight="1" outlineLevel="1" thickBot="1" x14ac:dyDescent="0.3">
      <c r="B46" s="56" t="s">
        <v>61</v>
      </c>
      <c r="C46" s="57" t="s">
        <v>62</v>
      </c>
      <c r="D46" s="58" t="s">
        <v>63</v>
      </c>
      <c r="E46" s="57" t="s">
        <v>64</v>
      </c>
      <c r="F46" s="57" t="s">
        <v>65</v>
      </c>
      <c r="G46" s="57" t="s">
        <v>19</v>
      </c>
      <c r="H46" s="58" t="s">
        <v>66</v>
      </c>
      <c r="I46" s="59" t="s">
        <v>67</v>
      </c>
    </row>
    <row r="47" spans="1:9" outlineLevel="1" x14ac:dyDescent="0.25">
      <c r="B47" s="60" t="s">
        <v>80</v>
      </c>
      <c r="C47" s="61">
        <f>+C49*1.9</f>
        <v>92593.333333333328</v>
      </c>
      <c r="D47" s="62">
        <f>+$B$12</f>
        <v>0.61299999999999999</v>
      </c>
      <c r="E47" s="61">
        <f>+C47*D47</f>
        <v>56759.713333333326</v>
      </c>
      <c r="F47" s="61">
        <f>+C47+E47</f>
        <v>149353.04666666666</v>
      </c>
      <c r="G47" s="63">
        <v>1</v>
      </c>
      <c r="H47" s="61">
        <f>+C47</f>
        <v>92593.333333333328</v>
      </c>
      <c r="I47" s="64">
        <f>+F47</f>
        <v>149353.04666666666</v>
      </c>
    </row>
    <row r="48" spans="1:9" outlineLevel="1" x14ac:dyDescent="0.25">
      <c r="B48" s="65" t="s">
        <v>81</v>
      </c>
      <c r="C48" s="66">
        <f>C49*1.5</f>
        <v>73100</v>
      </c>
      <c r="D48" s="62">
        <f>+$B$12</f>
        <v>0.61299999999999999</v>
      </c>
      <c r="E48" s="61">
        <f>+C48*D48</f>
        <v>44810.299999999996</v>
      </c>
      <c r="F48" s="61">
        <f>+C48+E48</f>
        <v>117910.29999999999</v>
      </c>
      <c r="G48" s="67">
        <v>1</v>
      </c>
      <c r="H48" s="61">
        <f>+C48</f>
        <v>73100</v>
      </c>
      <c r="I48" s="64">
        <f>+F48</f>
        <v>117910.29999999999</v>
      </c>
    </row>
    <row r="49" spans="1:16" outlineLevel="1" x14ac:dyDescent="0.25">
      <c r="B49" s="65" t="s">
        <v>82</v>
      </c>
      <c r="C49" s="66">
        <f>C40</f>
        <v>48733.333333333336</v>
      </c>
      <c r="D49" s="62">
        <f>+$B$12</f>
        <v>0.61299999999999999</v>
      </c>
      <c r="E49" s="61">
        <f>+C49*D49</f>
        <v>29873.533333333333</v>
      </c>
      <c r="F49" s="61">
        <f>+C49+E49</f>
        <v>78606.866666666669</v>
      </c>
      <c r="G49" s="67">
        <v>1</v>
      </c>
      <c r="H49" s="61">
        <f>+C49</f>
        <v>48733.333333333336</v>
      </c>
      <c r="I49" s="64">
        <f>+F49</f>
        <v>78606.866666666669</v>
      </c>
    </row>
    <row r="50" spans="1:16" ht="13.8" outlineLevel="1" thickBot="1" x14ac:dyDescent="0.3">
      <c r="B50" s="69"/>
      <c r="C50" s="80"/>
      <c r="D50" s="71"/>
      <c r="E50" s="70"/>
      <c r="F50" s="70"/>
      <c r="G50" s="72"/>
      <c r="H50" s="73"/>
      <c r="I50" s="74"/>
    </row>
    <row r="51" spans="1:16" ht="13.8" outlineLevel="1" thickBot="1" x14ac:dyDescent="0.3">
      <c r="C51" s="54"/>
      <c r="D51" s="54"/>
      <c r="E51" s="54"/>
      <c r="F51" s="54"/>
      <c r="G51" s="75" t="s">
        <v>71</v>
      </c>
      <c r="H51" s="76">
        <f>+SUM(H47:H50)</f>
        <v>214426.66666666666</v>
      </c>
      <c r="I51" s="77">
        <f>+SUM(I47:I50)</f>
        <v>345870.21333333338</v>
      </c>
    </row>
    <row r="52" spans="1:16" s="44" customFormat="1" ht="12.75" customHeight="1" x14ac:dyDescent="0.3">
      <c r="A52" s="829"/>
      <c r="B52" s="829"/>
      <c r="C52" s="829"/>
      <c r="D52" s="829"/>
      <c r="E52" s="829"/>
      <c r="F52" s="829"/>
      <c r="G52" s="829"/>
      <c r="H52" s="829"/>
      <c r="I52" s="829"/>
      <c r="M52" s="81"/>
      <c r="N52" s="81"/>
      <c r="O52" s="81"/>
      <c r="P52" s="81"/>
    </row>
    <row r="55" spans="1:16" x14ac:dyDescent="0.25">
      <c r="A55" s="51">
        <f>+A44+1</f>
        <v>5</v>
      </c>
      <c r="B55" s="830" t="s">
        <v>72</v>
      </c>
      <c r="C55" s="830"/>
      <c r="D55" s="51" t="s">
        <v>50</v>
      </c>
      <c r="E55" s="52">
        <f>+H62</f>
        <v>389866.66666666669</v>
      </c>
      <c r="F55" s="52">
        <f>+I62-E55</f>
        <v>238988.26666666666</v>
      </c>
      <c r="G55" s="53">
        <f>+E55+F55</f>
        <v>628854.93333333335</v>
      </c>
      <c r="H55" s="831"/>
      <c r="I55" s="831"/>
    </row>
    <row r="56" spans="1:16" ht="13.8" thickBot="1" x14ac:dyDescent="0.3">
      <c r="I56" s="44"/>
    </row>
    <row r="57" spans="1:16" ht="53.4" thickBot="1" x14ac:dyDescent="0.3">
      <c r="A57" s="55"/>
      <c r="B57" s="56" t="s">
        <v>61</v>
      </c>
      <c r="C57" s="57" t="s">
        <v>62</v>
      </c>
      <c r="D57" s="58" t="s">
        <v>63</v>
      </c>
      <c r="E57" s="57" t="s">
        <v>64</v>
      </c>
      <c r="F57" s="57" t="s">
        <v>65</v>
      </c>
      <c r="G57" s="57" t="s">
        <v>19</v>
      </c>
      <c r="H57" s="58" t="s">
        <v>66</v>
      </c>
      <c r="I57" s="59" t="s">
        <v>67</v>
      </c>
    </row>
    <row r="58" spans="1:16" x14ac:dyDescent="0.25">
      <c r="B58" s="60" t="s">
        <v>68</v>
      </c>
      <c r="C58" s="61">
        <f>+C38</f>
        <v>146200</v>
      </c>
      <c r="D58" s="62">
        <f>+$B$12</f>
        <v>0.61299999999999999</v>
      </c>
      <c r="E58" s="61">
        <f>+C58*D58</f>
        <v>89620.599999999991</v>
      </c>
      <c r="F58" s="61">
        <f>+C58+E58</f>
        <v>235820.59999999998</v>
      </c>
      <c r="G58" s="63">
        <v>1</v>
      </c>
      <c r="H58" s="61">
        <f>+C58*G58</f>
        <v>146200</v>
      </c>
      <c r="I58" s="64">
        <f>+F58*G58</f>
        <v>235820.59999999998</v>
      </c>
    </row>
    <row r="59" spans="1:16" x14ac:dyDescent="0.25">
      <c r="B59" s="65" t="s">
        <v>69</v>
      </c>
      <c r="C59" s="66">
        <f>+C39</f>
        <v>97466.666666666672</v>
      </c>
      <c r="D59" s="62">
        <f>+$B$12</f>
        <v>0.61299999999999999</v>
      </c>
      <c r="E59" s="66">
        <f>+C59*D59</f>
        <v>59747.066666666666</v>
      </c>
      <c r="F59" s="66">
        <f>+C59+E59</f>
        <v>157213.73333333334</v>
      </c>
      <c r="G59" s="67">
        <v>1</v>
      </c>
      <c r="H59" s="66">
        <f>+C59*G59</f>
        <v>97466.666666666672</v>
      </c>
      <c r="I59" s="68">
        <f>+F59*G59</f>
        <v>157213.73333333334</v>
      </c>
    </row>
    <row r="60" spans="1:16" x14ac:dyDescent="0.25">
      <c r="B60" s="65" t="s">
        <v>70</v>
      </c>
      <c r="C60" s="66">
        <f>+C49</f>
        <v>48733.333333333336</v>
      </c>
      <c r="D60" s="62">
        <f>+$B$12</f>
        <v>0.61299999999999999</v>
      </c>
      <c r="E60" s="66">
        <f>+C60*D60</f>
        <v>29873.533333333333</v>
      </c>
      <c r="F60" s="66">
        <f>+C60+E60</f>
        <v>78606.866666666669</v>
      </c>
      <c r="G60" s="67">
        <v>3</v>
      </c>
      <c r="H60" s="66">
        <f>+C60*G60</f>
        <v>146200</v>
      </c>
      <c r="I60" s="68">
        <f>+F60*G60</f>
        <v>235820.6</v>
      </c>
    </row>
    <row r="61" spans="1:16" ht="13.8" thickBot="1" x14ac:dyDescent="0.3">
      <c r="B61" s="69"/>
      <c r="C61" s="70"/>
      <c r="D61" s="71"/>
      <c r="E61" s="70">
        <f>+C61*D61</f>
        <v>0</v>
      </c>
      <c r="F61" s="70">
        <f>+C61+E61</f>
        <v>0</v>
      </c>
      <c r="G61" s="72"/>
      <c r="H61" s="73">
        <f>+C61*G61</f>
        <v>0</v>
      </c>
      <c r="I61" s="74">
        <f>+F61*G61</f>
        <v>0</v>
      </c>
    </row>
    <row r="62" spans="1:16" ht="13.8" thickBot="1" x14ac:dyDescent="0.3">
      <c r="C62" s="54"/>
      <c r="D62" s="54"/>
      <c r="E62" s="54"/>
      <c r="F62" s="54"/>
      <c r="G62" s="75" t="s">
        <v>71</v>
      </c>
      <c r="H62" s="76">
        <f>+SUM(H58:H61)</f>
        <v>389866.66666666669</v>
      </c>
      <c r="I62" s="77">
        <f>+SUM(I58:I61)</f>
        <v>628854.93333333335</v>
      </c>
    </row>
    <row r="66" spans="1:9" x14ac:dyDescent="0.25">
      <c r="A66" s="51">
        <f>+A55+1</f>
        <v>6</v>
      </c>
      <c r="B66" s="830" t="s">
        <v>72</v>
      </c>
      <c r="C66" s="830"/>
      <c r="D66" s="51" t="s">
        <v>50</v>
      </c>
      <c r="E66" s="52">
        <f>+H73</f>
        <v>438600</v>
      </c>
      <c r="F66" s="52">
        <f>+I73-E66</f>
        <v>268861.80000000005</v>
      </c>
      <c r="G66" s="53">
        <f>+E66+F66</f>
        <v>707461.8</v>
      </c>
      <c r="H66" s="831"/>
      <c r="I66" s="831"/>
    </row>
    <row r="67" spans="1:9" ht="13.8" thickBot="1" x14ac:dyDescent="0.3">
      <c r="I67" s="44"/>
    </row>
    <row r="68" spans="1:9" ht="53.4" thickBot="1" x14ac:dyDescent="0.3">
      <c r="A68" s="55"/>
      <c r="B68" s="56" t="s">
        <v>61</v>
      </c>
      <c r="C68" s="57" t="s">
        <v>62</v>
      </c>
      <c r="D68" s="58" t="s">
        <v>63</v>
      </c>
      <c r="E68" s="57" t="s">
        <v>64</v>
      </c>
      <c r="F68" s="57" t="s">
        <v>65</v>
      </c>
      <c r="G68" s="57" t="s">
        <v>19</v>
      </c>
      <c r="H68" s="58" t="s">
        <v>66</v>
      </c>
      <c r="I68" s="59" t="s">
        <v>67</v>
      </c>
    </row>
    <row r="69" spans="1:9" x14ac:dyDescent="0.25">
      <c r="B69" s="60" t="s">
        <v>68</v>
      </c>
      <c r="C69" s="61">
        <f>+C58</f>
        <v>146200</v>
      </c>
      <c r="D69" s="62">
        <f>+$B$12</f>
        <v>0.61299999999999999</v>
      </c>
      <c r="E69" s="61">
        <f>+C69*D69</f>
        <v>89620.599999999991</v>
      </c>
      <c r="F69" s="61">
        <f>+C69+E69</f>
        <v>235820.59999999998</v>
      </c>
      <c r="G69" s="63">
        <v>1</v>
      </c>
      <c r="H69" s="61">
        <f>+C69*G69</f>
        <v>146200</v>
      </c>
      <c r="I69" s="64">
        <f>+F69*G69</f>
        <v>235820.59999999998</v>
      </c>
    </row>
    <row r="70" spans="1:9" x14ac:dyDescent="0.25">
      <c r="B70" s="65" t="s">
        <v>69</v>
      </c>
      <c r="C70" s="66">
        <f>+C59</f>
        <v>97466.666666666672</v>
      </c>
      <c r="D70" s="62">
        <f>+$B$12</f>
        <v>0.61299999999999999</v>
      </c>
      <c r="E70" s="66">
        <f>+C70*D70</f>
        <v>59747.066666666666</v>
      </c>
      <c r="F70" s="66">
        <f>+C70+E70</f>
        <v>157213.73333333334</v>
      </c>
      <c r="G70" s="67">
        <v>1</v>
      </c>
      <c r="H70" s="66">
        <f>+C70*G70</f>
        <v>97466.666666666672</v>
      </c>
      <c r="I70" s="68">
        <f>+F70*G70</f>
        <v>157213.73333333334</v>
      </c>
    </row>
    <row r="71" spans="1:9" x14ac:dyDescent="0.25">
      <c r="B71" s="65" t="s">
        <v>70</v>
      </c>
      <c r="C71" s="66">
        <f>+C60</f>
        <v>48733.333333333336</v>
      </c>
      <c r="D71" s="62">
        <f>+$B$12</f>
        <v>0.61299999999999999</v>
      </c>
      <c r="E71" s="66">
        <f>+C71*D71</f>
        <v>29873.533333333333</v>
      </c>
      <c r="F71" s="66">
        <f>+C71+E71</f>
        <v>78606.866666666669</v>
      </c>
      <c r="G71" s="67">
        <v>4</v>
      </c>
      <c r="H71" s="66">
        <f>+C71*G71</f>
        <v>194933.33333333334</v>
      </c>
      <c r="I71" s="68">
        <f>+F71*G71</f>
        <v>314427.46666666667</v>
      </c>
    </row>
    <row r="72" spans="1:9" ht="13.8" thickBot="1" x14ac:dyDescent="0.3">
      <c r="B72" s="69"/>
      <c r="C72" s="70"/>
      <c r="D72" s="71"/>
      <c r="E72" s="70">
        <f>+C72*D72</f>
        <v>0</v>
      </c>
      <c r="F72" s="70">
        <f>+C72+E72</f>
        <v>0</v>
      </c>
      <c r="G72" s="72"/>
      <c r="H72" s="73">
        <f>+C72*G72</f>
        <v>0</v>
      </c>
      <c r="I72" s="74">
        <f>+F72*G72</f>
        <v>0</v>
      </c>
    </row>
    <row r="73" spans="1:9" ht="13.8" thickBot="1" x14ac:dyDescent="0.3">
      <c r="C73" s="54"/>
      <c r="D73" s="54"/>
      <c r="E73" s="54"/>
      <c r="F73" s="54"/>
      <c r="G73" s="75" t="s">
        <v>71</v>
      </c>
      <c r="H73" s="76">
        <f>+SUM(H69:H72)</f>
        <v>438600</v>
      </c>
      <c r="I73" s="77">
        <f>+SUM(I69:I72)</f>
        <v>707461.8</v>
      </c>
    </row>
    <row r="77" spans="1:9" x14ac:dyDescent="0.25">
      <c r="A77" s="51">
        <f>+A66+1</f>
        <v>7</v>
      </c>
      <c r="B77" s="830" t="s">
        <v>384</v>
      </c>
      <c r="C77" s="830"/>
      <c r="D77" s="51" t="s">
        <v>384</v>
      </c>
      <c r="E77" s="52">
        <f>+H84</f>
        <v>462966.66666666674</v>
      </c>
      <c r="F77" s="52">
        <f>+I84-E77</f>
        <v>283798.56666666665</v>
      </c>
      <c r="G77" s="53">
        <f>+E77+F77</f>
        <v>746765.2333333334</v>
      </c>
      <c r="H77" s="831"/>
      <c r="I77" s="831"/>
    </row>
    <row r="78" spans="1:9" ht="13.8" thickBot="1" x14ac:dyDescent="0.3">
      <c r="I78" s="44"/>
    </row>
    <row r="79" spans="1:9" ht="53.4" thickBot="1" x14ac:dyDescent="0.3">
      <c r="A79" s="55"/>
      <c r="B79" s="56" t="s">
        <v>61</v>
      </c>
      <c r="C79" s="57" t="s">
        <v>62</v>
      </c>
      <c r="D79" s="58" t="s">
        <v>63</v>
      </c>
      <c r="E79" s="57" t="s">
        <v>64</v>
      </c>
      <c r="F79" s="57" t="s">
        <v>65</v>
      </c>
      <c r="G79" s="57" t="s">
        <v>19</v>
      </c>
      <c r="H79" s="58" t="s">
        <v>66</v>
      </c>
      <c r="I79" s="59" t="s">
        <v>67</v>
      </c>
    </row>
    <row r="80" spans="1:9" x14ac:dyDescent="0.25">
      <c r="B80" s="60" t="s">
        <v>391</v>
      </c>
      <c r="C80" s="61">
        <f>+C69*1.1</f>
        <v>160820</v>
      </c>
      <c r="D80" s="62">
        <f>+$B$12</f>
        <v>0.61299999999999999</v>
      </c>
      <c r="E80" s="61">
        <f>+C80*D80</f>
        <v>98582.66</v>
      </c>
      <c r="F80" s="61">
        <f>+C80+E80</f>
        <v>259402.66</v>
      </c>
      <c r="G80" s="63">
        <v>1</v>
      </c>
      <c r="H80" s="61">
        <f>+C80*G80</f>
        <v>160820</v>
      </c>
      <c r="I80" s="64">
        <f>+F80*G80</f>
        <v>259402.66</v>
      </c>
    </row>
    <row r="81" spans="2:9" x14ac:dyDescent="0.25">
      <c r="B81" s="65" t="s">
        <v>385</v>
      </c>
      <c r="C81" s="66">
        <f>+C70*1.1</f>
        <v>107213.33333333334</v>
      </c>
      <c r="D81" s="62">
        <f>+$B$12</f>
        <v>0.61299999999999999</v>
      </c>
      <c r="E81" s="66">
        <f>+C81*D81</f>
        <v>65721.773333333345</v>
      </c>
      <c r="F81" s="66">
        <f>+C81+E81</f>
        <v>172935.10666666669</v>
      </c>
      <c r="G81" s="67">
        <v>1</v>
      </c>
      <c r="H81" s="66">
        <f>+C81*G81</f>
        <v>107213.33333333334</v>
      </c>
      <c r="I81" s="68">
        <f>+F81*G81</f>
        <v>172935.10666666669</v>
      </c>
    </row>
    <row r="82" spans="2:9" x14ac:dyDescent="0.25">
      <c r="B82" s="65" t="s">
        <v>386</v>
      </c>
      <c r="C82" s="66">
        <f>+C71</f>
        <v>48733.333333333336</v>
      </c>
      <c r="D82" s="62">
        <f>+$B$12</f>
        <v>0.61299999999999999</v>
      </c>
      <c r="E82" s="66">
        <f>+C82*D82</f>
        <v>29873.533333333333</v>
      </c>
      <c r="F82" s="66">
        <f>+C82+E82</f>
        <v>78606.866666666669</v>
      </c>
      <c r="G82" s="67">
        <v>4</v>
      </c>
      <c r="H82" s="66">
        <f>+C82*G82</f>
        <v>194933.33333333334</v>
      </c>
      <c r="I82" s="68">
        <f>+F82*G82</f>
        <v>314427.46666666667</v>
      </c>
    </row>
    <row r="83" spans="2:9" ht="13.8" thickBot="1" x14ac:dyDescent="0.3">
      <c r="B83" s="69"/>
      <c r="C83" s="70"/>
      <c r="D83" s="71"/>
      <c r="E83" s="70"/>
      <c r="F83" s="70"/>
      <c r="G83" s="72"/>
      <c r="H83" s="73"/>
      <c r="I83" s="74"/>
    </row>
    <row r="84" spans="2:9" ht="13.8" thickBot="1" x14ac:dyDescent="0.3">
      <c r="C84" s="171"/>
      <c r="D84" s="54"/>
      <c r="E84" s="54"/>
      <c r="F84" s="54"/>
      <c r="G84" s="75" t="s">
        <v>71</v>
      </c>
      <c r="H84" s="76">
        <f>+SUM(H80:H83)</f>
        <v>462966.66666666674</v>
      </c>
      <c r="I84" s="77">
        <f>+SUM(I80:I83)</f>
        <v>746765.2333333334</v>
      </c>
    </row>
    <row r="87" spans="2:9" x14ac:dyDescent="0.25">
      <c r="B87" s="102" t="s">
        <v>68</v>
      </c>
      <c r="C87" s="103">
        <f>I27</f>
        <v>235820.59999999998</v>
      </c>
      <c r="D87" s="102" t="s">
        <v>123</v>
      </c>
    </row>
    <row r="88" spans="2:9" x14ac:dyDescent="0.25">
      <c r="B88" s="173" t="str">
        <f>+B80</f>
        <v>SUPERVISOR ELÉCTRICO</v>
      </c>
      <c r="C88" s="174">
        <f>+F80</f>
        <v>259402.66</v>
      </c>
      <c r="D88" s="173" t="s">
        <v>390</v>
      </c>
    </row>
    <row r="89" spans="2:9" x14ac:dyDescent="0.25">
      <c r="B89" s="173" t="str">
        <f>+B81</f>
        <v>ELECTRICISTA</v>
      </c>
      <c r="C89" s="174">
        <f>+F81</f>
        <v>172935.10666666669</v>
      </c>
      <c r="D89" s="173" t="s">
        <v>389</v>
      </c>
    </row>
    <row r="90" spans="2:9" x14ac:dyDescent="0.25">
      <c r="B90" s="173" t="s">
        <v>342</v>
      </c>
      <c r="C90" s="174">
        <f>C91*1.3</f>
        <v>204377.85333333333</v>
      </c>
      <c r="D90" s="102" t="s">
        <v>343</v>
      </c>
    </row>
    <row r="91" spans="2:9" x14ac:dyDescent="0.25">
      <c r="B91" s="102" t="s">
        <v>120</v>
      </c>
      <c r="C91" s="103">
        <f>I18</f>
        <v>157213.73333333334</v>
      </c>
      <c r="D91" s="102" t="s">
        <v>124</v>
      </c>
    </row>
    <row r="92" spans="2:9" x14ac:dyDescent="0.25">
      <c r="B92" s="173" t="str">
        <f>+B82</f>
        <v>AYUDANTE ELECTRICISTA</v>
      </c>
      <c r="C92" s="174">
        <f>+F81</f>
        <v>172935.10666666669</v>
      </c>
      <c r="D92" s="102" t="s">
        <v>388</v>
      </c>
    </row>
    <row r="93" spans="2:9" x14ac:dyDescent="0.25">
      <c r="B93" s="102" t="s">
        <v>121</v>
      </c>
      <c r="C93" s="103">
        <f>I19</f>
        <v>78606.866666666669</v>
      </c>
      <c r="D93" s="104" t="s">
        <v>125</v>
      </c>
    </row>
    <row r="94" spans="2:9" x14ac:dyDescent="0.25">
      <c r="B94" s="102" t="s">
        <v>80</v>
      </c>
      <c r="C94" s="103">
        <f>I47</f>
        <v>149353.04666666666</v>
      </c>
      <c r="D94" s="104" t="s">
        <v>128</v>
      </c>
    </row>
    <row r="95" spans="2:9" x14ac:dyDescent="0.25">
      <c r="B95" s="102" t="s">
        <v>81</v>
      </c>
      <c r="C95" s="103">
        <f>I48</f>
        <v>117910.29999999999</v>
      </c>
      <c r="D95" s="104" t="s">
        <v>129</v>
      </c>
    </row>
    <row r="96" spans="2:9" x14ac:dyDescent="0.25">
      <c r="B96" s="102" t="s">
        <v>82</v>
      </c>
      <c r="C96" s="103">
        <f>I49</f>
        <v>78606.866666666669</v>
      </c>
      <c r="D96" s="104" t="s">
        <v>130</v>
      </c>
    </row>
    <row r="97" spans="2:4" x14ac:dyDescent="0.25">
      <c r="B97" s="102" t="s">
        <v>72</v>
      </c>
      <c r="C97" s="103">
        <f>G66</f>
        <v>707461.8</v>
      </c>
      <c r="D97" s="102" t="s">
        <v>122</v>
      </c>
    </row>
    <row r="98" spans="2:4" x14ac:dyDescent="0.25">
      <c r="B98" s="102" t="s">
        <v>73</v>
      </c>
      <c r="C98" s="103">
        <f>G35</f>
        <v>628854.93333333335</v>
      </c>
      <c r="D98" s="102" t="s">
        <v>126</v>
      </c>
    </row>
    <row r="99" spans="2:4" x14ac:dyDescent="0.25">
      <c r="B99" s="102" t="s">
        <v>59</v>
      </c>
      <c r="C99" s="105">
        <f>G14</f>
        <v>471641.19999999995</v>
      </c>
      <c r="D99" s="102" t="s">
        <v>127</v>
      </c>
    </row>
    <row r="100" spans="2:4" x14ac:dyDescent="0.25">
      <c r="B100" s="173" t="str">
        <f>+B77</f>
        <v>CUADRILLA ELÉCTRICA</v>
      </c>
      <c r="C100" s="191">
        <f>+G77</f>
        <v>746765.2333333334</v>
      </c>
      <c r="D100" s="173" t="s">
        <v>387</v>
      </c>
    </row>
    <row r="101" spans="2:4" x14ac:dyDescent="0.25">
      <c r="B101" s="102" t="s">
        <v>78</v>
      </c>
      <c r="C101" s="105">
        <f>G44</f>
        <v>345870.21333333338</v>
      </c>
      <c r="D101" s="102" t="s">
        <v>131</v>
      </c>
    </row>
  </sheetData>
  <mergeCells count="21">
    <mergeCell ref="B77:C77"/>
    <mergeCell ref="H77:I77"/>
    <mergeCell ref="C1:I1"/>
    <mergeCell ref="B2:I2"/>
    <mergeCell ref="B3:I3"/>
    <mergeCell ref="B14:C14"/>
    <mergeCell ref="H14:I14"/>
    <mergeCell ref="B55:C55"/>
    <mergeCell ref="H55:I55"/>
    <mergeCell ref="B66:C66"/>
    <mergeCell ref="H66:I66"/>
    <mergeCell ref="B5:C5"/>
    <mergeCell ref="B35:C35"/>
    <mergeCell ref="H35:I35"/>
    <mergeCell ref="B44:C44"/>
    <mergeCell ref="H44:I44"/>
    <mergeCell ref="A52:C52"/>
    <mergeCell ref="D52:F52"/>
    <mergeCell ref="G52:I52"/>
    <mergeCell ref="B24:C24"/>
    <mergeCell ref="H24:I24"/>
  </mergeCells>
  <printOptions horizontalCentered="1"/>
  <pageMargins left="0.23622047244094491" right="0.23622047244094491" top="0.74803149606299213" bottom="0.74803149606299213" header="0.31496062992125984" footer="0.31496062992125984"/>
  <pageSetup scale="81" orientation="landscape" r:id="rId1"/>
  <rowBreaks count="1" manualBreakCount="1">
    <brk id="23" max="8" man="1"/>
  </row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Hoja92"/>
  <dimension ref="A1:E232"/>
  <sheetViews>
    <sheetView zoomScale="85" zoomScaleNormal="85" workbookViewId="0">
      <selection activeCell="B23" sqref="B23"/>
    </sheetView>
  </sheetViews>
  <sheetFormatPr baseColWidth="10" defaultColWidth="11.44140625" defaultRowHeight="13.8" x14ac:dyDescent="0.3"/>
  <cols>
    <col min="1" max="1" width="24" style="4" customWidth="1"/>
    <col min="2" max="2" width="70.6640625" style="5" customWidth="1"/>
    <col min="3" max="3" width="11.44140625" style="4"/>
    <col min="4" max="4" width="16.5546875" style="6" customWidth="1"/>
    <col min="5" max="16384" width="11.44140625" style="5"/>
  </cols>
  <sheetData>
    <row r="1" spans="1:4" s="20" customFormat="1" ht="13.2" x14ac:dyDescent="0.25">
      <c r="A1" s="836"/>
      <c r="B1" s="839" t="str">
        <f>'PPTO HOJA'!A4</f>
        <v>DEPARTAMENTO DE ANTIOQUIA</v>
      </c>
      <c r="C1" s="839"/>
      <c r="D1" s="840"/>
    </row>
    <row r="2" spans="1:4" s="20" customFormat="1" ht="13.2" x14ac:dyDescent="0.25">
      <c r="A2" s="837"/>
      <c r="B2" s="766" t="str">
        <f>'PPTO HOJA'!A5</f>
        <v>MUNICIPIO DE ARBOLETES</v>
      </c>
      <c r="C2" s="766"/>
      <c r="D2" s="841"/>
    </row>
    <row r="3" spans="1:4" s="20" customFormat="1" ht="54.75" customHeight="1" x14ac:dyDescent="0.25">
      <c r="A3" s="837"/>
      <c r="B3" s="767" t="str">
        <f>'PPTO HOJA'!A7</f>
        <v>CONSTRUCCION DE OBRAS CIVILES COMPLEMENTARIAS PARA EL CORRECTO FUNCIONAMIENTO DEL PROYECTO DENOMINADO “PARQUE GEOLÓGICO, NATURAL, AMBIENTAL, CULTURAL Y TURÍSTICO, VOLCÁN DE LODO DE ARBOLETES”, QUE SE LLEVARÁ A CABO EN EL MUNICIPIO DE ARBOLETES-ANTIOQUIA</v>
      </c>
      <c r="C3" s="767"/>
      <c r="D3" s="842"/>
    </row>
    <row r="4" spans="1:4" s="20" customFormat="1" thickBot="1" x14ac:dyDescent="0.3">
      <c r="A4" s="838"/>
      <c r="B4" s="843" t="s">
        <v>310</v>
      </c>
      <c r="C4" s="843"/>
      <c r="D4" s="844"/>
    </row>
    <row r="5" spans="1:4" ht="14.4" thickBot="1" x14ac:dyDescent="0.35">
      <c r="A5" s="128" t="s">
        <v>142</v>
      </c>
      <c r="B5" s="129" t="s">
        <v>143</v>
      </c>
      <c r="C5" s="129" t="s">
        <v>23</v>
      </c>
      <c r="D5" s="130" t="s">
        <v>144</v>
      </c>
    </row>
    <row r="6" spans="1:4" ht="16.8" x14ac:dyDescent="0.3">
      <c r="A6" s="160">
        <v>1</v>
      </c>
      <c r="B6" s="161" t="s">
        <v>141</v>
      </c>
      <c r="C6" s="146" t="s">
        <v>7</v>
      </c>
      <c r="D6" s="162">
        <v>7200</v>
      </c>
    </row>
    <row r="7" spans="1:4" x14ac:dyDescent="0.3">
      <c r="A7" s="1">
        <v>2</v>
      </c>
      <c r="B7" s="169" t="s">
        <v>145</v>
      </c>
      <c r="C7" s="170" t="s">
        <v>9</v>
      </c>
      <c r="D7" s="126">
        <v>60000</v>
      </c>
    </row>
    <row r="8" spans="1:4" ht="16.8" x14ac:dyDescent="0.3">
      <c r="A8" s="1">
        <v>3</v>
      </c>
      <c r="B8" s="169" t="s">
        <v>146</v>
      </c>
      <c r="C8" s="170" t="s">
        <v>8</v>
      </c>
      <c r="D8" s="126">
        <v>48836.409999999996</v>
      </c>
    </row>
    <row r="9" spans="1:4" x14ac:dyDescent="0.3">
      <c r="A9" s="1">
        <v>4</v>
      </c>
      <c r="B9" s="169" t="s">
        <v>147</v>
      </c>
      <c r="C9" s="170" t="s">
        <v>148</v>
      </c>
      <c r="D9" s="126">
        <v>105</v>
      </c>
    </row>
    <row r="10" spans="1:4" x14ac:dyDescent="0.3">
      <c r="A10" s="1">
        <v>5</v>
      </c>
      <c r="B10" s="169" t="s">
        <v>340</v>
      </c>
      <c r="C10" s="170" t="s">
        <v>9</v>
      </c>
      <c r="D10" s="126">
        <v>17500</v>
      </c>
    </row>
    <row r="11" spans="1:4" ht="16.8" x14ac:dyDescent="0.3">
      <c r="A11" s="1">
        <v>6</v>
      </c>
      <c r="B11" s="169" t="s">
        <v>292</v>
      </c>
      <c r="C11" s="170" t="s">
        <v>7</v>
      </c>
      <c r="D11" s="126">
        <v>89250</v>
      </c>
    </row>
    <row r="12" spans="1:4" ht="16.8" x14ac:dyDescent="0.3">
      <c r="A12" s="1">
        <v>7</v>
      </c>
      <c r="B12" s="169" t="s">
        <v>149</v>
      </c>
      <c r="C12" s="170" t="s">
        <v>7</v>
      </c>
      <c r="D12" s="126">
        <v>75864.22</v>
      </c>
    </row>
    <row r="13" spans="1:4" ht="16.8" x14ac:dyDescent="0.3">
      <c r="A13" s="1">
        <v>8</v>
      </c>
      <c r="B13" s="169" t="s">
        <v>150</v>
      </c>
      <c r="C13" s="170" t="s">
        <v>7</v>
      </c>
      <c r="D13" s="126">
        <v>106505</v>
      </c>
    </row>
    <row r="14" spans="1:4" ht="16.8" x14ac:dyDescent="0.3">
      <c r="A14" s="1">
        <v>9</v>
      </c>
      <c r="B14" s="169" t="s">
        <v>348</v>
      </c>
      <c r="C14" s="170" t="s">
        <v>8</v>
      </c>
      <c r="D14" s="126">
        <v>18921</v>
      </c>
    </row>
    <row r="15" spans="1:4" x14ac:dyDescent="0.3">
      <c r="A15" s="1">
        <v>10</v>
      </c>
      <c r="B15" s="169" t="s">
        <v>156</v>
      </c>
      <c r="C15" s="170" t="s">
        <v>135</v>
      </c>
      <c r="D15" s="126">
        <v>1611.26</v>
      </c>
    </row>
    <row r="16" spans="1:4" x14ac:dyDescent="0.3">
      <c r="A16" s="1">
        <v>11</v>
      </c>
      <c r="B16" s="169" t="s">
        <v>157</v>
      </c>
      <c r="C16" s="170" t="s">
        <v>135</v>
      </c>
      <c r="D16" s="126">
        <v>11610.83</v>
      </c>
    </row>
    <row r="17" spans="1:4" ht="27.6" x14ac:dyDescent="0.3">
      <c r="A17" s="1">
        <v>12</v>
      </c>
      <c r="B17" s="195" t="s">
        <v>158</v>
      </c>
      <c r="C17" s="170" t="s">
        <v>49</v>
      </c>
      <c r="D17" s="126">
        <v>7525</v>
      </c>
    </row>
    <row r="18" spans="1:4" x14ac:dyDescent="0.3">
      <c r="A18" s="1">
        <v>13</v>
      </c>
      <c r="B18" s="169" t="s">
        <v>159</v>
      </c>
      <c r="C18" s="170" t="s">
        <v>9</v>
      </c>
      <c r="D18" s="126">
        <v>121080</v>
      </c>
    </row>
    <row r="19" spans="1:4" ht="16.8" x14ac:dyDescent="0.3">
      <c r="A19" s="1">
        <v>14</v>
      </c>
      <c r="B19" s="169" t="s">
        <v>160</v>
      </c>
      <c r="C19" s="170" t="s">
        <v>7</v>
      </c>
      <c r="D19" s="126">
        <v>144000</v>
      </c>
    </row>
    <row r="20" spans="1:4" ht="16.8" x14ac:dyDescent="0.3">
      <c r="A20" s="1">
        <v>15</v>
      </c>
      <c r="B20" s="169" t="s">
        <v>161</v>
      </c>
      <c r="C20" s="170" t="s">
        <v>7</v>
      </c>
      <c r="D20" s="126">
        <v>89250</v>
      </c>
    </row>
    <row r="21" spans="1:4" ht="16.8" x14ac:dyDescent="0.3">
      <c r="A21" s="1">
        <v>16</v>
      </c>
      <c r="B21" s="169" t="s">
        <v>365</v>
      </c>
      <c r="C21" s="170" t="s">
        <v>7</v>
      </c>
      <c r="D21" s="126">
        <v>89250</v>
      </c>
    </row>
    <row r="22" spans="1:4" x14ac:dyDescent="0.3">
      <c r="A22" s="1">
        <v>17</v>
      </c>
      <c r="B22" s="169" t="s">
        <v>162</v>
      </c>
      <c r="C22" s="170" t="s">
        <v>49</v>
      </c>
      <c r="D22" s="126">
        <v>977.2</v>
      </c>
    </row>
    <row r="23" spans="1:4" x14ac:dyDescent="0.3">
      <c r="A23" s="1">
        <v>18</v>
      </c>
      <c r="B23" s="323" t="s">
        <v>583</v>
      </c>
      <c r="C23" s="324" t="s">
        <v>49</v>
      </c>
      <c r="D23" s="325">
        <v>24990</v>
      </c>
    </row>
    <row r="24" spans="1:4" ht="16.8" x14ac:dyDescent="0.3">
      <c r="A24" s="1">
        <v>19</v>
      </c>
      <c r="B24" s="169" t="s">
        <v>307</v>
      </c>
      <c r="C24" s="170" t="s">
        <v>7</v>
      </c>
      <c r="D24" s="126">
        <v>61474.959699999992</v>
      </c>
    </row>
    <row r="25" spans="1:4" x14ac:dyDescent="0.3">
      <c r="A25" s="1">
        <v>20</v>
      </c>
      <c r="B25" s="169" t="s">
        <v>164</v>
      </c>
      <c r="C25" s="170" t="s">
        <v>135</v>
      </c>
      <c r="D25" s="126">
        <v>70805</v>
      </c>
    </row>
    <row r="26" spans="1:4" x14ac:dyDescent="0.3">
      <c r="A26" s="1">
        <v>21</v>
      </c>
      <c r="B26" s="169" t="s">
        <v>250</v>
      </c>
      <c r="C26" s="170" t="s">
        <v>49</v>
      </c>
      <c r="D26" s="126">
        <v>6225</v>
      </c>
    </row>
    <row r="27" spans="1:4" x14ac:dyDescent="0.3">
      <c r="A27" s="1">
        <v>22</v>
      </c>
      <c r="B27" s="169" t="s">
        <v>251</v>
      </c>
      <c r="C27" s="170" t="s">
        <v>49</v>
      </c>
      <c r="D27" s="126">
        <v>12450</v>
      </c>
    </row>
    <row r="28" spans="1:4" ht="16.8" x14ac:dyDescent="0.3">
      <c r="A28" s="1">
        <v>23</v>
      </c>
      <c r="B28" s="169" t="s">
        <v>265</v>
      </c>
      <c r="C28" s="170" t="s">
        <v>7</v>
      </c>
      <c r="D28" s="126">
        <v>182390</v>
      </c>
    </row>
    <row r="29" spans="1:4" x14ac:dyDescent="0.3">
      <c r="A29" s="1">
        <v>24</v>
      </c>
      <c r="B29" s="169" t="s">
        <v>250</v>
      </c>
      <c r="C29" s="170" t="s">
        <v>49</v>
      </c>
      <c r="D29" s="126">
        <v>5125</v>
      </c>
    </row>
    <row r="30" spans="1:4" x14ac:dyDescent="0.3">
      <c r="A30" s="1">
        <v>25</v>
      </c>
      <c r="B30" s="169" t="s">
        <v>267</v>
      </c>
      <c r="C30" s="170" t="s">
        <v>49</v>
      </c>
      <c r="D30" s="126">
        <v>26061</v>
      </c>
    </row>
    <row r="31" spans="1:4" x14ac:dyDescent="0.3">
      <c r="A31" s="1">
        <v>26</v>
      </c>
      <c r="B31" s="169" t="s">
        <v>268</v>
      </c>
      <c r="C31" s="170" t="s">
        <v>190</v>
      </c>
      <c r="D31" s="126">
        <v>9500</v>
      </c>
    </row>
    <row r="32" spans="1:4" ht="16.8" x14ac:dyDescent="0.3">
      <c r="A32" s="1">
        <v>27</v>
      </c>
      <c r="B32" s="169" t="s">
        <v>269</v>
      </c>
      <c r="C32" s="170" t="s">
        <v>8</v>
      </c>
      <c r="D32" s="126">
        <v>39550</v>
      </c>
    </row>
    <row r="33" spans="1:4" x14ac:dyDescent="0.3">
      <c r="A33" s="1">
        <v>28</v>
      </c>
      <c r="B33" s="169" t="s">
        <v>335</v>
      </c>
      <c r="C33" s="170" t="s">
        <v>9</v>
      </c>
      <c r="D33" s="126">
        <v>180000</v>
      </c>
    </row>
    <row r="34" spans="1:4" x14ac:dyDescent="0.3">
      <c r="A34" s="1">
        <v>29</v>
      </c>
      <c r="B34" s="169" t="s">
        <v>336</v>
      </c>
      <c r="C34" s="170" t="s">
        <v>9</v>
      </c>
      <c r="D34" s="126">
        <v>253000</v>
      </c>
    </row>
    <row r="35" spans="1:4" ht="16.8" x14ac:dyDescent="0.3">
      <c r="A35" s="1">
        <v>30</v>
      </c>
      <c r="B35" s="169" t="s">
        <v>295</v>
      </c>
      <c r="C35" s="170" t="s">
        <v>8</v>
      </c>
      <c r="D35" s="126">
        <v>38664</v>
      </c>
    </row>
    <row r="36" spans="1:4" ht="16.8" x14ac:dyDescent="0.3">
      <c r="A36" s="1">
        <v>31</v>
      </c>
      <c r="B36" s="169" t="s">
        <v>302</v>
      </c>
      <c r="C36" s="170" t="s">
        <v>7</v>
      </c>
      <c r="D36" s="126">
        <v>140000</v>
      </c>
    </row>
    <row r="37" spans="1:4" ht="16.8" x14ac:dyDescent="0.3">
      <c r="A37" s="1">
        <v>32</v>
      </c>
      <c r="B37" s="169" t="s">
        <v>303</v>
      </c>
      <c r="C37" s="170" t="s">
        <v>8</v>
      </c>
      <c r="D37" s="126">
        <v>27500</v>
      </c>
    </row>
    <row r="38" spans="1:4" x14ac:dyDescent="0.3">
      <c r="A38" s="1">
        <v>33</v>
      </c>
      <c r="B38" s="169" t="s">
        <v>313</v>
      </c>
      <c r="C38" s="170" t="s">
        <v>9</v>
      </c>
      <c r="D38" s="126">
        <v>33762.68</v>
      </c>
    </row>
    <row r="39" spans="1:4" x14ac:dyDescent="0.3">
      <c r="A39" s="1">
        <v>34</v>
      </c>
      <c r="B39" s="169" t="s">
        <v>312</v>
      </c>
      <c r="C39" s="170" t="s">
        <v>9</v>
      </c>
      <c r="D39" s="126">
        <v>12341.5</v>
      </c>
    </row>
    <row r="40" spans="1:4" x14ac:dyDescent="0.3">
      <c r="A40" s="1">
        <v>35</v>
      </c>
      <c r="B40" s="169" t="s">
        <v>329</v>
      </c>
      <c r="C40" s="170" t="s">
        <v>9</v>
      </c>
      <c r="D40" s="126">
        <v>4434</v>
      </c>
    </row>
    <row r="41" spans="1:4" x14ac:dyDescent="0.3">
      <c r="A41" s="1">
        <v>36</v>
      </c>
      <c r="B41" s="169" t="s">
        <v>330</v>
      </c>
      <c r="C41" s="170" t="s">
        <v>9</v>
      </c>
      <c r="D41" s="126">
        <v>10270</v>
      </c>
    </row>
    <row r="42" spans="1:4" x14ac:dyDescent="0.3">
      <c r="A42" s="1">
        <v>37</v>
      </c>
      <c r="B42" s="169" t="s">
        <v>326</v>
      </c>
      <c r="C42" s="170" t="s">
        <v>9</v>
      </c>
      <c r="D42" s="126">
        <v>17859</v>
      </c>
    </row>
    <row r="43" spans="1:4" x14ac:dyDescent="0.3">
      <c r="A43" s="1">
        <v>38</v>
      </c>
      <c r="B43" s="169" t="s">
        <v>327</v>
      </c>
      <c r="C43" s="170" t="s">
        <v>9</v>
      </c>
      <c r="D43" s="126">
        <v>32065.739999999998</v>
      </c>
    </row>
    <row r="44" spans="1:4" x14ac:dyDescent="0.3">
      <c r="A44" s="1">
        <v>39</v>
      </c>
      <c r="B44" s="169" t="s">
        <v>316</v>
      </c>
      <c r="C44" s="170" t="s">
        <v>190</v>
      </c>
      <c r="D44" s="126">
        <v>18994.584999999999</v>
      </c>
    </row>
    <row r="45" spans="1:4" x14ac:dyDescent="0.3">
      <c r="A45" s="1">
        <v>40</v>
      </c>
      <c r="B45" s="169" t="s">
        <v>317</v>
      </c>
      <c r="C45" s="170" t="s">
        <v>190</v>
      </c>
      <c r="D45" s="126">
        <v>26877.34</v>
      </c>
    </row>
    <row r="46" spans="1:4" x14ac:dyDescent="0.3">
      <c r="A46" s="1">
        <v>41</v>
      </c>
      <c r="B46" s="169" t="s">
        <v>325</v>
      </c>
      <c r="C46" s="170" t="s">
        <v>190</v>
      </c>
      <c r="D46" s="126">
        <f>+D141</f>
        <v>37800.15</v>
      </c>
    </row>
    <row r="47" spans="1:4" x14ac:dyDescent="0.3">
      <c r="A47" s="1">
        <v>42</v>
      </c>
      <c r="B47" s="169" t="s">
        <v>195</v>
      </c>
      <c r="C47" s="170" t="s">
        <v>190</v>
      </c>
      <c r="D47" s="126">
        <v>40124</v>
      </c>
    </row>
    <row r="48" spans="1:4" x14ac:dyDescent="0.3">
      <c r="A48" s="1">
        <v>43</v>
      </c>
      <c r="B48" s="169" t="s">
        <v>197</v>
      </c>
      <c r="C48" s="170" t="s">
        <v>190</v>
      </c>
      <c r="D48" s="126">
        <v>50773</v>
      </c>
    </row>
    <row r="49" spans="1:4" x14ac:dyDescent="0.3">
      <c r="A49" s="1">
        <v>44</v>
      </c>
      <c r="B49" s="169" t="s">
        <v>198</v>
      </c>
      <c r="C49" s="170" t="s">
        <v>190</v>
      </c>
      <c r="D49" s="126">
        <v>74566</v>
      </c>
    </row>
    <row r="50" spans="1:4" x14ac:dyDescent="0.3">
      <c r="A50" s="1">
        <v>45</v>
      </c>
      <c r="B50" s="169" t="s">
        <v>246</v>
      </c>
      <c r="C50" s="170" t="s">
        <v>190</v>
      </c>
      <c r="D50" s="126">
        <v>106010.36</v>
      </c>
    </row>
    <row r="51" spans="1:4" x14ac:dyDescent="0.3">
      <c r="A51" s="1">
        <v>46</v>
      </c>
      <c r="B51" s="169" t="s">
        <v>255</v>
      </c>
      <c r="C51" s="170" t="s">
        <v>190</v>
      </c>
      <c r="D51" s="126">
        <v>152542.53</v>
      </c>
    </row>
    <row r="52" spans="1:4" x14ac:dyDescent="0.3">
      <c r="A52" s="1">
        <v>47</v>
      </c>
      <c r="B52" s="169" t="s">
        <v>200</v>
      </c>
      <c r="C52" s="170" t="s">
        <v>190</v>
      </c>
      <c r="D52" s="126">
        <v>40843</v>
      </c>
    </row>
    <row r="53" spans="1:4" x14ac:dyDescent="0.3">
      <c r="A53" s="1">
        <v>48</v>
      </c>
      <c r="B53" s="169" t="s">
        <v>201</v>
      </c>
      <c r="C53" s="170" t="s">
        <v>190</v>
      </c>
      <c r="D53" s="126">
        <v>25196</v>
      </c>
    </row>
    <row r="54" spans="1:4" x14ac:dyDescent="0.3">
      <c r="A54" s="1">
        <v>49</v>
      </c>
      <c r="B54" s="169" t="s">
        <v>202</v>
      </c>
      <c r="C54" s="170" t="s">
        <v>190</v>
      </c>
      <c r="D54" s="126">
        <v>16430</v>
      </c>
    </row>
    <row r="55" spans="1:4" x14ac:dyDescent="0.3">
      <c r="A55" s="1">
        <v>50</v>
      </c>
      <c r="B55" s="169" t="s">
        <v>203</v>
      </c>
      <c r="C55" s="170" t="s">
        <v>190</v>
      </c>
      <c r="D55" s="126">
        <v>13385</v>
      </c>
    </row>
    <row r="56" spans="1:4" x14ac:dyDescent="0.3">
      <c r="A56" s="1">
        <v>51</v>
      </c>
      <c r="B56" s="169" t="s">
        <v>204</v>
      </c>
      <c r="C56" s="170" t="s">
        <v>190</v>
      </c>
      <c r="D56" s="126">
        <v>7582</v>
      </c>
    </row>
    <row r="57" spans="1:4" x14ac:dyDescent="0.3">
      <c r="A57" s="1">
        <v>52</v>
      </c>
      <c r="B57" s="169" t="s">
        <v>205</v>
      </c>
      <c r="C57" s="170" t="s">
        <v>190</v>
      </c>
      <c r="D57" s="126">
        <v>5377</v>
      </c>
    </row>
    <row r="58" spans="1:4" x14ac:dyDescent="0.3">
      <c r="A58" s="1">
        <v>53</v>
      </c>
      <c r="B58" s="169" t="s">
        <v>206</v>
      </c>
      <c r="C58" s="170" t="s">
        <v>190</v>
      </c>
      <c r="D58" s="126">
        <v>4628</v>
      </c>
    </row>
    <row r="59" spans="1:4" x14ac:dyDescent="0.3">
      <c r="A59" s="1">
        <v>54</v>
      </c>
      <c r="B59" s="169" t="s">
        <v>207</v>
      </c>
      <c r="C59" s="170" t="s">
        <v>9</v>
      </c>
      <c r="D59" s="126">
        <v>49419</v>
      </c>
    </row>
    <row r="60" spans="1:4" x14ac:dyDescent="0.3">
      <c r="A60" s="1">
        <v>55</v>
      </c>
      <c r="B60" s="169" t="s">
        <v>215</v>
      </c>
      <c r="C60" s="170" t="s">
        <v>9</v>
      </c>
      <c r="D60" s="126">
        <v>17159.810000000001</v>
      </c>
    </row>
    <row r="61" spans="1:4" x14ac:dyDescent="0.3">
      <c r="A61" s="1">
        <v>56</v>
      </c>
      <c r="B61" s="169" t="s">
        <v>208</v>
      </c>
      <c r="C61" s="170" t="s">
        <v>9</v>
      </c>
      <c r="D61" s="126">
        <v>10471.82</v>
      </c>
    </row>
    <row r="62" spans="1:4" x14ac:dyDescent="0.3">
      <c r="A62" s="1">
        <v>57</v>
      </c>
      <c r="B62" s="169" t="s">
        <v>210</v>
      </c>
      <c r="C62" s="170" t="s">
        <v>9</v>
      </c>
      <c r="D62" s="126">
        <v>5609.28</v>
      </c>
    </row>
    <row r="63" spans="1:4" x14ac:dyDescent="0.3">
      <c r="A63" s="1">
        <v>58</v>
      </c>
      <c r="B63" s="169" t="s">
        <v>209</v>
      </c>
      <c r="C63" s="170" t="s">
        <v>9</v>
      </c>
      <c r="D63" s="126">
        <v>2920.26</v>
      </c>
    </row>
    <row r="64" spans="1:4" x14ac:dyDescent="0.3">
      <c r="A64" s="1">
        <v>59</v>
      </c>
      <c r="B64" s="169" t="s">
        <v>211</v>
      </c>
      <c r="C64" s="170" t="s">
        <v>9</v>
      </c>
      <c r="D64" s="126">
        <v>1593.46</v>
      </c>
    </row>
    <row r="65" spans="1:4" x14ac:dyDescent="0.3">
      <c r="A65" s="1">
        <v>60</v>
      </c>
      <c r="B65" s="169" t="s">
        <v>212</v>
      </c>
      <c r="C65" s="170" t="s">
        <v>9</v>
      </c>
      <c r="D65" s="126">
        <v>952.75</v>
      </c>
    </row>
    <row r="66" spans="1:4" x14ac:dyDescent="0.3">
      <c r="A66" s="1">
        <v>61</v>
      </c>
      <c r="B66" s="169" t="s">
        <v>216</v>
      </c>
      <c r="C66" s="170" t="s">
        <v>9</v>
      </c>
      <c r="D66" s="126"/>
    </row>
    <row r="67" spans="1:4" x14ac:dyDescent="0.3">
      <c r="A67" s="1">
        <v>62</v>
      </c>
      <c r="B67" s="169" t="s">
        <v>217</v>
      </c>
      <c r="C67" s="170" t="s">
        <v>9</v>
      </c>
      <c r="D67" s="126">
        <v>53314.38</v>
      </c>
    </row>
    <row r="68" spans="1:4" x14ac:dyDescent="0.3">
      <c r="A68" s="1">
        <v>63</v>
      </c>
      <c r="B68" s="169" t="s">
        <v>218</v>
      </c>
      <c r="C68" s="170" t="s">
        <v>9</v>
      </c>
      <c r="D68" s="126">
        <v>21925.75</v>
      </c>
    </row>
    <row r="69" spans="1:4" x14ac:dyDescent="0.3">
      <c r="A69" s="1">
        <v>64</v>
      </c>
      <c r="B69" s="169" t="s">
        <v>219</v>
      </c>
      <c r="C69" s="170" t="s">
        <v>9</v>
      </c>
      <c r="D69" s="126">
        <v>13768.58</v>
      </c>
    </row>
    <row r="70" spans="1:4" x14ac:dyDescent="0.3">
      <c r="A70" s="1">
        <v>65</v>
      </c>
      <c r="B70" s="169" t="s">
        <v>220</v>
      </c>
      <c r="C70" s="170" t="s">
        <v>9</v>
      </c>
      <c r="D70" s="126">
        <v>10489.69</v>
      </c>
    </row>
    <row r="71" spans="1:4" x14ac:dyDescent="0.3">
      <c r="A71" s="1">
        <v>66</v>
      </c>
      <c r="B71" s="169" t="s">
        <v>221</v>
      </c>
      <c r="C71" s="170" t="s">
        <v>9</v>
      </c>
      <c r="D71" s="126">
        <v>4061.47</v>
      </c>
    </row>
    <row r="72" spans="1:4" x14ac:dyDescent="0.3">
      <c r="A72" s="1">
        <v>67</v>
      </c>
      <c r="B72" s="169" t="s">
        <v>222</v>
      </c>
      <c r="C72" s="170" t="s">
        <v>9</v>
      </c>
      <c r="D72" s="126">
        <v>2079.96</v>
      </c>
    </row>
    <row r="73" spans="1:4" x14ac:dyDescent="0.3">
      <c r="A73" s="1">
        <v>68</v>
      </c>
      <c r="B73" s="169" t="s">
        <v>223</v>
      </c>
      <c r="C73" s="170" t="s">
        <v>9</v>
      </c>
      <c r="D73" s="126">
        <v>1230.27</v>
      </c>
    </row>
    <row r="74" spans="1:4" x14ac:dyDescent="0.3">
      <c r="A74" s="1">
        <v>69</v>
      </c>
      <c r="B74" s="169" t="s">
        <v>224</v>
      </c>
      <c r="C74" s="170" t="s">
        <v>9</v>
      </c>
      <c r="D74" s="126"/>
    </row>
    <row r="75" spans="1:4" x14ac:dyDescent="0.3">
      <c r="A75" s="1">
        <v>70</v>
      </c>
      <c r="B75" s="169" t="s">
        <v>226</v>
      </c>
      <c r="C75" s="170" t="s">
        <v>9</v>
      </c>
      <c r="D75" s="126">
        <v>6042.83</v>
      </c>
    </row>
    <row r="76" spans="1:4" x14ac:dyDescent="0.3">
      <c r="A76" s="1">
        <v>71</v>
      </c>
      <c r="B76" s="169" t="s">
        <v>225</v>
      </c>
      <c r="C76" s="170" t="s">
        <v>9</v>
      </c>
      <c r="D76" s="126">
        <v>6042.83</v>
      </c>
    </row>
    <row r="77" spans="1:4" x14ac:dyDescent="0.3">
      <c r="A77" s="1">
        <v>72</v>
      </c>
      <c r="B77" s="169" t="s">
        <v>213</v>
      </c>
      <c r="C77" s="170" t="s">
        <v>9</v>
      </c>
      <c r="D77" s="126">
        <v>3066.08</v>
      </c>
    </row>
    <row r="78" spans="1:4" x14ac:dyDescent="0.3">
      <c r="A78" s="1">
        <v>73</v>
      </c>
      <c r="B78" s="169" t="s">
        <v>227</v>
      </c>
      <c r="C78" s="170" t="s">
        <v>9</v>
      </c>
      <c r="D78" s="126">
        <v>10218.56</v>
      </c>
    </row>
    <row r="79" spans="1:4" x14ac:dyDescent="0.3">
      <c r="A79" s="1">
        <v>74</v>
      </c>
      <c r="B79" s="169" t="s">
        <v>228</v>
      </c>
      <c r="C79" s="170" t="s">
        <v>9</v>
      </c>
      <c r="D79" s="126">
        <v>12760.38</v>
      </c>
    </row>
    <row r="80" spans="1:4" x14ac:dyDescent="0.3">
      <c r="A80" s="1">
        <v>75</v>
      </c>
      <c r="B80" s="169" t="s">
        <v>229</v>
      </c>
      <c r="C80" s="170" t="s">
        <v>9</v>
      </c>
      <c r="D80" s="126">
        <v>18441.240000000002</v>
      </c>
    </row>
    <row r="81" spans="1:4" x14ac:dyDescent="0.3">
      <c r="A81" s="1">
        <v>76</v>
      </c>
      <c r="B81" s="169" t="s">
        <v>231</v>
      </c>
      <c r="C81" s="170" t="s">
        <v>9</v>
      </c>
      <c r="D81" s="126">
        <v>27660.36</v>
      </c>
    </row>
    <row r="82" spans="1:4" x14ac:dyDescent="0.3">
      <c r="A82" s="1">
        <v>77</v>
      </c>
      <c r="B82" s="169" t="s">
        <v>230</v>
      </c>
      <c r="C82" s="170" t="s">
        <v>9</v>
      </c>
      <c r="D82" s="126">
        <v>9383.15</v>
      </c>
    </row>
    <row r="83" spans="1:4" x14ac:dyDescent="0.3">
      <c r="A83" s="1">
        <v>78</v>
      </c>
      <c r="B83" s="169" t="s">
        <v>232</v>
      </c>
      <c r="C83" s="170" t="s">
        <v>9</v>
      </c>
      <c r="D83" s="126">
        <v>11795.28</v>
      </c>
    </row>
    <row r="84" spans="1:4" x14ac:dyDescent="0.3">
      <c r="A84" s="1">
        <v>79</v>
      </c>
      <c r="B84" s="169" t="s">
        <v>233</v>
      </c>
      <c r="C84" s="170" t="s">
        <v>9</v>
      </c>
      <c r="D84" s="126">
        <v>11796.28</v>
      </c>
    </row>
    <row r="85" spans="1:4" x14ac:dyDescent="0.3">
      <c r="A85" s="1">
        <v>80</v>
      </c>
      <c r="B85" s="169" t="s">
        <v>234</v>
      </c>
      <c r="C85" s="170" t="s">
        <v>9</v>
      </c>
      <c r="D85" s="126">
        <v>8522.7999999999993</v>
      </c>
    </row>
    <row r="86" spans="1:4" x14ac:dyDescent="0.3">
      <c r="A86" s="1">
        <v>81</v>
      </c>
      <c r="B86" s="169" t="s">
        <v>235</v>
      </c>
      <c r="C86" s="170" t="s">
        <v>9</v>
      </c>
      <c r="D86" s="126">
        <v>8522.7999999999993</v>
      </c>
    </row>
    <row r="87" spans="1:4" x14ac:dyDescent="0.3">
      <c r="A87" s="1">
        <v>82</v>
      </c>
      <c r="B87" s="169" t="s">
        <v>236</v>
      </c>
      <c r="C87" s="170" t="s">
        <v>9</v>
      </c>
      <c r="D87" s="126">
        <v>6392.68</v>
      </c>
    </row>
    <row r="88" spans="1:4" x14ac:dyDescent="0.3">
      <c r="A88" s="1">
        <v>83</v>
      </c>
      <c r="B88" s="169" t="s">
        <v>237</v>
      </c>
      <c r="C88" s="170" t="s">
        <v>9</v>
      </c>
      <c r="D88" s="126">
        <v>6392.68</v>
      </c>
    </row>
    <row r="89" spans="1:4" x14ac:dyDescent="0.3">
      <c r="A89" s="1">
        <v>84</v>
      </c>
      <c r="B89" s="169" t="s">
        <v>238</v>
      </c>
      <c r="C89" s="170" t="s">
        <v>9</v>
      </c>
      <c r="D89" s="126">
        <v>6392.68</v>
      </c>
    </row>
    <row r="90" spans="1:4" x14ac:dyDescent="0.3">
      <c r="A90" s="1">
        <v>85</v>
      </c>
      <c r="B90" s="169" t="s">
        <v>239</v>
      </c>
      <c r="C90" s="170" t="s">
        <v>9</v>
      </c>
      <c r="D90" s="126">
        <v>3668.58</v>
      </c>
    </row>
    <row r="91" spans="1:4" x14ac:dyDescent="0.3">
      <c r="A91" s="1">
        <v>86</v>
      </c>
      <c r="B91" s="169" t="s">
        <v>240</v>
      </c>
      <c r="C91" s="170" t="s">
        <v>9</v>
      </c>
      <c r="D91" s="126">
        <v>3668.58</v>
      </c>
    </row>
    <row r="92" spans="1:4" x14ac:dyDescent="0.3">
      <c r="A92" s="1">
        <v>87</v>
      </c>
      <c r="B92" s="169" t="s">
        <v>241</v>
      </c>
      <c r="C92" s="170" t="s">
        <v>9</v>
      </c>
      <c r="D92" s="126">
        <v>2103.98</v>
      </c>
    </row>
    <row r="93" spans="1:4" x14ac:dyDescent="0.3">
      <c r="A93" s="1">
        <v>88</v>
      </c>
      <c r="B93" s="169" t="s">
        <v>242</v>
      </c>
      <c r="C93" s="170" t="s">
        <v>190</v>
      </c>
      <c r="D93" s="126">
        <v>11316.98</v>
      </c>
    </row>
    <row r="94" spans="1:4" x14ac:dyDescent="0.3">
      <c r="A94" s="1">
        <v>89</v>
      </c>
      <c r="B94" s="169" t="s">
        <v>244</v>
      </c>
      <c r="C94" s="170" t="s">
        <v>9</v>
      </c>
      <c r="D94" s="126">
        <v>30534.02</v>
      </c>
    </row>
    <row r="95" spans="1:4" x14ac:dyDescent="0.3">
      <c r="A95" s="1">
        <v>90</v>
      </c>
      <c r="B95" s="169" t="s">
        <v>245</v>
      </c>
      <c r="C95" s="170" t="s">
        <v>9</v>
      </c>
      <c r="D95" s="126">
        <v>25671.87</v>
      </c>
    </row>
    <row r="96" spans="1:4" x14ac:dyDescent="0.3">
      <c r="A96" s="1">
        <v>91</v>
      </c>
      <c r="B96" s="169" t="s">
        <v>293</v>
      </c>
      <c r="C96" s="170" t="s">
        <v>9</v>
      </c>
      <c r="D96" s="126">
        <v>458420</v>
      </c>
    </row>
    <row r="97" spans="1:4" x14ac:dyDescent="0.3">
      <c r="A97" s="1">
        <v>92</v>
      </c>
      <c r="B97" s="169" t="s">
        <v>287</v>
      </c>
      <c r="C97" s="170" t="s">
        <v>9</v>
      </c>
      <c r="D97" s="126">
        <v>945840</v>
      </c>
    </row>
    <row r="98" spans="1:4" x14ac:dyDescent="0.3">
      <c r="A98" s="1">
        <v>93</v>
      </c>
      <c r="B98" s="169" t="s">
        <v>289</v>
      </c>
      <c r="C98" s="170" t="s">
        <v>9</v>
      </c>
      <c r="D98" s="126">
        <v>5831</v>
      </c>
    </row>
    <row r="99" spans="1:4" x14ac:dyDescent="0.3">
      <c r="A99" s="1">
        <v>94</v>
      </c>
      <c r="B99" s="169" t="s">
        <v>247</v>
      </c>
      <c r="C99" s="170" t="s">
        <v>9</v>
      </c>
      <c r="D99" s="126">
        <v>39331.919999999998</v>
      </c>
    </row>
    <row r="100" spans="1:4" x14ac:dyDescent="0.3">
      <c r="A100" s="1">
        <v>95</v>
      </c>
      <c r="B100" s="169" t="s">
        <v>252</v>
      </c>
      <c r="C100" s="170" t="s">
        <v>9</v>
      </c>
      <c r="D100" s="126">
        <v>190326.22</v>
      </c>
    </row>
    <row r="101" spans="1:4" x14ac:dyDescent="0.3">
      <c r="A101" s="1">
        <v>96</v>
      </c>
      <c r="B101" s="169" t="s">
        <v>256</v>
      </c>
      <c r="C101" s="170" t="s">
        <v>9</v>
      </c>
      <c r="D101" s="126">
        <v>80735.55</v>
      </c>
    </row>
    <row r="102" spans="1:4" x14ac:dyDescent="0.3">
      <c r="A102" s="1">
        <v>97</v>
      </c>
      <c r="B102" s="169" t="s">
        <v>257</v>
      </c>
      <c r="C102" s="170" t="s">
        <v>9</v>
      </c>
      <c r="D102" s="126">
        <v>21735.35</v>
      </c>
    </row>
    <row r="103" spans="1:4" x14ac:dyDescent="0.3">
      <c r="A103" s="1">
        <v>98</v>
      </c>
      <c r="B103" s="169" t="s">
        <v>258</v>
      </c>
      <c r="C103" s="170" t="s">
        <v>9</v>
      </c>
      <c r="D103" s="126">
        <v>57104.53</v>
      </c>
    </row>
    <row r="104" spans="1:4" x14ac:dyDescent="0.3">
      <c r="A104" s="1">
        <v>99</v>
      </c>
      <c r="B104" s="169" t="s">
        <v>291</v>
      </c>
      <c r="C104" s="170" t="s">
        <v>9</v>
      </c>
      <c r="D104" s="126">
        <v>194900</v>
      </c>
    </row>
    <row r="105" spans="1:4" x14ac:dyDescent="0.3">
      <c r="A105" s="1">
        <v>100</v>
      </c>
      <c r="B105" s="169" t="s">
        <v>270</v>
      </c>
      <c r="C105" s="170" t="s">
        <v>9</v>
      </c>
      <c r="D105" s="126">
        <v>627049.07999999996</v>
      </c>
    </row>
    <row r="106" spans="1:4" x14ac:dyDescent="0.3">
      <c r="A106" s="1">
        <v>101</v>
      </c>
      <c r="B106" s="169" t="s">
        <v>271</v>
      </c>
      <c r="C106" s="170" t="s">
        <v>9</v>
      </c>
      <c r="D106" s="126">
        <v>548461.48</v>
      </c>
    </row>
    <row r="107" spans="1:4" x14ac:dyDescent="0.3">
      <c r="A107" s="1">
        <v>102</v>
      </c>
      <c r="B107" s="169" t="s">
        <v>272</v>
      </c>
      <c r="C107" s="170" t="s">
        <v>9</v>
      </c>
      <c r="D107" s="126">
        <v>23476.32</v>
      </c>
    </row>
    <row r="108" spans="1:4" x14ac:dyDescent="0.3">
      <c r="A108" s="1">
        <v>103</v>
      </c>
      <c r="B108" s="169" t="s">
        <v>273</v>
      </c>
      <c r="C108" s="170" t="s">
        <v>9</v>
      </c>
      <c r="D108" s="126">
        <v>12971</v>
      </c>
    </row>
    <row r="109" spans="1:4" x14ac:dyDescent="0.3">
      <c r="A109" s="1">
        <v>104</v>
      </c>
      <c r="B109" s="169" t="s">
        <v>274</v>
      </c>
      <c r="C109" s="170" t="s">
        <v>9</v>
      </c>
      <c r="D109" s="126">
        <v>336205.95</v>
      </c>
    </row>
    <row r="110" spans="1:4" x14ac:dyDescent="0.3">
      <c r="A110" s="1">
        <v>105</v>
      </c>
      <c r="B110" s="169" t="s">
        <v>277</v>
      </c>
      <c r="C110" s="170" t="s">
        <v>9</v>
      </c>
      <c r="D110" s="126">
        <v>8571.57</v>
      </c>
    </row>
    <row r="111" spans="1:4" x14ac:dyDescent="0.3">
      <c r="A111" s="1">
        <v>106</v>
      </c>
      <c r="B111" s="169" t="s">
        <v>275</v>
      </c>
      <c r="C111" s="170" t="s">
        <v>9</v>
      </c>
      <c r="D111" s="126">
        <v>218305.5</v>
      </c>
    </row>
    <row r="112" spans="1:4" x14ac:dyDescent="0.3">
      <c r="A112" s="1">
        <v>107</v>
      </c>
      <c r="B112" s="169" t="s">
        <v>276</v>
      </c>
      <c r="C112" s="170" t="s">
        <v>9</v>
      </c>
      <c r="D112" s="126">
        <v>6118.98</v>
      </c>
    </row>
    <row r="113" spans="1:4" x14ac:dyDescent="0.3">
      <c r="A113" s="1">
        <v>108</v>
      </c>
      <c r="B113" s="169" t="s">
        <v>278</v>
      </c>
      <c r="C113" s="170" t="s">
        <v>9</v>
      </c>
      <c r="D113" s="126">
        <v>159264.84</v>
      </c>
    </row>
    <row r="114" spans="1:4" x14ac:dyDescent="0.3">
      <c r="A114" s="1">
        <v>109</v>
      </c>
      <c r="B114" s="169" t="s">
        <v>279</v>
      </c>
      <c r="C114" s="170" t="s">
        <v>9</v>
      </c>
      <c r="D114" s="126">
        <v>5120.57</v>
      </c>
    </row>
    <row r="115" spans="1:4" x14ac:dyDescent="0.3">
      <c r="A115" s="1">
        <v>110</v>
      </c>
      <c r="B115" s="169" t="s">
        <v>280</v>
      </c>
      <c r="C115" s="170" t="s">
        <v>9</v>
      </c>
      <c r="D115" s="126">
        <v>103887</v>
      </c>
    </row>
    <row r="116" spans="1:4" x14ac:dyDescent="0.3">
      <c r="A116" s="1">
        <v>111</v>
      </c>
      <c r="B116" s="169" t="s">
        <v>281</v>
      </c>
      <c r="C116" s="170" t="s">
        <v>9</v>
      </c>
      <c r="D116" s="126">
        <v>2532.36</v>
      </c>
    </row>
    <row r="117" spans="1:4" x14ac:dyDescent="0.3">
      <c r="A117" s="1">
        <v>112</v>
      </c>
      <c r="B117" s="169" t="s">
        <v>282</v>
      </c>
      <c r="C117" s="170" t="s">
        <v>9</v>
      </c>
      <c r="D117" s="126">
        <v>73000.55</v>
      </c>
    </row>
    <row r="118" spans="1:4" x14ac:dyDescent="0.3">
      <c r="A118" s="1">
        <v>113</v>
      </c>
      <c r="B118" s="169" t="s">
        <v>283</v>
      </c>
      <c r="C118" s="170" t="s">
        <v>9</v>
      </c>
      <c r="D118" s="126">
        <v>1487.5</v>
      </c>
    </row>
    <row r="119" spans="1:4" x14ac:dyDescent="0.3">
      <c r="A119" s="1">
        <v>114</v>
      </c>
      <c r="B119" s="169" t="s">
        <v>284</v>
      </c>
      <c r="C119" s="170" t="s">
        <v>9</v>
      </c>
      <c r="D119" s="126">
        <v>65294.11</v>
      </c>
    </row>
    <row r="120" spans="1:4" x14ac:dyDescent="0.3">
      <c r="A120" s="1">
        <v>115</v>
      </c>
      <c r="B120" s="169" t="s">
        <v>285</v>
      </c>
      <c r="C120" s="170" t="s">
        <v>9</v>
      </c>
      <c r="D120" s="126">
        <v>1166.2</v>
      </c>
    </row>
    <row r="121" spans="1:4" x14ac:dyDescent="0.3">
      <c r="A121" s="1">
        <v>116</v>
      </c>
      <c r="B121" s="169" t="s">
        <v>286</v>
      </c>
      <c r="C121" s="170" t="s">
        <v>9</v>
      </c>
      <c r="D121" s="126">
        <v>361427.5</v>
      </c>
    </row>
    <row r="122" spans="1:4" x14ac:dyDescent="0.3">
      <c r="A122" s="1">
        <v>117</v>
      </c>
      <c r="B122" s="169" t="s">
        <v>288</v>
      </c>
      <c r="C122" s="170" t="s">
        <v>9</v>
      </c>
      <c r="D122" s="126">
        <v>125021</v>
      </c>
    </row>
    <row r="123" spans="1:4" x14ac:dyDescent="0.3">
      <c r="A123" s="1">
        <v>118</v>
      </c>
      <c r="B123" s="169" t="s">
        <v>290</v>
      </c>
      <c r="C123" s="170" t="s">
        <v>9</v>
      </c>
      <c r="D123" s="126">
        <v>1857412</v>
      </c>
    </row>
    <row r="124" spans="1:4" x14ac:dyDescent="0.3">
      <c r="A124" s="1">
        <v>119</v>
      </c>
      <c r="B124" s="169" t="s">
        <v>296</v>
      </c>
      <c r="C124" s="170" t="s">
        <v>9</v>
      </c>
      <c r="D124" s="126">
        <v>1245012</v>
      </c>
    </row>
    <row r="125" spans="1:4" x14ac:dyDescent="0.3">
      <c r="A125" s="1">
        <v>120</v>
      </c>
      <c r="B125" s="169" t="s">
        <v>192</v>
      </c>
      <c r="C125" s="170" t="s">
        <v>9</v>
      </c>
      <c r="D125" s="126">
        <v>147850</v>
      </c>
    </row>
    <row r="126" spans="1:4" x14ac:dyDescent="0.3">
      <c r="A126" s="1">
        <v>121</v>
      </c>
      <c r="B126" s="169" t="s">
        <v>193</v>
      </c>
      <c r="C126" s="170" t="s">
        <v>9</v>
      </c>
      <c r="D126" s="126">
        <v>71305</v>
      </c>
    </row>
    <row r="127" spans="1:4" x14ac:dyDescent="0.3">
      <c r="A127" s="172">
        <v>122</v>
      </c>
      <c r="B127" s="157" t="s">
        <v>196</v>
      </c>
      <c r="C127" s="158" t="s">
        <v>9</v>
      </c>
      <c r="D127" s="159">
        <v>33517</v>
      </c>
    </row>
    <row r="128" spans="1:4" x14ac:dyDescent="0.3">
      <c r="A128" s="1">
        <v>123</v>
      </c>
      <c r="B128" s="169" t="s">
        <v>318</v>
      </c>
      <c r="C128" s="170" t="s">
        <v>9</v>
      </c>
      <c r="D128" s="126">
        <v>5999.98</v>
      </c>
    </row>
    <row r="129" spans="1:4" x14ac:dyDescent="0.3">
      <c r="A129" s="172">
        <v>124</v>
      </c>
      <c r="B129" s="169" t="s">
        <v>319</v>
      </c>
      <c r="C129" s="170" t="s">
        <v>9</v>
      </c>
      <c r="D129" s="126">
        <v>11795.28</v>
      </c>
    </row>
    <row r="130" spans="1:4" ht="16.8" x14ac:dyDescent="0.3">
      <c r="A130" s="172">
        <v>125</v>
      </c>
      <c r="B130" s="169" t="s">
        <v>307</v>
      </c>
      <c r="C130" s="170" t="s">
        <v>7</v>
      </c>
      <c r="D130" s="126">
        <v>61474.959699999992</v>
      </c>
    </row>
    <row r="131" spans="1:4" ht="55.2" x14ac:dyDescent="0.3">
      <c r="A131" s="172">
        <v>126</v>
      </c>
      <c r="B131" s="195" t="s">
        <v>425</v>
      </c>
      <c r="C131" s="170" t="s">
        <v>9</v>
      </c>
      <c r="D131" s="126">
        <v>18500000</v>
      </c>
    </row>
    <row r="132" spans="1:4" x14ac:dyDescent="0.3">
      <c r="A132" s="172">
        <v>127</v>
      </c>
      <c r="B132" s="169" t="s">
        <v>508</v>
      </c>
      <c r="C132" s="170" t="s">
        <v>9</v>
      </c>
      <c r="D132" s="126">
        <v>25000</v>
      </c>
    </row>
    <row r="133" spans="1:4" x14ac:dyDescent="0.3">
      <c r="A133" s="172">
        <v>128</v>
      </c>
      <c r="B133" s="169" t="s">
        <v>354</v>
      </c>
      <c r="C133" s="170" t="s">
        <v>9</v>
      </c>
      <c r="D133" s="126">
        <v>18000</v>
      </c>
    </row>
    <row r="134" spans="1:4" x14ac:dyDescent="0.3">
      <c r="A134" s="172">
        <v>129</v>
      </c>
      <c r="B134" s="169" t="s">
        <v>250</v>
      </c>
      <c r="C134" s="170" t="s">
        <v>49</v>
      </c>
      <c r="D134" s="126">
        <v>5125</v>
      </c>
    </row>
    <row r="135" spans="1:4" x14ac:dyDescent="0.3">
      <c r="A135" s="172">
        <v>130</v>
      </c>
      <c r="B135" s="169" t="s">
        <v>355</v>
      </c>
      <c r="C135" s="170" t="s">
        <v>9</v>
      </c>
      <c r="D135" s="126">
        <v>167380</v>
      </c>
    </row>
    <row r="136" spans="1:4" x14ac:dyDescent="0.3">
      <c r="A136" s="172">
        <v>131</v>
      </c>
      <c r="B136" s="169" t="s">
        <v>251</v>
      </c>
      <c r="C136" s="170" t="s">
        <v>49</v>
      </c>
      <c r="D136" s="126">
        <v>12450</v>
      </c>
    </row>
    <row r="137" spans="1:4" x14ac:dyDescent="0.3">
      <c r="A137" s="172">
        <v>132</v>
      </c>
      <c r="B137" s="169" t="s">
        <v>351</v>
      </c>
      <c r="C137" s="170" t="s">
        <v>9</v>
      </c>
      <c r="D137" s="126">
        <v>5600</v>
      </c>
    </row>
    <row r="138" spans="1:4" ht="16.8" x14ac:dyDescent="0.3">
      <c r="A138" s="172">
        <v>133</v>
      </c>
      <c r="B138" s="169" t="s">
        <v>350</v>
      </c>
      <c r="C138" s="170" t="s">
        <v>8</v>
      </c>
      <c r="D138" s="126">
        <v>48500</v>
      </c>
    </row>
    <row r="139" spans="1:4" x14ac:dyDescent="0.3">
      <c r="A139" s="172">
        <v>134</v>
      </c>
      <c r="B139" s="169" t="s">
        <v>341</v>
      </c>
      <c r="C139" s="170" t="s">
        <v>9</v>
      </c>
      <c r="D139" s="126">
        <f>37500</f>
        <v>37500</v>
      </c>
    </row>
    <row r="140" spans="1:4" x14ac:dyDescent="0.3">
      <c r="A140" s="1">
        <v>135</v>
      </c>
      <c r="B140" s="169" t="s">
        <v>320</v>
      </c>
      <c r="C140" s="170" t="s">
        <v>9</v>
      </c>
      <c r="D140" s="126">
        <v>703290</v>
      </c>
    </row>
    <row r="141" spans="1:4" x14ac:dyDescent="0.3">
      <c r="A141" s="172">
        <v>136</v>
      </c>
      <c r="B141" s="169" t="s">
        <v>191</v>
      </c>
      <c r="C141" s="170" t="s">
        <v>190</v>
      </c>
      <c r="D141" s="126">
        <v>37800.15</v>
      </c>
    </row>
    <row r="142" spans="1:4" x14ac:dyDescent="0.3">
      <c r="A142" s="1">
        <v>137</v>
      </c>
      <c r="B142" s="169" t="s">
        <v>194</v>
      </c>
      <c r="C142" s="170" t="s">
        <v>190</v>
      </c>
      <c r="D142" s="126">
        <v>79251.820000000007</v>
      </c>
    </row>
    <row r="143" spans="1:4" x14ac:dyDescent="0.3">
      <c r="A143" s="172">
        <v>138</v>
      </c>
      <c r="B143" s="175" t="s">
        <v>311</v>
      </c>
      <c r="C143" s="170" t="s">
        <v>9</v>
      </c>
      <c r="D143" s="126">
        <v>4989.67</v>
      </c>
    </row>
    <row r="144" spans="1:4" ht="27.6" x14ac:dyDescent="0.3">
      <c r="A144" s="172">
        <v>139</v>
      </c>
      <c r="B144" s="190" t="s">
        <v>383</v>
      </c>
      <c r="C144" s="158" t="s">
        <v>9</v>
      </c>
      <c r="D144" s="159">
        <v>15000000</v>
      </c>
    </row>
    <row r="145" spans="1:4" ht="27.6" x14ac:dyDescent="0.3">
      <c r="A145" s="172">
        <v>140</v>
      </c>
      <c r="B145" s="190" t="s">
        <v>377</v>
      </c>
      <c r="C145" s="158" t="s">
        <v>9</v>
      </c>
      <c r="D145" s="159">
        <v>15000000</v>
      </c>
    </row>
    <row r="146" spans="1:4" ht="27.6" x14ac:dyDescent="0.3">
      <c r="A146" s="172">
        <v>141</v>
      </c>
      <c r="B146" s="190" t="s">
        <v>394</v>
      </c>
      <c r="C146" s="158" t="s">
        <v>9</v>
      </c>
      <c r="D146" s="159">
        <v>48675300</v>
      </c>
    </row>
    <row r="147" spans="1:4" ht="27.6" x14ac:dyDescent="0.3">
      <c r="A147" s="172">
        <v>142</v>
      </c>
      <c r="B147" s="190" t="s">
        <v>404</v>
      </c>
      <c r="C147" s="158" t="s">
        <v>9</v>
      </c>
      <c r="D147" s="159">
        <v>4675200</v>
      </c>
    </row>
    <row r="148" spans="1:4" x14ac:dyDescent="0.3">
      <c r="A148" s="172">
        <v>143</v>
      </c>
      <c r="B148" s="190" t="s">
        <v>426</v>
      </c>
      <c r="C148" s="158" t="s">
        <v>190</v>
      </c>
      <c r="D148" s="159">
        <v>11200</v>
      </c>
    </row>
    <row r="149" spans="1:4" x14ac:dyDescent="0.3">
      <c r="A149" s="172">
        <v>144</v>
      </c>
      <c r="B149" s="190" t="s">
        <v>428</v>
      </c>
      <c r="C149" s="158" t="s">
        <v>190</v>
      </c>
      <c r="D149" s="159">
        <v>10500</v>
      </c>
    </row>
    <row r="150" spans="1:4" x14ac:dyDescent="0.3">
      <c r="A150" s="172">
        <v>145</v>
      </c>
      <c r="B150" s="190" t="s">
        <v>430</v>
      </c>
      <c r="C150" s="158" t="s">
        <v>190</v>
      </c>
      <c r="D150" s="159">
        <v>6800</v>
      </c>
    </row>
    <row r="151" spans="1:4" x14ac:dyDescent="0.3">
      <c r="A151" s="172">
        <v>146</v>
      </c>
      <c r="B151" s="190" t="s">
        <v>427</v>
      </c>
      <c r="C151" s="158" t="s">
        <v>9</v>
      </c>
      <c r="D151" s="159">
        <v>2000</v>
      </c>
    </row>
    <row r="152" spans="1:4" x14ac:dyDescent="0.3">
      <c r="A152" s="172">
        <v>147</v>
      </c>
      <c r="B152" s="190" t="s">
        <v>429</v>
      </c>
      <c r="C152" s="158" t="s">
        <v>9</v>
      </c>
      <c r="D152" s="159">
        <v>1000</v>
      </c>
    </row>
    <row r="153" spans="1:4" x14ac:dyDescent="0.3">
      <c r="A153" s="172">
        <v>148</v>
      </c>
      <c r="B153" s="190" t="s">
        <v>431</v>
      </c>
      <c r="C153" s="158" t="s">
        <v>9</v>
      </c>
      <c r="D153" s="159">
        <v>500</v>
      </c>
    </row>
    <row r="154" spans="1:4" x14ac:dyDescent="0.3">
      <c r="A154" s="172">
        <v>149</v>
      </c>
      <c r="B154" s="190" t="s">
        <v>434</v>
      </c>
      <c r="C154" s="158" t="s">
        <v>9</v>
      </c>
      <c r="D154" s="159">
        <v>8016365</v>
      </c>
    </row>
    <row r="155" spans="1:4" x14ac:dyDescent="0.3">
      <c r="A155" s="172">
        <v>150</v>
      </c>
      <c r="B155" s="190" t="s">
        <v>422</v>
      </c>
      <c r="C155" s="158" t="s">
        <v>9</v>
      </c>
      <c r="D155" s="159">
        <v>568300</v>
      </c>
    </row>
    <row r="156" spans="1:4" x14ac:dyDescent="0.3">
      <c r="A156" s="172">
        <v>151</v>
      </c>
      <c r="B156" s="190" t="s">
        <v>423</v>
      </c>
      <c r="C156" s="158" t="s">
        <v>9</v>
      </c>
      <c r="D156" s="159">
        <v>467500</v>
      </c>
    </row>
    <row r="157" spans="1:4" x14ac:dyDescent="0.3">
      <c r="A157" s="172">
        <v>152</v>
      </c>
      <c r="B157" s="190" t="s">
        <v>424</v>
      </c>
      <c r="C157" s="158" t="s">
        <v>9</v>
      </c>
      <c r="D157" s="159">
        <v>21105</v>
      </c>
    </row>
    <row r="158" spans="1:4" x14ac:dyDescent="0.3">
      <c r="A158" s="172">
        <v>153</v>
      </c>
      <c r="B158" s="190" t="s">
        <v>396</v>
      </c>
      <c r="C158" s="158" t="s">
        <v>9</v>
      </c>
      <c r="D158" s="159">
        <v>292383</v>
      </c>
    </row>
    <row r="159" spans="1:4" x14ac:dyDescent="0.3">
      <c r="A159" s="172">
        <v>154</v>
      </c>
      <c r="B159" s="179" t="s">
        <v>378</v>
      </c>
      <c r="C159" s="158" t="s">
        <v>9</v>
      </c>
      <c r="D159" s="159">
        <v>150000</v>
      </c>
    </row>
    <row r="160" spans="1:4" x14ac:dyDescent="0.3">
      <c r="A160" s="172">
        <v>155</v>
      </c>
      <c r="B160" s="179" t="s">
        <v>379</v>
      </c>
      <c r="C160" s="158" t="s">
        <v>190</v>
      </c>
      <c r="D160" s="159">
        <v>39570</v>
      </c>
    </row>
    <row r="161" spans="1:4" x14ac:dyDescent="0.3">
      <c r="A161" s="172">
        <v>156</v>
      </c>
      <c r="B161" s="179" t="s">
        <v>380</v>
      </c>
      <c r="C161" s="158" t="s">
        <v>9</v>
      </c>
      <c r="D161" s="159">
        <v>3000</v>
      </c>
    </row>
    <row r="162" spans="1:4" x14ac:dyDescent="0.3">
      <c r="A162" s="172">
        <v>157</v>
      </c>
      <c r="B162" s="179" t="s">
        <v>381</v>
      </c>
      <c r="C162" s="158" t="s">
        <v>9</v>
      </c>
      <c r="D162" s="159">
        <v>39570</v>
      </c>
    </row>
    <row r="163" spans="1:4" x14ac:dyDescent="0.3">
      <c r="A163" s="172">
        <v>158</v>
      </c>
      <c r="B163" s="179" t="s">
        <v>432</v>
      </c>
      <c r="C163" s="158" t="s">
        <v>190</v>
      </c>
      <c r="D163" s="159">
        <v>12000</v>
      </c>
    </row>
    <row r="164" spans="1:4" x14ac:dyDescent="0.3">
      <c r="A164" s="172">
        <v>159</v>
      </c>
      <c r="B164" s="179" t="s">
        <v>397</v>
      </c>
      <c r="C164" s="158" t="s">
        <v>190</v>
      </c>
      <c r="D164" s="159">
        <v>25000</v>
      </c>
    </row>
    <row r="165" spans="1:4" x14ac:dyDescent="0.3">
      <c r="A165" s="172">
        <v>160</v>
      </c>
      <c r="B165" s="179" t="s">
        <v>398</v>
      </c>
      <c r="C165" s="158" t="s">
        <v>190</v>
      </c>
      <c r="D165" s="159">
        <v>18000</v>
      </c>
    </row>
    <row r="166" spans="1:4" x14ac:dyDescent="0.3">
      <c r="A166" s="172">
        <v>161</v>
      </c>
      <c r="B166" s="179" t="s">
        <v>406</v>
      </c>
      <c r="C166" s="158" t="s">
        <v>190</v>
      </c>
      <c r="D166" s="159">
        <v>6180</v>
      </c>
    </row>
    <row r="167" spans="1:4" x14ac:dyDescent="0.3">
      <c r="A167" s="172">
        <v>162</v>
      </c>
      <c r="B167" s="179" t="s">
        <v>407</v>
      </c>
      <c r="C167" s="158" t="s">
        <v>190</v>
      </c>
      <c r="D167" s="159">
        <v>4590</v>
      </c>
    </row>
    <row r="168" spans="1:4" ht="27.6" x14ac:dyDescent="0.3">
      <c r="A168" s="172">
        <v>163</v>
      </c>
      <c r="B168" s="190" t="s">
        <v>418</v>
      </c>
      <c r="C168" s="158" t="s">
        <v>9</v>
      </c>
      <c r="D168" s="159">
        <v>25600</v>
      </c>
    </row>
    <row r="169" spans="1:4" x14ac:dyDescent="0.3">
      <c r="A169" s="172">
        <v>164</v>
      </c>
      <c r="B169" s="179" t="s">
        <v>408</v>
      </c>
      <c r="C169" s="158" t="s">
        <v>9</v>
      </c>
      <c r="D169" s="159">
        <v>800</v>
      </c>
    </row>
    <row r="170" spans="1:4" x14ac:dyDescent="0.3">
      <c r="A170" s="172">
        <v>165</v>
      </c>
      <c r="B170" s="179" t="s">
        <v>410</v>
      </c>
      <c r="C170" s="158" t="s">
        <v>9</v>
      </c>
      <c r="D170" s="159">
        <v>256300</v>
      </c>
    </row>
    <row r="171" spans="1:4" x14ac:dyDescent="0.3">
      <c r="A171" s="172">
        <v>166</v>
      </c>
      <c r="B171" s="179" t="s">
        <v>419</v>
      </c>
      <c r="C171" s="158" t="s">
        <v>9</v>
      </c>
      <c r="D171" s="159">
        <v>21680700</v>
      </c>
    </row>
    <row r="172" spans="1:4" x14ac:dyDescent="0.3">
      <c r="A172" s="172">
        <v>167</v>
      </c>
      <c r="B172" s="179" t="s">
        <v>420</v>
      </c>
      <c r="C172" s="158" t="s">
        <v>9</v>
      </c>
      <c r="D172" s="159">
        <v>12500</v>
      </c>
    </row>
    <row r="173" spans="1:4" x14ac:dyDescent="0.3">
      <c r="A173" s="172">
        <v>168</v>
      </c>
      <c r="B173" s="179" t="s">
        <v>421</v>
      </c>
      <c r="C173" s="158" t="s">
        <v>9</v>
      </c>
      <c r="D173" s="159">
        <v>125000</v>
      </c>
    </row>
    <row r="174" spans="1:4" x14ac:dyDescent="0.3">
      <c r="A174" s="172">
        <v>169</v>
      </c>
      <c r="B174" s="179" t="s">
        <v>433</v>
      </c>
      <c r="C174" s="158" t="s">
        <v>9</v>
      </c>
      <c r="D174" s="159">
        <v>4300</v>
      </c>
    </row>
    <row r="175" spans="1:4" x14ac:dyDescent="0.3">
      <c r="A175" s="172">
        <v>170</v>
      </c>
      <c r="B175" s="179" t="s">
        <v>411</v>
      </c>
      <c r="C175" s="158" t="s">
        <v>9</v>
      </c>
      <c r="D175" s="159">
        <v>13500</v>
      </c>
    </row>
    <row r="176" spans="1:4" x14ac:dyDescent="0.3">
      <c r="A176" s="172">
        <v>171</v>
      </c>
      <c r="B176" s="179" t="s">
        <v>409</v>
      </c>
      <c r="C176" s="158" t="s">
        <v>9</v>
      </c>
      <c r="D176" s="159">
        <v>5000</v>
      </c>
    </row>
    <row r="177" spans="1:4" x14ac:dyDescent="0.3">
      <c r="A177" s="172">
        <v>172</v>
      </c>
      <c r="B177" s="179" t="s">
        <v>401</v>
      </c>
      <c r="C177" s="158" t="s">
        <v>9</v>
      </c>
      <c r="D177" s="159">
        <v>307234</v>
      </c>
    </row>
    <row r="178" spans="1:4" x14ac:dyDescent="0.3">
      <c r="A178" s="172">
        <v>173</v>
      </c>
      <c r="B178" s="179" t="s">
        <v>402</v>
      </c>
      <c r="C178" s="158" t="s">
        <v>9</v>
      </c>
      <c r="D178" s="159">
        <v>436800</v>
      </c>
    </row>
    <row r="179" spans="1:4" x14ac:dyDescent="0.3">
      <c r="A179" s="172">
        <v>174</v>
      </c>
      <c r="B179" s="179" t="s">
        <v>399</v>
      </c>
      <c r="C179" s="158" t="s">
        <v>190</v>
      </c>
      <c r="D179" s="159">
        <v>28543</v>
      </c>
    </row>
    <row r="180" spans="1:4" x14ac:dyDescent="0.3">
      <c r="A180" s="172">
        <v>175</v>
      </c>
      <c r="B180" s="179" t="s">
        <v>400</v>
      </c>
      <c r="C180" s="158" t="s">
        <v>9</v>
      </c>
      <c r="D180" s="159">
        <v>12308</v>
      </c>
    </row>
    <row r="181" spans="1:4" x14ac:dyDescent="0.3">
      <c r="A181" s="172">
        <v>176</v>
      </c>
      <c r="B181" s="179" t="s">
        <v>395</v>
      </c>
      <c r="C181" s="158" t="s">
        <v>9</v>
      </c>
      <c r="D181" s="159">
        <v>435800</v>
      </c>
    </row>
    <row r="182" spans="1:4" x14ac:dyDescent="0.3">
      <c r="A182" s="172">
        <v>177</v>
      </c>
      <c r="B182" s="179" t="s">
        <v>382</v>
      </c>
      <c r="C182" s="158" t="s">
        <v>9</v>
      </c>
      <c r="D182" s="159">
        <v>360000</v>
      </c>
    </row>
    <row r="183" spans="1:4" x14ac:dyDescent="0.3">
      <c r="A183" s="172">
        <v>178</v>
      </c>
      <c r="B183" s="179" t="s">
        <v>403</v>
      </c>
      <c r="C183" s="158" t="s">
        <v>9</v>
      </c>
      <c r="D183" s="159">
        <v>2505000</v>
      </c>
    </row>
    <row r="184" spans="1:4" x14ac:dyDescent="0.3">
      <c r="A184" s="172">
        <v>179</v>
      </c>
      <c r="B184" s="179" t="s">
        <v>323</v>
      </c>
      <c r="C184" s="158" t="s">
        <v>9</v>
      </c>
      <c r="D184" s="159">
        <v>16065000</v>
      </c>
    </row>
    <row r="185" spans="1:4" x14ac:dyDescent="0.3">
      <c r="A185" s="1">
        <v>180</v>
      </c>
      <c r="B185" s="323" t="s">
        <v>582</v>
      </c>
      <c r="C185" s="324" t="s">
        <v>49</v>
      </c>
      <c r="D185" s="325">
        <v>14400</v>
      </c>
    </row>
    <row r="186" spans="1:4" x14ac:dyDescent="0.3">
      <c r="A186" s="1">
        <v>181</v>
      </c>
      <c r="B186" s="323" t="s">
        <v>506</v>
      </c>
      <c r="C186" s="324" t="s">
        <v>181</v>
      </c>
      <c r="D186" s="325">
        <v>4332</v>
      </c>
    </row>
    <row r="187" spans="1:4" x14ac:dyDescent="0.3">
      <c r="A187" s="1">
        <v>182</v>
      </c>
      <c r="B187" s="328" t="s">
        <v>529</v>
      </c>
      <c r="C187" s="324" t="s">
        <v>9</v>
      </c>
      <c r="D187" s="325">
        <v>14900</v>
      </c>
    </row>
    <row r="188" spans="1:4" x14ac:dyDescent="0.3">
      <c r="A188" s="1">
        <v>183</v>
      </c>
      <c r="B188" s="328" t="s">
        <v>567</v>
      </c>
      <c r="C188" s="324" t="s">
        <v>181</v>
      </c>
      <c r="D188" s="325">
        <v>4332</v>
      </c>
    </row>
    <row r="189" spans="1:4" ht="14.4" thickBot="1" x14ac:dyDescent="0.35">
      <c r="A189" s="332">
        <v>184</v>
      </c>
      <c r="B189" s="329" t="s">
        <v>536</v>
      </c>
      <c r="C189" s="330" t="s">
        <v>9</v>
      </c>
      <c r="D189" s="331">
        <v>3950</v>
      </c>
    </row>
    <row r="190" spans="1:4" x14ac:dyDescent="0.3">
      <c r="A190" s="5"/>
    </row>
    <row r="192" spans="1:4" x14ac:dyDescent="0.3">
      <c r="B192" s="4"/>
      <c r="D192" s="5"/>
    </row>
    <row r="197" spans="2:4" x14ac:dyDescent="0.3">
      <c r="B197" s="4"/>
      <c r="D197" s="5"/>
    </row>
    <row r="206" spans="2:4" x14ac:dyDescent="0.3">
      <c r="B206" s="108"/>
      <c r="D206" s="5"/>
    </row>
    <row r="211" spans="1:5" x14ac:dyDescent="0.3">
      <c r="B211" s="108"/>
      <c r="D211" s="5"/>
    </row>
    <row r="212" spans="1:5" x14ac:dyDescent="0.3">
      <c r="A212" s="835"/>
      <c r="B212" s="835"/>
      <c r="D212" s="5"/>
    </row>
    <row r="215" spans="1:5" x14ac:dyDescent="0.3">
      <c r="A215" s="835"/>
      <c r="B215" s="835"/>
      <c r="D215" s="5"/>
      <c r="E215" s="4"/>
    </row>
    <row r="216" spans="1:5" x14ac:dyDescent="0.3">
      <c r="D216" s="5"/>
      <c r="E216" s="4"/>
    </row>
    <row r="217" spans="1:5" x14ac:dyDescent="0.3">
      <c r="D217" s="5"/>
      <c r="E217" s="4"/>
    </row>
    <row r="218" spans="1:5" x14ac:dyDescent="0.3">
      <c r="E218" s="4"/>
    </row>
    <row r="219" spans="1:5" x14ac:dyDescent="0.3">
      <c r="E219" s="4"/>
    </row>
    <row r="220" spans="1:5" x14ac:dyDescent="0.3">
      <c r="A220" s="835"/>
      <c r="B220" s="835"/>
      <c r="E220" s="4"/>
    </row>
    <row r="221" spans="1:5" x14ac:dyDescent="0.3">
      <c r="E221" s="4"/>
    </row>
    <row r="222" spans="1:5" x14ac:dyDescent="0.3">
      <c r="E222" s="4"/>
    </row>
    <row r="223" spans="1:5" x14ac:dyDescent="0.3">
      <c r="E223" s="4"/>
    </row>
    <row r="225" spans="5:5" x14ac:dyDescent="0.3">
      <c r="E225" s="4"/>
    </row>
    <row r="226" spans="5:5" x14ac:dyDescent="0.3">
      <c r="E226" s="4"/>
    </row>
    <row r="227" spans="5:5" x14ac:dyDescent="0.3">
      <c r="E227" s="4"/>
    </row>
    <row r="228" spans="5:5" x14ac:dyDescent="0.3">
      <c r="E228" s="4"/>
    </row>
    <row r="229" spans="5:5" x14ac:dyDescent="0.3">
      <c r="E229" s="4"/>
    </row>
    <row r="230" spans="5:5" x14ac:dyDescent="0.3">
      <c r="E230" s="4"/>
    </row>
    <row r="231" spans="5:5" x14ac:dyDescent="0.3">
      <c r="E231" s="4"/>
    </row>
    <row r="232" spans="5:5" x14ac:dyDescent="0.3">
      <c r="E232" s="4"/>
    </row>
  </sheetData>
  <autoFilter ref="A5:D189" xr:uid="{00000000-0009-0000-0000-000048000000}"/>
  <mergeCells count="8">
    <mergeCell ref="A215:B215"/>
    <mergeCell ref="A220:B220"/>
    <mergeCell ref="A212:B212"/>
    <mergeCell ref="A1:A4"/>
    <mergeCell ref="B1:D1"/>
    <mergeCell ref="B2:D2"/>
    <mergeCell ref="B3:D3"/>
    <mergeCell ref="B4:D4"/>
  </mergeCells>
  <phoneticPr fontId="22" type="noConversion"/>
  <pageMargins left="0.7" right="0.7" top="0.75" bottom="0.75" header="0.3" footer="0.3"/>
  <pageSetup paperSize="9" orientation="portrait"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Hoja93"/>
  <dimension ref="A1:F363"/>
  <sheetViews>
    <sheetView zoomScale="85" zoomScaleNormal="85" workbookViewId="0">
      <selection activeCell="B23" sqref="B23"/>
    </sheetView>
  </sheetViews>
  <sheetFormatPr baseColWidth="10" defaultColWidth="11.44140625" defaultRowHeight="13.2" x14ac:dyDescent="0.25"/>
  <cols>
    <col min="1" max="1" width="4" style="89" bestFit="1" customWidth="1"/>
    <col min="2" max="2" width="27.109375" style="98" bestFit="1" customWidth="1"/>
    <col min="3" max="3" width="11.5546875" style="89" bestFit="1" customWidth="1"/>
    <col min="4" max="4" width="12.88671875" style="89" bestFit="1" customWidth="1"/>
    <col min="5" max="5" width="12.88671875" style="99" bestFit="1" customWidth="1"/>
    <col min="6" max="6" width="20.5546875" style="44" bestFit="1" customWidth="1"/>
    <col min="7" max="16384" width="11.44140625" style="44"/>
  </cols>
  <sheetData>
    <row r="1" spans="1:6" s="20" customFormat="1" x14ac:dyDescent="0.25">
      <c r="A1" s="861"/>
      <c r="B1" s="862"/>
      <c r="C1" s="862" t="str">
        <f>'PPTO HOJA'!A4</f>
        <v>DEPARTAMENTO DE ANTIOQUIA</v>
      </c>
      <c r="D1" s="862"/>
      <c r="E1" s="862"/>
      <c r="F1" s="865"/>
    </row>
    <row r="2" spans="1:6" s="20" customFormat="1" x14ac:dyDescent="0.25">
      <c r="A2" s="863"/>
      <c r="B2" s="766"/>
      <c r="C2" s="766" t="str">
        <f>'PPTO HOJA'!A5</f>
        <v>MUNICIPIO DE ARBOLETES</v>
      </c>
      <c r="D2" s="766"/>
      <c r="E2" s="766"/>
      <c r="F2" s="841"/>
    </row>
    <row r="3" spans="1:6" s="20" customFormat="1" ht="69.75" customHeight="1" thickBot="1" x14ac:dyDescent="0.3">
      <c r="A3" s="864"/>
      <c r="B3" s="843"/>
      <c r="C3" s="866" t="str">
        <f>'PPTO HOJA'!A7</f>
        <v>CONSTRUCCION DE OBRAS CIVILES COMPLEMENTARIAS PARA EL CORRECTO FUNCIONAMIENTO DEL PROYECTO DENOMINADO “PARQUE GEOLÓGICO, NATURAL, AMBIENTAL, CULTURAL Y TURÍSTICO, VOLCÁN DE LODO DE ARBOLETES”, QUE SE LLEVARÁ A CABO EN EL MUNICIPIO DE ARBOLETES-ANTIOQUIA</v>
      </c>
      <c r="D3" s="866"/>
      <c r="E3" s="866"/>
      <c r="F3" s="867"/>
    </row>
    <row r="4" spans="1:6" s="84" customFormat="1" ht="18" customHeight="1" thickBot="1" x14ac:dyDescent="0.35">
      <c r="A4" s="856" t="s">
        <v>84</v>
      </c>
      <c r="B4" s="857"/>
      <c r="C4" s="857"/>
      <c r="D4" s="857"/>
      <c r="E4" s="857"/>
      <c r="F4" s="858"/>
    </row>
    <row r="5" spans="1:6" s="84" customFormat="1" ht="12" customHeight="1" x14ac:dyDescent="0.3">
      <c r="A5" s="847"/>
      <c r="B5" s="848"/>
      <c r="C5" s="848"/>
      <c r="D5" s="848"/>
      <c r="E5" s="848"/>
      <c r="F5" s="849"/>
    </row>
    <row r="6" spans="1:6" s="86" customFormat="1" ht="26.4" x14ac:dyDescent="0.3">
      <c r="A6" s="131" t="s">
        <v>85</v>
      </c>
      <c r="B6" s="850" t="s">
        <v>25</v>
      </c>
      <c r="C6" s="850"/>
      <c r="D6" s="100" t="s">
        <v>26</v>
      </c>
      <c r="E6" s="101" t="s">
        <v>86</v>
      </c>
      <c r="F6" s="132" t="s">
        <v>87</v>
      </c>
    </row>
    <row r="7" spans="1:6" s="84" customFormat="1" x14ac:dyDescent="0.3">
      <c r="A7" s="133">
        <v>1</v>
      </c>
      <c r="B7" s="845" t="s">
        <v>88</v>
      </c>
      <c r="C7" s="846"/>
      <c r="D7" s="87" t="s">
        <v>89</v>
      </c>
      <c r="E7" s="88">
        <v>149700</v>
      </c>
      <c r="F7" s="134">
        <f>+E7*8</f>
        <v>1197600</v>
      </c>
    </row>
    <row r="8" spans="1:6" s="84" customFormat="1" x14ac:dyDescent="0.3">
      <c r="A8" s="133"/>
      <c r="B8" s="845" t="s">
        <v>392</v>
      </c>
      <c r="C8" s="846"/>
      <c r="D8" s="192"/>
      <c r="E8" s="193">
        <f>112000</f>
        <v>112000</v>
      </c>
      <c r="F8" s="134">
        <f>+E8*8</f>
        <v>896000</v>
      </c>
    </row>
    <row r="9" spans="1:6" s="84" customFormat="1" x14ac:dyDescent="0.3">
      <c r="A9" s="133">
        <v>1</v>
      </c>
      <c r="B9" s="845" t="s">
        <v>243</v>
      </c>
      <c r="C9" s="846"/>
      <c r="D9" s="87"/>
      <c r="E9" s="88">
        <f>+F9/8</f>
        <v>62500</v>
      </c>
      <c r="F9" s="134">
        <v>500000</v>
      </c>
    </row>
    <row r="10" spans="1:6" s="84" customFormat="1" x14ac:dyDescent="0.3">
      <c r="A10" s="133">
        <v>1</v>
      </c>
      <c r="B10" s="845" t="s">
        <v>152</v>
      </c>
      <c r="C10" s="846"/>
      <c r="D10" s="87"/>
      <c r="E10" s="88">
        <v>3397</v>
      </c>
      <c r="F10" s="134">
        <f>+E10*8</f>
        <v>27176</v>
      </c>
    </row>
    <row r="11" spans="1:6" s="84" customFormat="1" x14ac:dyDescent="0.3">
      <c r="A11" s="133">
        <v>2</v>
      </c>
      <c r="B11" s="845" t="s">
        <v>90</v>
      </c>
      <c r="C11" s="846"/>
      <c r="D11" s="87" t="s">
        <v>91</v>
      </c>
      <c r="E11" s="88">
        <v>204000</v>
      </c>
      <c r="F11" s="134">
        <f t="shared" ref="F11:F37" si="0">+E11*8</f>
        <v>1632000</v>
      </c>
    </row>
    <row r="12" spans="1:6" s="84" customFormat="1" x14ac:dyDescent="0.3">
      <c r="A12" s="133"/>
      <c r="B12" s="845" t="s">
        <v>405</v>
      </c>
      <c r="C12" s="846"/>
      <c r="D12" s="192"/>
      <c r="E12" s="193">
        <f>1750000/8</f>
        <v>218750</v>
      </c>
      <c r="F12" s="134">
        <f t="shared" si="0"/>
        <v>1750000</v>
      </c>
    </row>
    <row r="13" spans="1:6" s="84" customFormat="1" x14ac:dyDescent="0.3">
      <c r="A13" s="133">
        <v>3</v>
      </c>
      <c r="B13" s="845" t="s">
        <v>92</v>
      </c>
      <c r="C13" s="846"/>
      <c r="D13" s="87" t="s">
        <v>93</v>
      </c>
      <c r="E13" s="88">
        <v>125</v>
      </c>
      <c r="F13" s="134">
        <f t="shared" si="0"/>
        <v>1000</v>
      </c>
    </row>
    <row r="14" spans="1:6" s="81" customFormat="1" ht="12.75" customHeight="1" x14ac:dyDescent="0.25">
      <c r="A14" s="133">
        <v>4</v>
      </c>
      <c r="B14" s="845" t="s">
        <v>94</v>
      </c>
      <c r="C14" s="846"/>
      <c r="D14" s="87"/>
      <c r="E14" s="88">
        <f>440000/8</f>
        <v>55000</v>
      </c>
      <c r="F14" s="134">
        <f t="shared" si="0"/>
        <v>440000</v>
      </c>
    </row>
    <row r="15" spans="1:6" s="81" customFormat="1" ht="12.75" customHeight="1" x14ac:dyDescent="0.25">
      <c r="A15" s="133"/>
      <c r="B15" s="845" t="s">
        <v>154</v>
      </c>
      <c r="C15" s="846"/>
      <c r="D15" s="87" t="s">
        <v>155</v>
      </c>
      <c r="E15" s="88">
        <f>1000*1.1</f>
        <v>1100</v>
      </c>
      <c r="F15" s="134">
        <f t="shared" ref="F15:F16" si="1">+E15*8</f>
        <v>8800</v>
      </c>
    </row>
    <row r="16" spans="1:6" s="81" customFormat="1" ht="12.75" customHeight="1" x14ac:dyDescent="0.25">
      <c r="A16" s="133"/>
      <c r="B16" s="845" t="s">
        <v>259</v>
      </c>
      <c r="C16" s="846"/>
      <c r="D16" s="87" t="s">
        <v>155</v>
      </c>
      <c r="E16" s="88">
        <f>178540/8</f>
        <v>22317.5</v>
      </c>
      <c r="F16" s="134">
        <f t="shared" si="1"/>
        <v>178540</v>
      </c>
    </row>
    <row r="17" spans="1:6" s="81" customFormat="1" ht="12.75" customHeight="1" x14ac:dyDescent="0.25">
      <c r="A17" s="133"/>
      <c r="B17" s="845" t="s">
        <v>297</v>
      </c>
      <c r="C17" s="846"/>
      <c r="D17" s="87" t="s">
        <v>137</v>
      </c>
      <c r="E17" s="88">
        <f>+F17/8</f>
        <v>5687.5</v>
      </c>
      <c r="F17" s="134">
        <f>45500</f>
        <v>45500</v>
      </c>
    </row>
    <row r="18" spans="1:6" s="81" customFormat="1" ht="12.75" customHeight="1" x14ac:dyDescent="0.25">
      <c r="A18" s="133"/>
      <c r="B18" s="845" t="s">
        <v>300</v>
      </c>
      <c r="C18" s="846"/>
      <c r="D18" s="87" t="s">
        <v>137</v>
      </c>
      <c r="E18" s="88">
        <f>F18/8</f>
        <v>30000</v>
      </c>
      <c r="F18" s="134">
        <v>240000</v>
      </c>
    </row>
    <row r="19" spans="1:6" s="81" customFormat="1" ht="12.75" customHeight="1" x14ac:dyDescent="0.25">
      <c r="A19" s="133"/>
      <c r="B19" s="845" t="s">
        <v>301</v>
      </c>
      <c r="C19" s="846"/>
      <c r="D19" s="87" t="s">
        <v>137</v>
      </c>
      <c r="E19" s="88">
        <f>+F19/8</f>
        <v>3125</v>
      </c>
      <c r="F19" s="134">
        <v>25000</v>
      </c>
    </row>
    <row r="20" spans="1:6" s="81" customFormat="1" x14ac:dyDescent="0.25">
      <c r="A20" s="133">
        <v>5</v>
      </c>
      <c r="B20" s="845" t="s">
        <v>95</v>
      </c>
      <c r="C20" s="846"/>
      <c r="D20" s="87" t="s">
        <v>93</v>
      </c>
      <c r="E20" s="88">
        <v>1000</v>
      </c>
      <c r="F20" s="134">
        <f t="shared" si="0"/>
        <v>8000</v>
      </c>
    </row>
    <row r="21" spans="1:6" x14ac:dyDescent="0.25">
      <c r="A21" s="133">
        <v>6</v>
      </c>
      <c r="B21" s="845" t="s">
        <v>96</v>
      </c>
      <c r="C21" s="846"/>
      <c r="D21" s="87" t="s">
        <v>139</v>
      </c>
      <c r="E21" s="88">
        <f>1345500/8</f>
        <v>168187.5</v>
      </c>
      <c r="F21" s="134">
        <f t="shared" si="0"/>
        <v>1345500</v>
      </c>
    </row>
    <row r="22" spans="1:6" ht="12.75" customHeight="1" x14ac:dyDescent="0.25">
      <c r="A22" s="133">
        <v>7</v>
      </c>
      <c r="B22" s="845" t="s">
        <v>97</v>
      </c>
      <c r="C22" s="846"/>
      <c r="D22" s="87"/>
      <c r="E22" s="88">
        <v>56000</v>
      </c>
      <c r="F22" s="134">
        <f t="shared" si="0"/>
        <v>448000</v>
      </c>
    </row>
    <row r="23" spans="1:6" ht="12.75" customHeight="1" x14ac:dyDescent="0.25">
      <c r="A23" s="133">
        <v>8</v>
      </c>
      <c r="B23" s="845" t="s">
        <v>44</v>
      </c>
      <c r="C23" s="846"/>
      <c r="D23" s="87" t="s">
        <v>138</v>
      </c>
      <c r="E23" s="88">
        <v>194000</v>
      </c>
      <c r="F23" s="134">
        <f t="shared" si="0"/>
        <v>1552000</v>
      </c>
    </row>
    <row r="24" spans="1:6" ht="12.75" customHeight="1" x14ac:dyDescent="0.25">
      <c r="A24" s="133">
        <v>9</v>
      </c>
      <c r="B24" s="845" t="s">
        <v>98</v>
      </c>
      <c r="C24" s="846"/>
      <c r="D24" s="87"/>
      <c r="E24" s="88">
        <v>800</v>
      </c>
      <c r="F24" s="134">
        <f t="shared" si="0"/>
        <v>6400</v>
      </c>
    </row>
    <row r="25" spans="1:6" x14ac:dyDescent="0.25">
      <c r="A25" s="133">
        <v>10</v>
      </c>
      <c r="B25" s="845" t="s">
        <v>99</v>
      </c>
      <c r="C25" s="846"/>
      <c r="D25" s="87" t="s">
        <v>100</v>
      </c>
      <c r="E25" s="88">
        <v>256.25</v>
      </c>
      <c r="F25" s="134">
        <f t="shared" si="0"/>
        <v>2050</v>
      </c>
    </row>
    <row r="26" spans="1:6" x14ac:dyDescent="0.25">
      <c r="A26" s="133">
        <v>11</v>
      </c>
      <c r="B26" s="845" t="s">
        <v>101</v>
      </c>
      <c r="C26" s="846"/>
      <c r="D26" s="87"/>
      <c r="E26" s="88">
        <f>85000/8</f>
        <v>10625</v>
      </c>
      <c r="F26" s="134">
        <f t="shared" si="0"/>
        <v>85000</v>
      </c>
    </row>
    <row r="27" spans="1:6" x14ac:dyDescent="0.25">
      <c r="A27" s="133">
        <v>12</v>
      </c>
      <c r="B27" s="845" t="s">
        <v>102</v>
      </c>
      <c r="C27" s="846"/>
      <c r="D27" s="87" t="s">
        <v>103</v>
      </c>
      <c r="E27" s="88">
        <f>+E25</f>
        <v>256.25</v>
      </c>
      <c r="F27" s="134">
        <f t="shared" si="0"/>
        <v>2050</v>
      </c>
    </row>
    <row r="28" spans="1:6" ht="18.75" customHeight="1" x14ac:dyDescent="0.25">
      <c r="A28" s="133">
        <v>13</v>
      </c>
      <c r="B28" s="845" t="s">
        <v>104</v>
      </c>
      <c r="C28" s="846"/>
      <c r="D28" s="87" t="s">
        <v>105</v>
      </c>
      <c r="E28" s="88">
        <v>230000</v>
      </c>
      <c r="F28" s="134">
        <f t="shared" si="0"/>
        <v>1840000</v>
      </c>
    </row>
    <row r="29" spans="1:6" ht="12.75" customHeight="1" x14ac:dyDescent="0.25">
      <c r="A29" s="133">
        <v>14</v>
      </c>
      <c r="B29" s="845" t="s">
        <v>104</v>
      </c>
      <c r="C29" s="846"/>
      <c r="D29" s="87" t="s">
        <v>106</v>
      </c>
      <c r="E29" s="88">
        <v>200000</v>
      </c>
      <c r="F29" s="134">
        <f t="shared" si="0"/>
        <v>1600000</v>
      </c>
    </row>
    <row r="30" spans="1:6" ht="12.75" customHeight="1" x14ac:dyDescent="0.25">
      <c r="A30" s="133"/>
      <c r="B30" s="845" t="s">
        <v>393</v>
      </c>
      <c r="C30" s="846"/>
      <c r="D30" s="192"/>
      <c r="E30" s="193">
        <f>200000</f>
        <v>200000</v>
      </c>
      <c r="F30" s="134">
        <f t="shared" si="0"/>
        <v>1600000</v>
      </c>
    </row>
    <row r="31" spans="1:6" ht="12.75" customHeight="1" x14ac:dyDescent="0.25">
      <c r="A31" s="133">
        <v>15</v>
      </c>
      <c r="B31" s="845" t="s">
        <v>107</v>
      </c>
      <c r="C31" s="846"/>
      <c r="D31" s="87" t="s">
        <v>137</v>
      </c>
      <c r="E31" s="88">
        <f>+E26</f>
        <v>10625</v>
      </c>
      <c r="F31" s="134">
        <f t="shared" si="0"/>
        <v>85000</v>
      </c>
    </row>
    <row r="32" spans="1:6" ht="12.75" customHeight="1" x14ac:dyDescent="0.25">
      <c r="A32" s="133">
        <v>16</v>
      </c>
      <c r="B32" s="845" t="s">
        <v>109</v>
      </c>
      <c r="C32" s="846"/>
      <c r="D32" s="87" t="s">
        <v>140</v>
      </c>
      <c r="E32" s="88">
        <f>1110000/8</f>
        <v>138750</v>
      </c>
      <c r="F32" s="134">
        <f t="shared" si="0"/>
        <v>1110000</v>
      </c>
    </row>
    <row r="33" spans="1:6" ht="12.75" customHeight="1" x14ac:dyDescent="0.25">
      <c r="A33" s="133">
        <v>17</v>
      </c>
      <c r="B33" s="845" t="s">
        <v>308</v>
      </c>
      <c r="C33" s="846"/>
      <c r="D33" s="87"/>
      <c r="E33" s="88">
        <f>600000/8</f>
        <v>75000</v>
      </c>
      <c r="F33" s="134">
        <f>+E33*8</f>
        <v>600000</v>
      </c>
    </row>
    <row r="34" spans="1:6" ht="12.75" customHeight="1" x14ac:dyDescent="0.25">
      <c r="A34" s="133">
        <v>17</v>
      </c>
      <c r="B34" s="845" t="s">
        <v>153</v>
      </c>
      <c r="C34" s="846"/>
      <c r="D34" s="87"/>
      <c r="E34" s="88">
        <f>111000*1.19</f>
        <v>132090</v>
      </c>
      <c r="F34" s="134">
        <f>+E34*8</f>
        <v>1056720</v>
      </c>
    </row>
    <row r="35" spans="1:6" ht="12.75" customHeight="1" x14ac:dyDescent="0.25">
      <c r="A35" s="133"/>
      <c r="B35" s="845" t="s">
        <v>299</v>
      </c>
      <c r="C35" s="846"/>
      <c r="D35" s="87" t="s">
        <v>298</v>
      </c>
      <c r="E35" s="88">
        <v>95434</v>
      </c>
      <c r="F35" s="134">
        <f>+E35*8</f>
        <v>763472</v>
      </c>
    </row>
    <row r="36" spans="1:6" ht="30" customHeight="1" x14ac:dyDescent="0.25">
      <c r="A36" s="133"/>
      <c r="B36" s="845" t="s">
        <v>305</v>
      </c>
      <c r="C36" s="846"/>
      <c r="D36" s="87" t="s">
        <v>306</v>
      </c>
      <c r="E36" s="88">
        <v>202252.32</v>
      </c>
      <c r="F36" s="134">
        <f>E36*8</f>
        <v>1618018.56</v>
      </c>
    </row>
    <row r="37" spans="1:6" ht="36.75" customHeight="1" x14ac:dyDescent="0.25">
      <c r="A37" s="133">
        <v>18</v>
      </c>
      <c r="B37" s="845" t="s">
        <v>110</v>
      </c>
      <c r="C37" s="846"/>
      <c r="D37" s="87" t="s">
        <v>108</v>
      </c>
      <c r="E37" s="88">
        <v>11980</v>
      </c>
      <c r="F37" s="134">
        <f t="shared" si="0"/>
        <v>95840</v>
      </c>
    </row>
    <row r="38" spans="1:6" ht="12.75" customHeight="1" x14ac:dyDescent="0.25">
      <c r="A38" s="133">
        <v>19</v>
      </c>
      <c r="B38" s="845" t="s">
        <v>111</v>
      </c>
      <c r="C38" s="846"/>
      <c r="D38" s="87" t="s">
        <v>112</v>
      </c>
      <c r="E38" s="88">
        <v>45000</v>
      </c>
      <c r="F38" s="134">
        <f>+E38*8</f>
        <v>360000</v>
      </c>
    </row>
    <row r="39" spans="1:6" ht="41.25" customHeight="1" x14ac:dyDescent="0.25">
      <c r="A39" s="133">
        <v>20</v>
      </c>
      <c r="B39" s="845" t="s">
        <v>113</v>
      </c>
      <c r="C39" s="846"/>
      <c r="D39" s="87" t="s">
        <v>108</v>
      </c>
      <c r="E39" s="88">
        <f>+F39/8</f>
        <v>14500</v>
      </c>
      <c r="F39" s="134">
        <v>116000</v>
      </c>
    </row>
    <row r="40" spans="1:6" ht="39.75" customHeight="1" x14ac:dyDescent="0.25">
      <c r="A40" s="133">
        <v>21</v>
      </c>
      <c r="B40" s="845" t="s">
        <v>45</v>
      </c>
      <c r="C40" s="846"/>
      <c r="D40" s="87" t="s">
        <v>46</v>
      </c>
      <c r="E40" s="88">
        <v>10000</v>
      </c>
      <c r="F40" s="134">
        <f>+E40*8</f>
        <v>80000</v>
      </c>
    </row>
    <row r="41" spans="1:6" ht="36" customHeight="1" x14ac:dyDescent="0.25">
      <c r="A41" s="133">
        <v>22</v>
      </c>
      <c r="B41" s="845" t="s">
        <v>47</v>
      </c>
      <c r="C41" s="846"/>
      <c r="D41" s="87" t="s">
        <v>48</v>
      </c>
      <c r="E41" s="88">
        <f>+F41/8</f>
        <v>7500</v>
      </c>
      <c r="F41" s="134">
        <v>60000</v>
      </c>
    </row>
    <row r="42" spans="1:6" ht="36" customHeight="1" x14ac:dyDescent="0.25">
      <c r="A42" s="133">
        <v>23</v>
      </c>
      <c r="B42" s="845" t="s">
        <v>114</v>
      </c>
      <c r="C42" s="846"/>
      <c r="D42" s="87" t="s">
        <v>115</v>
      </c>
      <c r="E42" s="88">
        <v>14000</v>
      </c>
      <c r="F42" s="134">
        <f>+E42*8</f>
        <v>112000</v>
      </c>
    </row>
    <row r="43" spans="1:6" ht="36" customHeight="1" x14ac:dyDescent="0.25">
      <c r="A43" s="133">
        <v>24</v>
      </c>
      <c r="B43" s="845" t="s">
        <v>116</v>
      </c>
      <c r="C43" s="846"/>
      <c r="D43" s="87" t="s">
        <v>137</v>
      </c>
      <c r="E43" s="88">
        <v>177650</v>
      </c>
      <c r="F43" s="134">
        <f>+E43*8</f>
        <v>1421200</v>
      </c>
    </row>
    <row r="44" spans="1:6" ht="36" customHeight="1" x14ac:dyDescent="0.25">
      <c r="A44" s="133">
        <v>25</v>
      </c>
      <c r="B44" s="845" t="s">
        <v>117</v>
      </c>
      <c r="C44" s="846"/>
      <c r="D44" s="87" t="s">
        <v>115</v>
      </c>
      <c r="E44" s="88">
        <v>12000</v>
      </c>
      <c r="F44" s="134">
        <f>+E44*8</f>
        <v>96000</v>
      </c>
    </row>
    <row r="45" spans="1:6" ht="36" customHeight="1" x14ac:dyDescent="0.25">
      <c r="A45" s="133">
        <v>26</v>
      </c>
      <c r="B45" s="859" t="s">
        <v>44</v>
      </c>
      <c r="C45" s="860"/>
      <c r="D45" s="90" t="s">
        <v>118</v>
      </c>
      <c r="E45" s="91">
        <v>180000</v>
      </c>
      <c r="F45" s="135">
        <f>+E45*8</f>
        <v>1440000</v>
      </c>
    </row>
    <row r="46" spans="1:6" ht="36" customHeight="1" thickBot="1" x14ac:dyDescent="0.3">
      <c r="A46" s="136">
        <v>27</v>
      </c>
      <c r="B46" s="853" t="s">
        <v>119</v>
      </c>
      <c r="C46" s="854"/>
      <c r="D46" s="137"/>
      <c r="E46" s="138">
        <f>F46/8</f>
        <v>18750</v>
      </c>
      <c r="F46" s="139">
        <v>150000</v>
      </c>
    </row>
    <row r="47" spans="1:6" ht="36" customHeight="1" x14ac:dyDescent="0.25">
      <c r="A47" s="85"/>
      <c r="B47" s="92"/>
      <c r="C47" s="92"/>
      <c r="D47" s="93"/>
      <c r="E47" s="94"/>
      <c r="F47" s="94"/>
    </row>
    <row r="48" spans="1:6" ht="36" customHeight="1" x14ac:dyDescent="0.25">
      <c r="A48" s="85"/>
      <c r="B48" s="95"/>
      <c r="C48" s="95"/>
      <c r="D48" s="96"/>
      <c r="E48" s="97"/>
      <c r="F48" s="97"/>
    </row>
    <row r="49" spans="1:6" ht="21.75" customHeight="1" x14ac:dyDescent="0.25">
      <c r="A49" s="855"/>
      <c r="B49" s="855"/>
      <c r="C49" s="855"/>
      <c r="D49" s="855"/>
      <c r="E49" s="855"/>
      <c r="F49" s="855"/>
    </row>
    <row r="50" spans="1:6" ht="17.25" customHeight="1" x14ac:dyDescent="0.25">
      <c r="A50" s="851"/>
      <c r="B50" s="851"/>
      <c r="C50" s="851"/>
      <c r="D50" s="851"/>
      <c r="E50" s="851"/>
      <c r="F50" s="851"/>
    </row>
    <row r="51" spans="1:6" ht="14.25" customHeight="1" x14ac:dyDescent="0.25">
      <c r="A51" s="852"/>
      <c r="B51" s="852"/>
      <c r="C51" s="852"/>
      <c r="D51" s="852"/>
      <c r="E51" s="852"/>
    </row>
    <row r="52" spans="1:6" x14ac:dyDescent="0.25">
      <c r="A52" s="44"/>
      <c r="B52" s="85"/>
      <c r="C52" s="44"/>
      <c r="D52" s="44"/>
      <c r="E52" s="44"/>
    </row>
    <row r="53" spans="1:6" x14ac:dyDescent="0.25">
      <c r="A53" s="44"/>
      <c r="B53" s="85"/>
      <c r="C53" s="44"/>
      <c r="D53" s="44"/>
      <c r="E53" s="44"/>
    </row>
    <row r="54" spans="1:6" x14ac:dyDescent="0.25">
      <c r="A54" s="44"/>
      <c r="B54" s="85"/>
      <c r="C54" s="44"/>
      <c r="D54" s="44"/>
      <c r="E54" s="44"/>
    </row>
    <row r="55" spans="1:6" x14ac:dyDescent="0.25">
      <c r="A55" s="44"/>
      <c r="B55" s="85"/>
      <c r="C55" s="44"/>
      <c r="D55" s="44"/>
      <c r="E55" s="44"/>
    </row>
    <row r="56" spans="1:6" x14ac:dyDescent="0.25">
      <c r="A56" s="44"/>
      <c r="B56" s="85"/>
      <c r="C56" s="44"/>
      <c r="D56" s="44"/>
      <c r="E56" s="44"/>
    </row>
    <row r="57" spans="1:6" x14ac:dyDescent="0.25">
      <c r="A57" s="44"/>
      <c r="B57" s="85"/>
      <c r="C57" s="44"/>
      <c r="D57" s="44"/>
      <c r="E57" s="44"/>
    </row>
    <row r="58" spans="1:6" x14ac:dyDescent="0.25">
      <c r="A58" s="44"/>
      <c r="B58" s="85"/>
      <c r="C58" s="44"/>
      <c r="D58" s="44"/>
      <c r="E58" s="44"/>
    </row>
    <row r="59" spans="1:6" x14ac:dyDescent="0.25">
      <c r="A59" s="44"/>
      <c r="B59" s="85"/>
      <c r="C59" s="44"/>
      <c r="D59" s="44"/>
      <c r="E59" s="44"/>
    </row>
    <row r="60" spans="1:6" x14ac:dyDescent="0.25">
      <c r="A60" s="44"/>
      <c r="B60" s="85"/>
      <c r="C60" s="44"/>
      <c r="D60" s="44"/>
      <c r="E60" s="44"/>
    </row>
    <row r="61" spans="1:6" x14ac:dyDescent="0.25">
      <c r="A61" s="44"/>
      <c r="B61" s="85"/>
      <c r="C61" s="44"/>
      <c r="D61" s="44"/>
      <c r="E61" s="44"/>
    </row>
    <row r="62" spans="1:6" x14ac:dyDescent="0.25">
      <c r="A62" s="44"/>
      <c r="B62" s="85"/>
      <c r="C62" s="44"/>
      <c r="D62" s="44"/>
      <c r="E62" s="44"/>
    </row>
    <row r="63" spans="1:6" x14ac:dyDescent="0.25">
      <c r="A63" s="44"/>
      <c r="B63" s="85"/>
      <c r="C63" s="44"/>
      <c r="D63" s="44"/>
      <c r="E63" s="44"/>
    </row>
    <row r="64" spans="1:6" x14ac:dyDescent="0.25">
      <c r="A64" s="44"/>
      <c r="B64" s="85"/>
      <c r="C64" s="44"/>
      <c r="D64" s="44"/>
      <c r="E64" s="44"/>
    </row>
    <row r="65" spans="2:2" s="44" customFormat="1" x14ac:dyDescent="0.25">
      <c r="B65" s="85"/>
    </row>
    <row r="66" spans="2:2" s="44" customFormat="1" x14ac:dyDescent="0.25">
      <c r="B66" s="85"/>
    </row>
    <row r="67" spans="2:2" s="44" customFormat="1" x14ac:dyDescent="0.25">
      <c r="B67" s="85"/>
    </row>
    <row r="68" spans="2:2" s="44" customFormat="1" x14ac:dyDescent="0.25">
      <c r="B68" s="85"/>
    </row>
    <row r="69" spans="2:2" s="44" customFormat="1" x14ac:dyDescent="0.25">
      <c r="B69" s="85"/>
    </row>
    <row r="70" spans="2:2" s="44" customFormat="1" x14ac:dyDescent="0.25">
      <c r="B70" s="85"/>
    </row>
    <row r="71" spans="2:2" s="44" customFormat="1" x14ac:dyDescent="0.25">
      <c r="B71" s="85"/>
    </row>
    <row r="72" spans="2:2" s="44" customFormat="1" x14ac:dyDescent="0.25">
      <c r="B72" s="85"/>
    </row>
    <row r="73" spans="2:2" s="44" customFormat="1" x14ac:dyDescent="0.25">
      <c r="B73" s="85"/>
    </row>
    <row r="74" spans="2:2" s="44" customFormat="1" x14ac:dyDescent="0.25">
      <c r="B74" s="85"/>
    </row>
    <row r="75" spans="2:2" s="44" customFormat="1" x14ac:dyDescent="0.25">
      <c r="B75" s="85"/>
    </row>
    <row r="76" spans="2:2" s="44" customFormat="1" x14ac:dyDescent="0.25">
      <c r="B76" s="85"/>
    </row>
    <row r="77" spans="2:2" s="44" customFormat="1" x14ac:dyDescent="0.25">
      <c r="B77" s="85"/>
    </row>
    <row r="78" spans="2:2" s="44" customFormat="1" x14ac:dyDescent="0.25">
      <c r="B78" s="85"/>
    </row>
    <row r="79" spans="2:2" s="44" customFormat="1" x14ac:dyDescent="0.25">
      <c r="B79" s="85"/>
    </row>
    <row r="80" spans="2:2" s="44" customFormat="1" x14ac:dyDescent="0.25">
      <c r="B80" s="85"/>
    </row>
    <row r="81" spans="2:2" s="44" customFormat="1" x14ac:dyDescent="0.25">
      <c r="B81" s="85"/>
    </row>
    <row r="82" spans="2:2" s="44" customFormat="1" x14ac:dyDescent="0.25">
      <c r="B82" s="85"/>
    </row>
    <row r="83" spans="2:2" s="44" customFormat="1" x14ac:dyDescent="0.25">
      <c r="B83" s="85"/>
    </row>
    <row r="84" spans="2:2" s="44" customFormat="1" x14ac:dyDescent="0.25">
      <c r="B84" s="85"/>
    </row>
    <row r="85" spans="2:2" s="44" customFormat="1" x14ac:dyDescent="0.25">
      <c r="B85" s="85"/>
    </row>
    <row r="86" spans="2:2" s="44" customFormat="1" x14ac:dyDescent="0.25">
      <c r="B86" s="85"/>
    </row>
    <row r="87" spans="2:2" s="44" customFormat="1" x14ac:dyDescent="0.25">
      <c r="B87" s="85"/>
    </row>
    <row r="88" spans="2:2" s="44" customFormat="1" x14ac:dyDescent="0.25">
      <c r="B88" s="85"/>
    </row>
    <row r="89" spans="2:2" s="44" customFormat="1" x14ac:dyDescent="0.25">
      <c r="B89" s="85"/>
    </row>
    <row r="90" spans="2:2" s="44" customFormat="1" x14ac:dyDescent="0.25">
      <c r="B90" s="85"/>
    </row>
    <row r="91" spans="2:2" s="44" customFormat="1" x14ac:dyDescent="0.25">
      <c r="B91" s="85"/>
    </row>
    <row r="92" spans="2:2" s="44" customFormat="1" x14ac:dyDescent="0.25">
      <c r="B92" s="85"/>
    </row>
    <row r="93" spans="2:2" s="44" customFormat="1" x14ac:dyDescent="0.25">
      <c r="B93" s="85"/>
    </row>
    <row r="94" spans="2:2" s="44" customFormat="1" x14ac:dyDescent="0.25">
      <c r="B94" s="85"/>
    </row>
    <row r="95" spans="2:2" s="44" customFormat="1" x14ac:dyDescent="0.25">
      <c r="B95" s="85"/>
    </row>
    <row r="96" spans="2:2" s="44" customFormat="1" x14ac:dyDescent="0.25">
      <c r="B96" s="85"/>
    </row>
    <row r="97" spans="2:2" s="44" customFormat="1" x14ac:dyDescent="0.25">
      <c r="B97" s="85"/>
    </row>
    <row r="98" spans="2:2" s="44" customFormat="1" x14ac:dyDescent="0.25">
      <c r="B98" s="85"/>
    </row>
    <row r="99" spans="2:2" s="44" customFormat="1" x14ac:dyDescent="0.25">
      <c r="B99" s="85"/>
    </row>
    <row r="100" spans="2:2" s="44" customFormat="1" x14ac:dyDescent="0.25">
      <c r="B100" s="85"/>
    </row>
    <row r="101" spans="2:2" s="44" customFormat="1" x14ac:dyDescent="0.25">
      <c r="B101" s="85"/>
    </row>
    <row r="102" spans="2:2" s="44" customFormat="1" x14ac:dyDescent="0.25">
      <c r="B102" s="85"/>
    </row>
    <row r="103" spans="2:2" s="44" customFormat="1" x14ac:dyDescent="0.25">
      <c r="B103" s="85"/>
    </row>
    <row r="104" spans="2:2" s="44" customFormat="1" x14ac:dyDescent="0.25">
      <c r="B104" s="85"/>
    </row>
    <row r="105" spans="2:2" s="44" customFormat="1" x14ac:dyDescent="0.25">
      <c r="B105" s="85"/>
    </row>
    <row r="106" spans="2:2" s="44" customFormat="1" x14ac:dyDescent="0.25">
      <c r="B106" s="85"/>
    </row>
    <row r="107" spans="2:2" s="44" customFormat="1" x14ac:dyDescent="0.25">
      <c r="B107" s="85"/>
    </row>
    <row r="108" spans="2:2" s="44" customFormat="1" x14ac:dyDescent="0.25">
      <c r="B108" s="85"/>
    </row>
    <row r="109" spans="2:2" s="44" customFormat="1" x14ac:dyDescent="0.25">
      <c r="B109" s="85"/>
    </row>
    <row r="110" spans="2:2" s="44" customFormat="1" x14ac:dyDescent="0.25">
      <c r="B110" s="85"/>
    </row>
    <row r="111" spans="2:2" s="44" customFormat="1" x14ac:dyDescent="0.25">
      <c r="B111" s="85"/>
    </row>
    <row r="112" spans="2:2" s="44" customFormat="1" x14ac:dyDescent="0.25">
      <c r="B112" s="85"/>
    </row>
    <row r="113" spans="2:2" s="44" customFormat="1" x14ac:dyDescent="0.25">
      <c r="B113" s="85"/>
    </row>
    <row r="114" spans="2:2" s="44" customFormat="1" x14ac:dyDescent="0.25">
      <c r="B114" s="85"/>
    </row>
    <row r="115" spans="2:2" s="44" customFormat="1" x14ac:dyDescent="0.25">
      <c r="B115" s="85"/>
    </row>
    <row r="116" spans="2:2" s="44" customFormat="1" x14ac:dyDescent="0.25">
      <c r="B116" s="85"/>
    </row>
    <row r="117" spans="2:2" s="44" customFormat="1" x14ac:dyDescent="0.25">
      <c r="B117" s="85"/>
    </row>
    <row r="118" spans="2:2" s="44" customFormat="1" x14ac:dyDescent="0.25">
      <c r="B118" s="85"/>
    </row>
    <row r="119" spans="2:2" s="44" customFormat="1" x14ac:dyDescent="0.25">
      <c r="B119" s="85"/>
    </row>
    <row r="120" spans="2:2" s="44" customFormat="1" x14ac:dyDescent="0.25">
      <c r="B120" s="85"/>
    </row>
    <row r="121" spans="2:2" s="44" customFormat="1" x14ac:dyDescent="0.25">
      <c r="B121" s="85"/>
    </row>
    <row r="122" spans="2:2" s="44" customFormat="1" x14ac:dyDescent="0.25">
      <c r="B122" s="85"/>
    </row>
    <row r="123" spans="2:2" s="44" customFormat="1" x14ac:dyDescent="0.25">
      <c r="B123" s="85"/>
    </row>
    <row r="124" spans="2:2" s="44" customFormat="1" x14ac:dyDescent="0.25">
      <c r="B124" s="85"/>
    </row>
    <row r="125" spans="2:2" s="44" customFormat="1" x14ac:dyDescent="0.25">
      <c r="B125" s="85"/>
    </row>
    <row r="126" spans="2:2" s="44" customFormat="1" x14ac:dyDescent="0.25">
      <c r="B126" s="85"/>
    </row>
    <row r="127" spans="2:2" s="44" customFormat="1" x14ac:dyDescent="0.25">
      <c r="B127" s="85"/>
    </row>
    <row r="128" spans="2:2" s="44" customFormat="1" x14ac:dyDescent="0.25">
      <c r="B128" s="85"/>
    </row>
    <row r="129" spans="2:2" s="44" customFormat="1" x14ac:dyDescent="0.25">
      <c r="B129" s="85"/>
    </row>
    <row r="130" spans="2:2" s="44" customFormat="1" x14ac:dyDescent="0.25">
      <c r="B130" s="85"/>
    </row>
    <row r="131" spans="2:2" s="44" customFormat="1" x14ac:dyDescent="0.25">
      <c r="B131" s="85"/>
    </row>
    <row r="132" spans="2:2" s="44" customFormat="1" x14ac:dyDescent="0.25">
      <c r="B132" s="85"/>
    </row>
    <row r="133" spans="2:2" s="44" customFormat="1" x14ac:dyDescent="0.25">
      <c r="B133" s="85"/>
    </row>
    <row r="134" spans="2:2" s="44" customFormat="1" x14ac:dyDescent="0.25">
      <c r="B134" s="85"/>
    </row>
    <row r="135" spans="2:2" s="44" customFormat="1" x14ac:dyDescent="0.25">
      <c r="B135" s="85"/>
    </row>
    <row r="136" spans="2:2" s="44" customFormat="1" x14ac:dyDescent="0.25">
      <c r="B136" s="85"/>
    </row>
    <row r="137" spans="2:2" s="44" customFormat="1" x14ac:dyDescent="0.25">
      <c r="B137" s="85"/>
    </row>
    <row r="138" spans="2:2" s="44" customFormat="1" x14ac:dyDescent="0.25">
      <c r="B138" s="85"/>
    </row>
    <row r="139" spans="2:2" s="44" customFormat="1" x14ac:dyDescent="0.25">
      <c r="B139" s="85"/>
    </row>
    <row r="140" spans="2:2" s="44" customFormat="1" x14ac:dyDescent="0.25">
      <c r="B140" s="85"/>
    </row>
    <row r="141" spans="2:2" s="44" customFormat="1" x14ac:dyDescent="0.25">
      <c r="B141" s="85"/>
    </row>
    <row r="142" spans="2:2" s="44" customFormat="1" x14ac:dyDescent="0.25">
      <c r="B142" s="85"/>
    </row>
    <row r="143" spans="2:2" s="44" customFormat="1" x14ac:dyDescent="0.25">
      <c r="B143" s="85"/>
    </row>
    <row r="144" spans="2:2" s="44" customFormat="1" x14ac:dyDescent="0.25">
      <c r="B144" s="85"/>
    </row>
    <row r="145" spans="2:2" s="44" customFormat="1" x14ac:dyDescent="0.25">
      <c r="B145" s="85"/>
    </row>
    <row r="146" spans="2:2" s="44" customFormat="1" x14ac:dyDescent="0.25">
      <c r="B146" s="85"/>
    </row>
    <row r="147" spans="2:2" s="44" customFormat="1" x14ac:dyDescent="0.25">
      <c r="B147" s="85"/>
    </row>
    <row r="148" spans="2:2" s="44" customFormat="1" x14ac:dyDescent="0.25">
      <c r="B148" s="85"/>
    </row>
    <row r="149" spans="2:2" s="44" customFormat="1" x14ac:dyDescent="0.25">
      <c r="B149" s="85"/>
    </row>
    <row r="150" spans="2:2" s="44" customFormat="1" x14ac:dyDescent="0.25">
      <c r="B150" s="85"/>
    </row>
    <row r="151" spans="2:2" s="44" customFormat="1" x14ac:dyDescent="0.25">
      <c r="B151" s="85"/>
    </row>
    <row r="152" spans="2:2" s="44" customFormat="1" x14ac:dyDescent="0.25">
      <c r="B152" s="85"/>
    </row>
    <row r="153" spans="2:2" s="44" customFormat="1" x14ac:dyDescent="0.25">
      <c r="B153" s="85"/>
    </row>
    <row r="154" spans="2:2" s="44" customFormat="1" x14ac:dyDescent="0.25">
      <c r="B154" s="85"/>
    </row>
    <row r="155" spans="2:2" s="44" customFormat="1" x14ac:dyDescent="0.25">
      <c r="B155" s="85"/>
    </row>
    <row r="156" spans="2:2" s="44" customFormat="1" x14ac:dyDescent="0.25">
      <c r="B156" s="85"/>
    </row>
    <row r="157" spans="2:2" s="44" customFormat="1" x14ac:dyDescent="0.25">
      <c r="B157" s="85"/>
    </row>
    <row r="158" spans="2:2" s="44" customFormat="1" x14ac:dyDescent="0.25">
      <c r="B158" s="85"/>
    </row>
    <row r="159" spans="2:2" s="44" customFormat="1" x14ac:dyDescent="0.25">
      <c r="B159" s="85"/>
    </row>
    <row r="160" spans="2:2" s="44" customFormat="1" x14ac:dyDescent="0.25">
      <c r="B160" s="85"/>
    </row>
    <row r="161" spans="2:2" s="44" customFormat="1" x14ac:dyDescent="0.25">
      <c r="B161" s="85"/>
    </row>
    <row r="162" spans="2:2" s="44" customFormat="1" x14ac:dyDescent="0.25">
      <c r="B162" s="85"/>
    </row>
    <row r="163" spans="2:2" s="44" customFormat="1" x14ac:dyDescent="0.25">
      <c r="B163" s="85"/>
    </row>
    <row r="164" spans="2:2" s="44" customFormat="1" x14ac:dyDescent="0.25">
      <c r="B164" s="85"/>
    </row>
    <row r="165" spans="2:2" s="44" customFormat="1" x14ac:dyDescent="0.25">
      <c r="B165" s="85"/>
    </row>
    <row r="166" spans="2:2" s="44" customFormat="1" x14ac:dyDescent="0.25">
      <c r="B166" s="85"/>
    </row>
    <row r="167" spans="2:2" s="44" customFormat="1" x14ac:dyDescent="0.25">
      <c r="B167" s="85"/>
    </row>
    <row r="168" spans="2:2" s="44" customFormat="1" x14ac:dyDescent="0.25">
      <c r="B168" s="85"/>
    </row>
    <row r="169" spans="2:2" s="44" customFormat="1" x14ac:dyDescent="0.25">
      <c r="B169" s="85"/>
    </row>
    <row r="170" spans="2:2" s="44" customFormat="1" x14ac:dyDescent="0.25">
      <c r="B170" s="85"/>
    </row>
    <row r="171" spans="2:2" s="44" customFormat="1" x14ac:dyDescent="0.25">
      <c r="B171" s="85"/>
    </row>
    <row r="172" spans="2:2" s="44" customFormat="1" x14ac:dyDescent="0.25">
      <c r="B172" s="85"/>
    </row>
    <row r="173" spans="2:2" s="44" customFormat="1" x14ac:dyDescent="0.25">
      <c r="B173" s="85"/>
    </row>
    <row r="174" spans="2:2" s="44" customFormat="1" x14ac:dyDescent="0.25">
      <c r="B174" s="85"/>
    </row>
    <row r="175" spans="2:2" s="44" customFormat="1" x14ac:dyDescent="0.25">
      <c r="B175" s="85"/>
    </row>
    <row r="176" spans="2:2" s="44" customFormat="1" x14ac:dyDescent="0.25">
      <c r="B176" s="85"/>
    </row>
    <row r="177" spans="2:2" s="44" customFormat="1" x14ac:dyDescent="0.25">
      <c r="B177" s="85"/>
    </row>
    <row r="178" spans="2:2" s="44" customFormat="1" x14ac:dyDescent="0.25">
      <c r="B178" s="85"/>
    </row>
    <row r="179" spans="2:2" s="44" customFormat="1" x14ac:dyDescent="0.25">
      <c r="B179" s="85"/>
    </row>
    <row r="180" spans="2:2" s="44" customFormat="1" x14ac:dyDescent="0.25">
      <c r="B180" s="85"/>
    </row>
    <row r="181" spans="2:2" s="44" customFormat="1" x14ac:dyDescent="0.25">
      <c r="B181" s="85"/>
    </row>
    <row r="182" spans="2:2" s="44" customFormat="1" x14ac:dyDescent="0.25">
      <c r="B182" s="85"/>
    </row>
    <row r="183" spans="2:2" s="44" customFormat="1" x14ac:dyDescent="0.25">
      <c r="B183" s="85"/>
    </row>
    <row r="184" spans="2:2" s="44" customFormat="1" x14ac:dyDescent="0.25">
      <c r="B184" s="85"/>
    </row>
    <row r="185" spans="2:2" s="44" customFormat="1" x14ac:dyDescent="0.25">
      <c r="B185" s="85"/>
    </row>
    <row r="186" spans="2:2" s="44" customFormat="1" x14ac:dyDescent="0.25">
      <c r="B186" s="85"/>
    </row>
    <row r="187" spans="2:2" s="44" customFormat="1" x14ac:dyDescent="0.25">
      <c r="B187" s="85"/>
    </row>
    <row r="188" spans="2:2" s="44" customFormat="1" x14ac:dyDescent="0.25">
      <c r="B188" s="85"/>
    </row>
    <row r="189" spans="2:2" s="44" customFormat="1" x14ac:dyDescent="0.25">
      <c r="B189" s="85"/>
    </row>
    <row r="190" spans="2:2" s="44" customFormat="1" x14ac:dyDescent="0.25">
      <c r="B190" s="85"/>
    </row>
    <row r="191" spans="2:2" s="44" customFormat="1" x14ac:dyDescent="0.25">
      <c r="B191" s="85"/>
    </row>
    <row r="192" spans="2:2" s="44" customFormat="1" x14ac:dyDescent="0.25">
      <c r="B192" s="85"/>
    </row>
    <row r="193" spans="2:2" s="44" customFormat="1" x14ac:dyDescent="0.25">
      <c r="B193" s="85"/>
    </row>
    <row r="194" spans="2:2" s="44" customFormat="1" x14ac:dyDescent="0.25">
      <c r="B194" s="85"/>
    </row>
    <row r="195" spans="2:2" s="44" customFormat="1" x14ac:dyDescent="0.25">
      <c r="B195" s="85"/>
    </row>
    <row r="196" spans="2:2" s="44" customFormat="1" x14ac:dyDescent="0.25">
      <c r="B196" s="85"/>
    </row>
    <row r="197" spans="2:2" s="44" customFormat="1" x14ac:dyDescent="0.25">
      <c r="B197" s="85"/>
    </row>
    <row r="198" spans="2:2" s="44" customFormat="1" x14ac:dyDescent="0.25">
      <c r="B198" s="85"/>
    </row>
    <row r="199" spans="2:2" s="44" customFormat="1" x14ac:dyDescent="0.25">
      <c r="B199" s="85"/>
    </row>
    <row r="200" spans="2:2" s="44" customFormat="1" x14ac:dyDescent="0.25">
      <c r="B200" s="85"/>
    </row>
    <row r="201" spans="2:2" s="44" customFormat="1" x14ac:dyDescent="0.25">
      <c r="B201" s="85"/>
    </row>
    <row r="202" spans="2:2" s="44" customFormat="1" x14ac:dyDescent="0.25">
      <c r="B202" s="85"/>
    </row>
    <row r="203" spans="2:2" s="44" customFormat="1" x14ac:dyDescent="0.25">
      <c r="B203" s="85"/>
    </row>
    <row r="204" spans="2:2" s="44" customFormat="1" x14ac:dyDescent="0.25">
      <c r="B204" s="85"/>
    </row>
    <row r="205" spans="2:2" s="44" customFormat="1" x14ac:dyDescent="0.25">
      <c r="B205" s="85"/>
    </row>
    <row r="206" spans="2:2" s="44" customFormat="1" x14ac:dyDescent="0.25">
      <c r="B206" s="85"/>
    </row>
    <row r="207" spans="2:2" s="44" customFormat="1" x14ac:dyDescent="0.25">
      <c r="B207" s="85"/>
    </row>
    <row r="208" spans="2:2" s="44" customFormat="1" x14ac:dyDescent="0.25">
      <c r="B208" s="85"/>
    </row>
    <row r="209" spans="2:2" s="44" customFormat="1" x14ac:dyDescent="0.25">
      <c r="B209" s="85"/>
    </row>
    <row r="210" spans="2:2" s="44" customFormat="1" x14ac:dyDescent="0.25">
      <c r="B210" s="85"/>
    </row>
    <row r="211" spans="2:2" s="44" customFormat="1" x14ac:dyDescent="0.25">
      <c r="B211" s="85"/>
    </row>
    <row r="212" spans="2:2" s="44" customFormat="1" x14ac:dyDescent="0.25">
      <c r="B212" s="85"/>
    </row>
    <row r="213" spans="2:2" s="44" customFormat="1" x14ac:dyDescent="0.25">
      <c r="B213" s="85"/>
    </row>
    <row r="214" spans="2:2" s="44" customFormat="1" x14ac:dyDescent="0.25">
      <c r="B214" s="85"/>
    </row>
    <row r="215" spans="2:2" s="44" customFormat="1" x14ac:dyDescent="0.25">
      <c r="B215" s="85"/>
    </row>
    <row r="216" spans="2:2" s="44" customFormat="1" x14ac:dyDescent="0.25">
      <c r="B216" s="85"/>
    </row>
    <row r="217" spans="2:2" s="44" customFormat="1" x14ac:dyDescent="0.25">
      <c r="B217" s="85"/>
    </row>
    <row r="218" spans="2:2" s="44" customFormat="1" x14ac:dyDescent="0.25">
      <c r="B218" s="85"/>
    </row>
    <row r="219" spans="2:2" s="44" customFormat="1" x14ac:dyDescent="0.25">
      <c r="B219" s="85"/>
    </row>
    <row r="220" spans="2:2" s="44" customFormat="1" x14ac:dyDescent="0.25">
      <c r="B220" s="85"/>
    </row>
    <row r="221" spans="2:2" s="44" customFormat="1" x14ac:dyDescent="0.25">
      <c r="B221" s="85"/>
    </row>
    <row r="222" spans="2:2" s="44" customFormat="1" x14ac:dyDescent="0.25">
      <c r="B222" s="85"/>
    </row>
    <row r="223" spans="2:2" s="44" customFormat="1" x14ac:dyDescent="0.25">
      <c r="B223" s="85"/>
    </row>
    <row r="224" spans="2:2" s="44" customFormat="1" x14ac:dyDescent="0.25">
      <c r="B224" s="85"/>
    </row>
    <row r="225" spans="2:2" s="44" customFormat="1" x14ac:dyDescent="0.25">
      <c r="B225" s="85"/>
    </row>
    <row r="226" spans="2:2" s="44" customFormat="1" x14ac:dyDescent="0.25">
      <c r="B226" s="85"/>
    </row>
    <row r="227" spans="2:2" s="44" customFormat="1" x14ac:dyDescent="0.25">
      <c r="B227" s="85"/>
    </row>
    <row r="228" spans="2:2" s="44" customFormat="1" x14ac:dyDescent="0.25">
      <c r="B228" s="85"/>
    </row>
    <row r="229" spans="2:2" s="44" customFormat="1" x14ac:dyDescent="0.25">
      <c r="B229" s="85"/>
    </row>
    <row r="230" spans="2:2" s="44" customFormat="1" x14ac:dyDescent="0.25">
      <c r="B230" s="85"/>
    </row>
    <row r="231" spans="2:2" s="44" customFormat="1" x14ac:dyDescent="0.25">
      <c r="B231" s="85"/>
    </row>
    <row r="232" spans="2:2" s="44" customFormat="1" x14ac:dyDescent="0.25">
      <c r="B232" s="85"/>
    </row>
    <row r="233" spans="2:2" s="44" customFormat="1" x14ac:dyDescent="0.25">
      <c r="B233" s="85"/>
    </row>
    <row r="234" spans="2:2" s="44" customFormat="1" x14ac:dyDescent="0.25">
      <c r="B234" s="85"/>
    </row>
    <row r="235" spans="2:2" s="44" customFormat="1" x14ac:dyDescent="0.25">
      <c r="B235" s="85"/>
    </row>
    <row r="236" spans="2:2" s="44" customFormat="1" x14ac:dyDescent="0.25">
      <c r="B236" s="85"/>
    </row>
    <row r="237" spans="2:2" s="44" customFormat="1" x14ac:dyDescent="0.25">
      <c r="B237" s="85"/>
    </row>
    <row r="238" spans="2:2" s="44" customFormat="1" x14ac:dyDescent="0.25">
      <c r="B238" s="85"/>
    </row>
    <row r="239" spans="2:2" s="44" customFormat="1" x14ac:dyDescent="0.25">
      <c r="B239" s="85"/>
    </row>
    <row r="240" spans="2:2" s="44" customFormat="1" x14ac:dyDescent="0.25">
      <c r="B240" s="85"/>
    </row>
    <row r="241" spans="2:2" s="44" customFormat="1" x14ac:dyDescent="0.25">
      <c r="B241" s="85"/>
    </row>
    <row r="242" spans="2:2" s="44" customFormat="1" x14ac:dyDescent="0.25">
      <c r="B242" s="85"/>
    </row>
    <row r="243" spans="2:2" s="44" customFormat="1" x14ac:dyDescent="0.25">
      <c r="B243" s="85"/>
    </row>
    <row r="244" spans="2:2" s="44" customFormat="1" x14ac:dyDescent="0.25">
      <c r="B244" s="85"/>
    </row>
    <row r="245" spans="2:2" s="44" customFormat="1" x14ac:dyDescent="0.25">
      <c r="B245" s="85"/>
    </row>
    <row r="246" spans="2:2" s="44" customFormat="1" x14ac:dyDescent="0.25">
      <c r="B246" s="85"/>
    </row>
    <row r="247" spans="2:2" s="44" customFormat="1" x14ac:dyDescent="0.25">
      <c r="B247" s="85"/>
    </row>
    <row r="248" spans="2:2" s="44" customFormat="1" x14ac:dyDescent="0.25">
      <c r="B248" s="85"/>
    </row>
    <row r="249" spans="2:2" s="44" customFormat="1" x14ac:dyDescent="0.25">
      <c r="B249" s="85"/>
    </row>
    <row r="250" spans="2:2" s="44" customFormat="1" x14ac:dyDescent="0.25">
      <c r="B250" s="85"/>
    </row>
    <row r="251" spans="2:2" s="44" customFormat="1" x14ac:dyDescent="0.25">
      <c r="B251" s="85"/>
    </row>
    <row r="252" spans="2:2" s="44" customFormat="1" x14ac:dyDescent="0.25">
      <c r="B252" s="85"/>
    </row>
    <row r="253" spans="2:2" s="44" customFormat="1" x14ac:dyDescent="0.25">
      <c r="B253" s="85"/>
    </row>
    <row r="254" spans="2:2" s="44" customFormat="1" x14ac:dyDescent="0.25">
      <c r="B254" s="85"/>
    </row>
    <row r="255" spans="2:2" s="44" customFormat="1" x14ac:dyDescent="0.25">
      <c r="B255" s="85"/>
    </row>
    <row r="256" spans="2:2" s="44" customFormat="1" x14ac:dyDescent="0.25">
      <c r="B256" s="85"/>
    </row>
    <row r="257" spans="2:2" s="44" customFormat="1" x14ac:dyDescent="0.25">
      <c r="B257" s="85"/>
    </row>
    <row r="258" spans="2:2" s="44" customFormat="1" x14ac:dyDescent="0.25">
      <c r="B258" s="85"/>
    </row>
    <row r="259" spans="2:2" s="44" customFormat="1" x14ac:dyDescent="0.25">
      <c r="B259" s="85"/>
    </row>
    <row r="260" spans="2:2" s="44" customFormat="1" x14ac:dyDescent="0.25">
      <c r="B260" s="85"/>
    </row>
    <row r="261" spans="2:2" s="44" customFormat="1" x14ac:dyDescent="0.25">
      <c r="B261" s="85"/>
    </row>
    <row r="262" spans="2:2" s="44" customFormat="1" x14ac:dyDescent="0.25">
      <c r="B262" s="85"/>
    </row>
    <row r="263" spans="2:2" s="44" customFormat="1" x14ac:dyDescent="0.25">
      <c r="B263" s="85"/>
    </row>
    <row r="264" spans="2:2" s="44" customFormat="1" x14ac:dyDescent="0.25">
      <c r="B264" s="85"/>
    </row>
    <row r="265" spans="2:2" s="44" customFormat="1" x14ac:dyDescent="0.25">
      <c r="B265" s="85"/>
    </row>
    <row r="266" spans="2:2" s="44" customFormat="1" x14ac:dyDescent="0.25">
      <c r="B266" s="85"/>
    </row>
    <row r="267" spans="2:2" s="44" customFormat="1" x14ac:dyDescent="0.25">
      <c r="B267" s="85"/>
    </row>
    <row r="268" spans="2:2" s="44" customFormat="1" x14ac:dyDescent="0.25">
      <c r="B268" s="85"/>
    </row>
    <row r="269" spans="2:2" s="44" customFormat="1" x14ac:dyDescent="0.25">
      <c r="B269" s="85"/>
    </row>
    <row r="270" spans="2:2" s="44" customFormat="1" x14ac:dyDescent="0.25">
      <c r="B270" s="85"/>
    </row>
    <row r="271" spans="2:2" s="44" customFormat="1" x14ac:dyDescent="0.25">
      <c r="B271" s="85"/>
    </row>
    <row r="272" spans="2:2" s="44" customFormat="1" x14ac:dyDescent="0.25">
      <c r="B272" s="85"/>
    </row>
    <row r="273" spans="2:2" s="44" customFormat="1" x14ac:dyDescent="0.25">
      <c r="B273" s="85"/>
    </row>
    <row r="274" spans="2:2" s="44" customFormat="1" x14ac:dyDescent="0.25">
      <c r="B274" s="85"/>
    </row>
    <row r="275" spans="2:2" s="44" customFormat="1" x14ac:dyDescent="0.25">
      <c r="B275" s="85"/>
    </row>
    <row r="276" spans="2:2" s="44" customFormat="1" x14ac:dyDescent="0.25">
      <c r="B276" s="85"/>
    </row>
    <row r="277" spans="2:2" s="44" customFormat="1" x14ac:dyDescent="0.25">
      <c r="B277" s="85"/>
    </row>
    <row r="278" spans="2:2" s="44" customFormat="1" x14ac:dyDescent="0.25">
      <c r="B278" s="85"/>
    </row>
    <row r="279" spans="2:2" s="44" customFormat="1" x14ac:dyDescent="0.25">
      <c r="B279" s="85"/>
    </row>
    <row r="280" spans="2:2" s="44" customFormat="1" x14ac:dyDescent="0.25">
      <c r="B280" s="85"/>
    </row>
    <row r="281" spans="2:2" s="44" customFormat="1" x14ac:dyDescent="0.25">
      <c r="B281" s="85"/>
    </row>
    <row r="282" spans="2:2" s="44" customFormat="1" x14ac:dyDescent="0.25">
      <c r="B282" s="85"/>
    </row>
    <row r="283" spans="2:2" s="44" customFormat="1" x14ac:dyDescent="0.25">
      <c r="B283" s="85"/>
    </row>
    <row r="284" spans="2:2" s="44" customFormat="1" x14ac:dyDescent="0.25">
      <c r="B284" s="85"/>
    </row>
    <row r="285" spans="2:2" s="44" customFormat="1" x14ac:dyDescent="0.25">
      <c r="B285" s="85"/>
    </row>
    <row r="286" spans="2:2" s="44" customFormat="1" x14ac:dyDescent="0.25">
      <c r="B286" s="85"/>
    </row>
    <row r="287" spans="2:2" s="44" customFormat="1" x14ac:dyDescent="0.25">
      <c r="B287" s="85"/>
    </row>
    <row r="288" spans="2:2" s="44" customFormat="1" x14ac:dyDescent="0.25">
      <c r="B288" s="85"/>
    </row>
    <row r="289" spans="2:2" s="44" customFormat="1" x14ac:dyDescent="0.25">
      <c r="B289" s="85"/>
    </row>
    <row r="290" spans="2:2" s="44" customFormat="1" x14ac:dyDescent="0.25">
      <c r="B290" s="85"/>
    </row>
    <row r="291" spans="2:2" s="44" customFormat="1" x14ac:dyDescent="0.25">
      <c r="B291" s="85"/>
    </row>
    <row r="292" spans="2:2" s="44" customFormat="1" x14ac:dyDescent="0.25">
      <c r="B292" s="85"/>
    </row>
    <row r="293" spans="2:2" s="44" customFormat="1" x14ac:dyDescent="0.25">
      <c r="B293" s="85"/>
    </row>
    <row r="294" spans="2:2" s="44" customFormat="1" x14ac:dyDescent="0.25">
      <c r="B294" s="85"/>
    </row>
    <row r="295" spans="2:2" s="44" customFormat="1" x14ac:dyDescent="0.25">
      <c r="B295" s="85"/>
    </row>
    <row r="296" spans="2:2" s="44" customFormat="1" x14ac:dyDescent="0.25">
      <c r="B296" s="85"/>
    </row>
    <row r="297" spans="2:2" s="44" customFormat="1" x14ac:dyDescent="0.25">
      <c r="B297" s="85"/>
    </row>
    <row r="298" spans="2:2" s="44" customFormat="1" x14ac:dyDescent="0.25">
      <c r="B298" s="85"/>
    </row>
    <row r="299" spans="2:2" s="44" customFormat="1" x14ac:dyDescent="0.25">
      <c r="B299" s="85"/>
    </row>
    <row r="300" spans="2:2" s="44" customFormat="1" x14ac:dyDescent="0.25">
      <c r="B300" s="85"/>
    </row>
    <row r="301" spans="2:2" s="44" customFormat="1" x14ac:dyDescent="0.25">
      <c r="B301" s="85"/>
    </row>
    <row r="302" spans="2:2" s="44" customFormat="1" x14ac:dyDescent="0.25">
      <c r="B302" s="85"/>
    </row>
    <row r="303" spans="2:2" s="44" customFormat="1" x14ac:dyDescent="0.25">
      <c r="B303" s="85"/>
    </row>
    <row r="304" spans="2:2" s="44" customFormat="1" x14ac:dyDescent="0.25">
      <c r="B304" s="85"/>
    </row>
    <row r="305" spans="2:2" s="44" customFormat="1" x14ac:dyDescent="0.25">
      <c r="B305" s="85"/>
    </row>
    <row r="306" spans="2:2" s="44" customFormat="1" x14ac:dyDescent="0.25">
      <c r="B306" s="85"/>
    </row>
    <row r="307" spans="2:2" s="44" customFormat="1" x14ac:dyDescent="0.25">
      <c r="B307" s="85"/>
    </row>
    <row r="308" spans="2:2" s="44" customFormat="1" x14ac:dyDescent="0.25">
      <c r="B308" s="85"/>
    </row>
    <row r="309" spans="2:2" s="44" customFormat="1" x14ac:dyDescent="0.25">
      <c r="B309" s="85"/>
    </row>
    <row r="310" spans="2:2" s="44" customFormat="1" x14ac:dyDescent="0.25">
      <c r="B310" s="85"/>
    </row>
    <row r="311" spans="2:2" s="44" customFormat="1" x14ac:dyDescent="0.25">
      <c r="B311" s="85"/>
    </row>
    <row r="312" spans="2:2" s="44" customFormat="1" x14ac:dyDescent="0.25">
      <c r="B312" s="85"/>
    </row>
    <row r="313" spans="2:2" s="44" customFormat="1" x14ac:dyDescent="0.25">
      <c r="B313" s="85"/>
    </row>
    <row r="314" spans="2:2" s="44" customFormat="1" x14ac:dyDescent="0.25">
      <c r="B314" s="85"/>
    </row>
    <row r="315" spans="2:2" s="44" customFormat="1" x14ac:dyDescent="0.25">
      <c r="B315" s="85"/>
    </row>
    <row r="316" spans="2:2" s="44" customFormat="1" x14ac:dyDescent="0.25">
      <c r="B316" s="85"/>
    </row>
    <row r="317" spans="2:2" s="44" customFormat="1" x14ac:dyDescent="0.25">
      <c r="B317" s="85"/>
    </row>
    <row r="318" spans="2:2" s="44" customFormat="1" x14ac:dyDescent="0.25">
      <c r="B318" s="85"/>
    </row>
    <row r="319" spans="2:2" s="44" customFormat="1" x14ac:dyDescent="0.25">
      <c r="B319" s="85"/>
    </row>
    <row r="320" spans="2:2" s="44" customFormat="1" x14ac:dyDescent="0.25">
      <c r="B320" s="85"/>
    </row>
    <row r="321" spans="2:2" s="44" customFormat="1" x14ac:dyDescent="0.25">
      <c r="B321" s="85"/>
    </row>
    <row r="322" spans="2:2" s="44" customFormat="1" x14ac:dyDescent="0.25">
      <c r="B322" s="85"/>
    </row>
    <row r="323" spans="2:2" s="44" customFormat="1" x14ac:dyDescent="0.25">
      <c r="B323" s="85"/>
    </row>
    <row r="324" spans="2:2" s="44" customFormat="1" x14ac:dyDescent="0.25">
      <c r="B324" s="85"/>
    </row>
    <row r="325" spans="2:2" s="44" customFormat="1" x14ac:dyDescent="0.25">
      <c r="B325" s="85"/>
    </row>
    <row r="326" spans="2:2" s="44" customFormat="1" x14ac:dyDescent="0.25">
      <c r="B326" s="85"/>
    </row>
    <row r="327" spans="2:2" s="44" customFormat="1" x14ac:dyDescent="0.25">
      <c r="B327" s="85"/>
    </row>
    <row r="328" spans="2:2" s="44" customFormat="1" x14ac:dyDescent="0.25">
      <c r="B328" s="85"/>
    </row>
    <row r="329" spans="2:2" s="44" customFormat="1" x14ac:dyDescent="0.25">
      <c r="B329" s="85"/>
    </row>
    <row r="330" spans="2:2" s="44" customFormat="1" x14ac:dyDescent="0.25">
      <c r="B330" s="85"/>
    </row>
    <row r="331" spans="2:2" s="44" customFormat="1" x14ac:dyDescent="0.25">
      <c r="B331" s="85"/>
    </row>
    <row r="332" spans="2:2" s="44" customFormat="1" x14ac:dyDescent="0.25">
      <c r="B332" s="85"/>
    </row>
    <row r="333" spans="2:2" s="44" customFormat="1" x14ac:dyDescent="0.25">
      <c r="B333" s="85"/>
    </row>
    <row r="334" spans="2:2" s="44" customFormat="1" x14ac:dyDescent="0.25">
      <c r="B334" s="85"/>
    </row>
    <row r="335" spans="2:2" s="44" customFormat="1" x14ac:dyDescent="0.25">
      <c r="B335" s="85"/>
    </row>
    <row r="336" spans="2:2" s="44" customFormat="1" x14ac:dyDescent="0.25">
      <c r="B336" s="85"/>
    </row>
    <row r="337" spans="2:2" s="44" customFormat="1" x14ac:dyDescent="0.25">
      <c r="B337" s="85"/>
    </row>
    <row r="338" spans="2:2" s="44" customFormat="1" x14ac:dyDescent="0.25">
      <c r="B338" s="85"/>
    </row>
    <row r="339" spans="2:2" s="44" customFormat="1" x14ac:dyDescent="0.25">
      <c r="B339" s="85"/>
    </row>
    <row r="340" spans="2:2" s="44" customFormat="1" x14ac:dyDescent="0.25">
      <c r="B340" s="85"/>
    </row>
    <row r="341" spans="2:2" s="44" customFormat="1" x14ac:dyDescent="0.25">
      <c r="B341" s="85"/>
    </row>
    <row r="342" spans="2:2" s="44" customFormat="1" x14ac:dyDescent="0.25">
      <c r="B342" s="85"/>
    </row>
    <row r="343" spans="2:2" s="44" customFormat="1" x14ac:dyDescent="0.25">
      <c r="B343" s="85"/>
    </row>
    <row r="344" spans="2:2" s="44" customFormat="1" x14ac:dyDescent="0.25">
      <c r="B344" s="85"/>
    </row>
    <row r="345" spans="2:2" s="44" customFormat="1" x14ac:dyDescent="0.25">
      <c r="B345" s="85"/>
    </row>
    <row r="346" spans="2:2" s="44" customFormat="1" x14ac:dyDescent="0.25">
      <c r="B346" s="85"/>
    </row>
    <row r="347" spans="2:2" s="44" customFormat="1" x14ac:dyDescent="0.25">
      <c r="B347" s="85"/>
    </row>
    <row r="348" spans="2:2" s="44" customFormat="1" x14ac:dyDescent="0.25">
      <c r="B348" s="85"/>
    </row>
    <row r="349" spans="2:2" s="44" customFormat="1" x14ac:dyDescent="0.25">
      <c r="B349" s="85"/>
    </row>
    <row r="350" spans="2:2" s="44" customFormat="1" x14ac:dyDescent="0.25">
      <c r="B350" s="85"/>
    </row>
    <row r="351" spans="2:2" s="44" customFormat="1" x14ac:dyDescent="0.25">
      <c r="B351" s="85"/>
    </row>
    <row r="352" spans="2:2" s="44" customFormat="1" x14ac:dyDescent="0.25">
      <c r="B352" s="85"/>
    </row>
    <row r="353" spans="2:2" s="44" customFormat="1" x14ac:dyDescent="0.25">
      <c r="B353" s="85"/>
    </row>
    <row r="354" spans="2:2" s="44" customFormat="1" x14ac:dyDescent="0.25">
      <c r="B354" s="85"/>
    </row>
    <row r="355" spans="2:2" s="44" customFormat="1" x14ac:dyDescent="0.25">
      <c r="B355" s="85"/>
    </row>
    <row r="356" spans="2:2" s="44" customFormat="1" x14ac:dyDescent="0.25">
      <c r="B356" s="85"/>
    </row>
    <row r="357" spans="2:2" s="44" customFormat="1" x14ac:dyDescent="0.25">
      <c r="B357" s="85"/>
    </row>
    <row r="358" spans="2:2" s="44" customFormat="1" x14ac:dyDescent="0.25">
      <c r="B358" s="85"/>
    </row>
    <row r="359" spans="2:2" s="44" customFormat="1" x14ac:dyDescent="0.25">
      <c r="B359" s="85"/>
    </row>
    <row r="360" spans="2:2" s="44" customFormat="1" x14ac:dyDescent="0.25">
      <c r="B360" s="85"/>
    </row>
    <row r="361" spans="2:2" s="44" customFormat="1" x14ac:dyDescent="0.25">
      <c r="B361" s="85"/>
    </row>
    <row r="362" spans="2:2" s="44" customFormat="1" x14ac:dyDescent="0.25">
      <c r="B362" s="85"/>
    </row>
    <row r="363" spans="2:2" s="44" customFormat="1" x14ac:dyDescent="0.25">
      <c r="B363" s="85"/>
    </row>
  </sheetData>
  <autoFilter ref="A6:F46" xr:uid="{00000000-0009-0000-0000-000049000000}">
    <filterColumn colId="1" showButton="0"/>
  </autoFilter>
  <mergeCells count="50">
    <mergeCell ref="A1:B3"/>
    <mergeCell ref="C1:F1"/>
    <mergeCell ref="C2:F2"/>
    <mergeCell ref="C3:F3"/>
    <mergeCell ref="B34:C34"/>
    <mergeCell ref="B15:C15"/>
    <mergeCell ref="B25:C25"/>
    <mergeCell ref="B20:C20"/>
    <mergeCell ref="B21:C21"/>
    <mergeCell ref="B22:C22"/>
    <mergeCell ref="B23:C23"/>
    <mergeCell ref="B24:C24"/>
    <mergeCell ref="B16:C16"/>
    <mergeCell ref="B7:C7"/>
    <mergeCell ref="B11:C11"/>
    <mergeCell ref="B13:C13"/>
    <mergeCell ref="A51:E51"/>
    <mergeCell ref="B46:C46"/>
    <mergeCell ref="A49:F49"/>
    <mergeCell ref="A4:F4"/>
    <mergeCell ref="B42:C42"/>
    <mergeCell ref="B43:C43"/>
    <mergeCell ref="B44:C44"/>
    <mergeCell ref="B45:C45"/>
    <mergeCell ref="B33:C33"/>
    <mergeCell ref="B37:C37"/>
    <mergeCell ref="B38:C38"/>
    <mergeCell ref="B39:C39"/>
    <mergeCell ref="B40:C40"/>
    <mergeCell ref="B41:C41"/>
    <mergeCell ref="B26:C26"/>
    <mergeCell ref="B27:C27"/>
    <mergeCell ref="A50:F50"/>
    <mergeCell ref="B28:C28"/>
    <mergeCell ref="B29:C29"/>
    <mergeCell ref="B31:C31"/>
    <mergeCell ref="B32:C32"/>
    <mergeCell ref="B36:C36"/>
    <mergeCell ref="B35:C35"/>
    <mergeCell ref="B30:C30"/>
    <mergeCell ref="B14:C14"/>
    <mergeCell ref="B18:C18"/>
    <mergeCell ref="B19:C19"/>
    <mergeCell ref="A5:F5"/>
    <mergeCell ref="B10:C10"/>
    <mergeCell ref="B6:C6"/>
    <mergeCell ref="B9:C9"/>
    <mergeCell ref="B17:C17"/>
    <mergeCell ref="B8:C8"/>
    <mergeCell ref="B12:C12"/>
  </mergeCells>
  <printOptions horizontalCentered="1"/>
  <pageMargins left="0.23622047244094491" right="0.23622047244094491" top="0.55118110236220474" bottom="0.55118110236220474" header="0.31496062992125984" footer="0.31496062992125984"/>
  <pageSetup scale="77" orientation="portrait" r:id="rId1"/>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F7"/>
  <sheetViews>
    <sheetView zoomScale="85" zoomScaleNormal="85" workbookViewId="0">
      <selection activeCell="B23" sqref="B23"/>
    </sheetView>
  </sheetViews>
  <sheetFormatPr baseColWidth="10" defaultColWidth="11.5546875" defaultRowHeight="13.8" x14ac:dyDescent="0.25"/>
  <cols>
    <col min="1" max="1" width="60.5546875" style="314" bestFit="1" customWidth="1"/>
    <col min="2" max="3" width="43" style="314" customWidth="1"/>
    <col min="4" max="6" width="16.44140625" style="314" customWidth="1"/>
    <col min="7" max="16384" width="11.5546875" style="314"/>
  </cols>
  <sheetData>
    <row r="1" spans="1:6" x14ac:dyDescent="0.25">
      <c r="A1" s="769"/>
      <c r="B1" s="821" t="str">
        <f>+EQUIPOS!C1</f>
        <v>DEPARTAMENTO DE ANTIOQUIA</v>
      </c>
      <c r="C1" s="821"/>
      <c r="D1" s="117"/>
      <c r="E1" s="117"/>
      <c r="F1" s="117"/>
    </row>
    <row r="2" spans="1:6" x14ac:dyDescent="0.25">
      <c r="A2" s="769"/>
      <c r="B2" s="821" t="str">
        <f>+EQUIPOS!C2</f>
        <v>MUNICIPIO DE ARBOLETES</v>
      </c>
      <c r="C2" s="821"/>
      <c r="D2" s="117"/>
      <c r="E2" s="117"/>
      <c r="F2" s="117"/>
    </row>
    <row r="3" spans="1:6" ht="69" customHeight="1" x14ac:dyDescent="0.25">
      <c r="A3" s="769"/>
      <c r="B3" s="770" t="str">
        <f>+EQUIPOS!C3</f>
        <v>CONSTRUCCION DE OBRAS CIVILES COMPLEMENTARIAS PARA EL CORRECTO FUNCIONAMIENTO DEL PROYECTO DENOMINADO “PARQUE GEOLÓGICO, NATURAL, AMBIENTAL, CULTURAL Y TURÍSTICO, VOLCÁN DE LODO DE ARBOLETES”, QUE SE LLEVARÁ A CABO EN EL MUNICIPIO DE ARBOLETES-ANTIOQUIA</v>
      </c>
      <c r="C3" s="770"/>
      <c r="D3" s="313"/>
      <c r="E3" s="313"/>
      <c r="F3" s="313"/>
    </row>
    <row r="4" spans="1:6" x14ac:dyDescent="0.25">
      <c r="A4" s="868" t="s">
        <v>575</v>
      </c>
      <c r="B4" s="868"/>
      <c r="C4" s="868"/>
    </row>
    <row r="5" spans="1:6" x14ac:dyDescent="0.25">
      <c r="A5" s="315" t="s">
        <v>574</v>
      </c>
      <c r="B5" s="315" t="s">
        <v>573</v>
      </c>
      <c r="C5" s="315" t="s">
        <v>39</v>
      </c>
    </row>
    <row r="6" spans="1:6" x14ac:dyDescent="0.25">
      <c r="A6" s="170" t="s">
        <v>576</v>
      </c>
      <c r="B6" s="170">
        <v>70</v>
      </c>
      <c r="C6" s="316">
        <v>1241.46</v>
      </c>
    </row>
    <row r="7" spans="1:6" x14ac:dyDescent="0.25">
      <c r="A7" s="317" t="s">
        <v>577</v>
      </c>
      <c r="B7" s="170">
        <v>10.5</v>
      </c>
      <c r="C7" s="316">
        <f>+'8.01'!J45</f>
        <v>1667</v>
      </c>
    </row>
  </sheetData>
  <mergeCells count="5">
    <mergeCell ref="A4:C4"/>
    <mergeCell ref="B1:C1"/>
    <mergeCell ref="B2:C2"/>
    <mergeCell ref="B3:C3"/>
    <mergeCell ref="A1:A3"/>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23801518318E14EBCF671071E6CC277" ma:contentTypeVersion="15" ma:contentTypeDescription="Crear nuevo documento." ma:contentTypeScope="" ma:versionID="c85dda9f09588a1ebdabcac4ad8fdb90">
  <xsd:schema xmlns:xsd="http://www.w3.org/2001/XMLSchema" xmlns:xs="http://www.w3.org/2001/XMLSchema" xmlns:p="http://schemas.microsoft.com/office/2006/metadata/properties" xmlns:ns2="e817aef0-ee18-43df-8fb6-a8e286a8ac2b" xmlns:ns3="f0a8bf47-20ad-4b50-91d3-54ed3d024512" targetNamespace="http://schemas.microsoft.com/office/2006/metadata/properties" ma:root="true" ma:fieldsID="98e8e6562f8772c0f3756d3bea8b19e5" ns2:_="" ns3:_="">
    <xsd:import namespace="e817aef0-ee18-43df-8fb6-a8e286a8ac2b"/>
    <xsd:import namespace="f0a8bf47-20ad-4b50-91d3-54ed3d024512"/>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17aef0-ee18-43df-8fb6-a8e286a8ac2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2faa559c-abc6-49c4-9bd9-c13beb6650f5}" ma:internalName="TaxCatchAll" ma:showField="CatchAllData" ma:web="e817aef0-ee18-43df-8fb6-a8e286a8ac2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0a8bf47-20ad-4b50-91d3-54ed3d024512"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eb351a72-6cb8-40ec-9f39-63015bd5f17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D45C171-245C-4C9E-BA02-7F0ABDBE09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817aef0-ee18-43df-8fb6-a8e286a8ac2b"/>
    <ds:schemaRef ds:uri="f0a8bf47-20ad-4b50-91d3-54ed3d02451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C83E972-6C76-47CB-8A7D-DA3E91D6317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75</vt:i4>
      </vt:variant>
      <vt:variant>
        <vt:lpstr>Rangos con nombre</vt:lpstr>
      </vt:variant>
      <vt:variant>
        <vt:i4>28</vt:i4>
      </vt:variant>
    </vt:vector>
  </HeadingPairs>
  <TitlesOfParts>
    <vt:vector size="103" baseType="lpstr">
      <vt:lpstr>PPTO HOJA</vt:lpstr>
      <vt:lpstr>AU + PGIO</vt:lpstr>
      <vt:lpstr>1.01</vt:lpstr>
      <vt:lpstr>1.02</vt:lpstr>
      <vt:lpstr>1.03</vt:lpstr>
      <vt:lpstr>1.04</vt:lpstr>
      <vt:lpstr>2.01</vt:lpstr>
      <vt:lpstr>2.02</vt:lpstr>
      <vt:lpstr>2.03</vt:lpstr>
      <vt:lpstr>2.04</vt:lpstr>
      <vt:lpstr>2.05</vt:lpstr>
      <vt:lpstr>2.06</vt:lpstr>
      <vt:lpstr>2.07</vt:lpstr>
      <vt:lpstr>2.08</vt:lpstr>
      <vt:lpstr>3.01</vt:lpstr>
      <vt:lpstr>3.02</vt:lpstr>
      <vt:lpstr>3.03</vt:lpstr>
      <vt:lpstr>3.04</vt:lpstr>
      <vt:lpstr>3.05</vt:lpstr>
      <vt:lpstr>3.06</vt:lpstr>
      <vt:lpstr>4.01</vt:lpstr>
      <vt:lpstr>4.02</vt:lpstr>
      <vt:lpstr>4.03</vt:lpstr>
      <vt:lpstr>4.04</vt:lpstr>
      <vt:lpstr>4.05</vt:lpstr>
      <vt:lpstr>4.06</vt:lpstr>
      <vt:lpstr>4.07</vt:lpstr>
      <vt:lpstr>4.08</vt:lpstr>
      <vt:lpstr>4.09</vt:lpstr>
      <vt:lpstr>5.01</vt:lpstr>
      <vt:lpstr>5.02</vt:lpstr>
      <vt:lpstr>5.03</vt:lpstr>
      <vt:lpstr>5.04</vt:lpstr>
      <vt:lpstr>5.05</vt:lpstr>
      <vt:lpstr>5.06</vt:lpstr>
      <vt:lpstr>5.07</vt:lpstr>
      <vt:lpstr>5.08</vt:lpstr>
      <vt:lpstr>5.09</vt:lpstr>
      <vt:lpstr>5.10</vt:lpstr>
      <vt:lpstr>6.01</vt:lpstr>
      <vt:lpstr>6.02</vt:lpstr>
      <vt:lpstr>6.03</vt:lpstr>
      <vt:lpstr>6.04</vt:lpstr>
      <vt:lpstr>6.05</vt:lpstr>
      <vt:lpstr>6.06</vt:lpstr>
      <vt:lpstr>6.07</vt:lpstr>
      <vt:lpstr>6.08</vt:lpstr>
      <vt:lpstr>6.09</vt:lpstr>
      <vt:lpstr>6.10</vt:lpstr>
      <vt:lpstr>6.11</vt:lpstr>
      <vt:lpstr>6.12</vt:lpstr>
      <vt:lpstr>6.13</vt:lpstr>
      <vt:lpstr>6.14</vt:lpstr>
      <vt:lpstr>7.01</vt:lpstr>
      <vt:lpstr>7.02</vt:lpstr>
      <vt:lpstr>7.03</vt:lpstr>
      <vt:lpstr>7.04</vt:lpstr>
      <vt:lpstr>7.05</vt:lpstr>
      <vt:lpstr>7.06</vt:lpstr>
      <vt:lpstr>7.07</vt:lpstr>
      <vt:lpstr>7.08</vt:lpstr>
      <vt:lpstr>7.09</vt:lpstr>
      <vt:lpstr>7.10</vt:lpstr>
      <vt:lpstr>7.11</vt:lpstr>
      <vt:lpstr>7.12</vt:lpstr>
      <vt:lpstr>7.13</vt:lpstr>
      <vt:lpstr>7.14</vt:lpstr>
      <vt:lpstr>7.15</vt:lpstr>
      <vt:lpstr>7.16</vt:lpstr>
      <vt:lpstr>8.01</vt:lpstr>
      <vt:lpstr>APU BÁSICOS</vt:lpstr>
      <vt:lpstr>CUADRILLAS</vt:lpstr>
      <vt:lpstr>LISTADO DE MATERIALES</vt:lpstr>
      <vt:lpstr>EQUIPOS</vt:lpstr>
      <vt:lpstr>TRANSPORTE</vt:lpstr>
      <vt:lpstr>'1.02'!Área_de_impresión</vt:lpstr>
      <vt:lpstr>'1.03'!Área_de_impresión</vt:lpstr>
      <vt:lpstr>'2.07'!Área_de_impresión</vt:lpstr>
      <vt:lpstr>'2.08'!Área_de_impresión</vt:lpstr>
      <vt:lpstr>'4.07'!Área_de_impresión</vt:lpstr>
      <vt:lpstr>'4.08'!Área_de_impresión</vt:lpstr>
      <vt:lpstr>'4.09'!Área_de_impresión</vt:lpstr>
      <vt:lpstr>'5.05'!Área_de_impresión</vt:lpstr>
      <vt:lpstr>'5.06'!Área_de_impresión</vt:lpstr>
      <vt:lpstr>'5.08'!Área_de_impresión</vt:lpstr>
      <vt:lpstr>'5.10'!Área_de_impresión</vt:lpstr>
      <vt:lpstr>'6.02'!Área_de_impresión</vt:lpstr>
      <vt:lpstr>'6.03'!Área_de_impresión</vt:lpstr>
      <vt:lpstr>'6.04'!Área_de_impresión</vt:lpstr>
      <vt:lpstr>'6.05'!Área_de_impresión</vt:lpstr>
      <vt:lpstr>'6.06'!Área_de_impresión</vt:lpstr>
      <vt:lpstr>'6.07'!Área_de_impresión</vt:lpstr>
      <vt:lpstr>'6.08'!Área_de_impresión</vt:lpstr>
      <vt:lpstr>'6.09'!Área_de_impresión</vt:lpstr>
      <vt:lpstr>'6.10'!Área_de_impresión</vt:lpstr>
      <vt:lpstr>'7.04'!Área_de_impresión</vt:lpstr>
      <vt:lpstr>'AU + PGIO'!Área_de_impresión</vt:lpstr>
      <vt:lpstr>CUADRILLAS!Área_de_impresión</vt:lpstr>
      <vt:lpstr>EQUIPOS!Área_de_impresión</vt:lpstr>
      <vt:lpstr>'PPTO HOJA'!Área_de_impresión</vt:lpstr>
      <vt:lpstr>'AU + PGIO'!Títulos_a_imprimir</vt:lpstr>
      <vt:lpstr>CUADRILLAS!Títulos_a_imprimir</vt:lpstr>
      <vt:lpstr>EQUIPOS!Títulos_a_imprimir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dc:creator>
  <cp:lastModifiedBy>Usuario</cp:lastModifiedBy>
  <cp:lastPrinted>2025-01-08T22:09:28Z</cp:lastPrinted>
  <dcterms:created xsi:type="dcterms:W3CDTF">2023-07-26T21:39:03Z</dcterms:created>
  <dcterms:modified xsi:type="dcterms:W3CDTF">2025-01-09T21:26:30Z</dcterms:modified>
</cp:coreProperties>
</file>