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d.docs.live.net/d984d2f959a974f4/FINANCIERA PAE 2024/FINANCIERA/DOCS LP 2025/COSTEO 2025 PAE/Costeo VGA_2025/Costeo 2025_TOTAL_RI/"/>
    </mc:Choice>
  </mc:AlternateContent>
  <xr:revisionPtr revIDLastSave="309" documentId="13_ncr:1_{7118B15D-D56B-4572-9B1B-4ED0B4AD6678}" xr6:coauthVersionLast="47" xr6:coauthVersionMax="47" xr10:uidLastSave="{32E93AF4-1B60-40CF-85DB-89A88DB74EB4}"/>
  <bookViews>
    <workbookView xWindow="-120" yWindow="-120" windowWidth="20730" windowHeight="11040" tabRatio="959" activeTab="3" xr2:uid="{076653A8-A62F-47F5-8617-B56F1584B523}"/>
  </bookViews>
  <sheets>
    <sheet name="CONSOLIDADO PERS ADMON" sheetId="11" r:id="rId1"/>
    <sheet name="CONSOLIDADO MANIPULADORAS" sheetId="12" r:id="rId2"/>
    <sheet name="BASE DE SALARIOS" sheetId="30" r:id="rId3"/>
    <sheet name="GI-RI Cupos" sheetId="18" r:id="rId4"/>
    <sheet name="GI-CCT Cupos" sheetId="19" r:id="rId5"/>
    <sheet name="GII-RI Cupos" sheetId="23" r:id="rId6"/>
    <sheet name="GII-CCT Cupos" sheetId="20" r:id="rId7"/>
    <sheet name="GIII-RI Cupos" sheetId="24" r:id="rId8"/>
    <sheet name="GIII-CCT Cupos" sheetId="21" r:id="rId9"/>
    <sheet name="GIV-RI Cupos" sheetId="25" r:id="rId10"/>
    <sheet name="GIV-CCT Cupos" sheetId="22" r:id="rId11"/>
    <sheet name="GI- Manipul" sheetId="4" r:id="rId12"/>
    <sheet name="GII- Manipul" sheetId="27" r:id="rId13"/>
    <sheet name="GIII- Manipul" sheetId="28" r:id="rId14"/>
    <sheet name="GIV- Manipul" sheetId="29" r:id="rId15"/>
    <sheet name="GI-PersAdmon" sheetId="1" r:id="rId16"/>
    <sheet name="GII-PersAdmon" sheetId="5" r:id="rId17"/>
    <sheet name="GIII-PersAdmon" sheetId="7" r:id="rId18"/>
    <sheet name="GIV-PersAdmon" sheetId="9" r:id="rId19"/>
  </sheets>
  <externalReferences>
    <externalReference r:id="rId20"/>
  </externalReferences>
  <definedNames>
    <definedName name="_xlnm._FilterDatabase" localSheetId="6" hidden="1">'GII-CCT Cupos'!$A$8:$F$32</definedName>
    <definedName name="_xlnm._FilterDatabase" localSheetId="8" hidden="1">'GIII-CCT Cupos'!$A$8:$F$63</definedName>
    <definedName name="_xlnm._FilterDatabase" localSheetId="7" hidden="1">'GIII-RI Cupos'!$A$8:$E$29</definedName>
    <definedName name="_xlnm._FilterDatabase" localSheetId="5" hidden="1">'GII-RI Cupos'!$A$8:$E$23</definedName>
    <definedName name="_xlnm._FilterDatabase" localSheetId="3" hidden="1">'GI-RI Cupos'!$A$9:$E$52</definedName>
    <definedName name="_xlnm._FilterDatabase" localSheetId="10" hidden="1">'GIV-CCT Cupos'!$A$7:$F$30</definedName>
    <definedName name="_xlnm._FilterDatabase" localSheetId="9" hidden="1">'GIV-RI Cupos'!$A$7:$E$21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 i="25" l="1"/>
  <c r="S7" i="30"/>
  <c r="C7" i="30"/>
  <c r="T3" i="30"/>
  <c r="P3" i="30"/>
  <c r="L3" i="30"/>
  <c r="H3" i="30"/>
  <c r="D3" i="30" l="1"/>
  <c r="AE7" i="30"/>
  <c r="AA7" i="30"/>
  <c r="W7" i="30"/>
  <c r="G7" i="30"/>
  <c r="J4" i="19"/>
  <c r="J4" i="20"/>
  <c r="J4" i="21"/>
  <c r="J4" i="22"/>
  <c r="K4" i="25"/>
  <c r="K4" i="24"/>
  <c r="K4" i="23"/>
  <c r="K4" i="18"/>
  <c r="AF3" i="30" l="1"/>
  <c r="K5" i="21"/>
  <c r="F63" i="21"/>
  <c r="K3" i="21" s="1"/>
  <c r="J6" i="21" s="1"/>
  <c r="F9" i="21"/>
  <c r="J3" i="21"/>
  <c r="J5" i="20"/>
  <c r="K4" i="20"/>
  <c r="AF2" i="30"/>
  <c r="AB2" i="30"/>
  <c r="AB3" i="30" s="1"/>
  <c r="X3" i="30"/>
  <c r="K4" i="21" l="1"/>
  <c r="K5" i="22"/>
  <c r="E10" i="18" l="1"/>
  <c r="E23" i="23"/>
  <c r="K3" i="23" s="1"/>
  <c r="E29" i="24"/>
  <c r="K3" i="24" s="1"/>
  <c r="E21" i="25"/>
  <c r="E9" i="25"/>
  <c r="E10" i="25"/>
  <c r="E11" i="25"/>
  <c r="E12" i="25"/>
  <c r="E13" i="25"/>
  <c r="E14" i="25"/>
  <c r="E15" i="25"/>
  <c r="E16" i="25"/>
  <c r="E17" i="25"/>
  <c r="E18" i="25"/>
  <c r="E19" i="25"/>
  <c r="E20" i="25"/>
  <c r="E8" i="25"/>
  <c r="E10" i="24"/>
  <c r="E11" i="24"/>
  <c r="E12" i="24"/>
  <c r="E13" i="24"/>
  <c r="E14" i="24"/>
  <c r="E15" i="24"/>
  <c r="E16" i="24"/>
  <c r="E17" i="24"/>
  <c r="E18" i="24"/>
  <c r="E19" i="24"/>
  <c r="E20" i="24"/>
  <c r="E21" i="24"/>
  <c r="E22" i="24"/>
  <c r="E23" i="24"/>
  <c r="E24" i="24"/>
  <c r="E25" i="24"/>
  <c r="E26" i="24"/>
  <c r="E27" i="24"/>
  <c r="E28" i="24"/>
  <c r="E9" i="24"/>
  <c r="E10" i="23"/>
  <c r="E11" i="23"/>
  <c r="E12" i="23"/>
  <c r="E13" i="23"/>
  <c r="E14" i="23"/>
  <c r="E15" i="23"/>
  <c r="E16" i="23"/>
  <c r="E17" i="23"/>
  <c r="E18" i="23"/>
  <c r="E19" i="23"/>
  <c r="E20" i="23"/>
  <c r="E21" i="23"/>
  <c r="E22" i="23"/>
  <c r="E9" i="23"/>
  <c r="C17" i="30"/>
  <c r="E18" i="30"/>
  <c r="J5" i="24" l="1"/>
  <c r="K4" i="22"/>
  <c r="B54" i="11"/>
  <c r="B55" i="11"/>
  <c r="B56" i="11"/>
  <c r="B57" i="11"/>
  <c r="B58" i="11"/>
  <c r="B59" i="11"/>
  <c r="C54" i="11"/>
  <c r="D54" i="11"/>
  <c r="C55" i="11"/>
  <c r="C56" i="11"/>
  <c r="C57" i="11"/>
  <c r="C58" i="11"/>
  <c r="C59" i="11"/>
  <c r="B41" i="11"/>
  <c r="B42" i="11"/>
  <c r="B43" i="11"/>
  <c r="B44" i="11"/>
  <c r="B45" i="11"/>
  <c r="B46" i="11"/>
  <c r="C41" i="11"/>
  <c r="C42" i="11"/>
  <c r="C43" i="11"/>
  <c r="C44" i="11"/>
  <c r="C45" i="11"/>
  <c r="C46" i="11"/>
  <c r="B28" i="11"/>
  <c r="B29" i="11"/>
  <c r="B30" i="11"/>
  <c r="B31" i="11"/>
  <c r="B32" i="11"/>
  <c r="B33" i="11"/>
  <c r="C28" i="11"/>
  <c r="C29" i="11"/>
  <c r="C30" i="11"/>
  <c r="C31" i="11"/>
  <c r="C32" i="11"/>
  <c r="C33" i="11"/>
  <c r="B14" i="11"/>
  <c r="B15" i="11"/>
  <c r="B16" i="11"/>
  <c r="B17" i="11"/>
  <c r="B18" i="11"/>
  <c r="B19" i="11"/>
  <c r="C14" i="11"/>
  <c r="C15" i="11"/>
  <c r="C16" i="11"/>
  <c r="C17" i="11"/>
  <c r="C18" i="11"/>
  <c r="C19" i="11"/>
  <c r="C5" i="29"/>
  <c r="G3" i="18"/>
  <c r="G3" i="22" s="1"/>
  <c r="G4" i="18"/>
  <c r="G4" i="22" s="1"/>
  <c r="T12" i="30"/>
  <c r="T11" i="30"/>
  <c r="T10" i="30"/>
  <c r="T9" i="30"/>
  <c r="T8" i="30"/>
  <c r="T7" i="30"/>
  <c r="T6" i="30"/>
  <c r="T5" i="30"/>
  <c r="P12" i="30"/>
  <c r="L12" i="30"/>
  <c r="H12" i="30"/>
  <c r="D12" i="30"/>
  <c r="P11" i="30"/>
  <c r="L11" i="30"/>
  <c r="H11" i="30"/>
  <c r="D11" i="30"/>
  <c r="P10" i="30"/>
  <c r="L10" i="30"/>
  <c r="H10" i="30"/>
  <c r="D10" i="30"/>
  <c r="P9" i="30"/>
  <c r="L9" i="30"/>
  <c r="H9" i="30"/>
  <c r="D9" i="30"/>
  <c r="P8" i="30"/>
  <c r="L8" i="30"/>
  <c r="H8" i="30"/>
  <c r="D8" i="30"/>
  <c r="P7" i="30"/>
  <c r="L7" i="30"/>
  <c r="H7" i="30"/>
  <c r="D7" i="30"/>
  <c r="P6" i="30"/>
  <c r="L6" i="30"/>
  <c r="H6" i="30"/>
  <c r="D6" i="30"/>
  <c r="P5" i="30"/>
  <c r="L5" i="30"/>
  <c r="H5" i="30"/>
  <c r="D5" i="30"/>
  <c r="G3" i="23" l="1"/>
  <c r="G3" i="24"/>
  <c r="G3" i="20"/>
  <c r="G4" i="24"/>
  <c r="G4" i="21"/>
  <c r="G4" i="23"/>
  <c r="G4" i="20"/>
  <c r="G3" i="21"/>
  <c r="G4" i="25"/>
  <c r="G3" i="25"/>
  <c r="G4" i="19"/>
  <c r="G3" i="19"/>
  <c r="P14" i="30"/>
  <c r="T14" i="30"/>
  <c r="L14" i="30"/>
  <c r="D14" i="30"/>
  <c r="H14" i="30"/>
  <c r="D6" i="11" l="1"/>
  <c r="D7" i="11"/>
  <c r="D8" i="11"/>
  <c r="D5" i="11"/>
  <c r="E54" i="11" s="1"/>
  <c r="F54" i="11" s="1"/>
  <c r="D10" i="11"/>
  <c r="D9" i="11"/>
  <c r="J5" i="21"/>
  <c r="C5" i="28" l="1"/>
  <c r="D3" i="22"/>
  <c r="J5" i="22"/>
  <c r="D30" i="22" l="1"/>
  <c r="C42" i="12" s="1"/>
  <c r="C32" i="12"/>
  <c r="C15" i="4"/>
  <c r="C15" i="27"/>
  <c r="H15" i="27"/>
  <c r="B23" i="12" s="1"/>
  <c r="C15" i="28"/>
  <c r="H15" i="28"/>
  <c r="B33" i="12" s="1"/>
  <c r="C15" i="29"/>
  <c r="H15" i="29"/>
  <c r="B43" i="12" s="1"/>
  <c r="H16" i="29"/>
  <c r="B44" i="12" s="1"/>
  <c r="H6" i="29"/>
  <c r="C44" i="12" s="1"/>
  <c r="H16" i="28"/>
  <c r="B34" i="12" s="1"/>
  <c r="H6" i="28"/>
  <c r="C34" i="12" s="1"/>
  <c r="H16" i="27"/>
  <c r="B24" i="12" s="1"/>
  <c r="F30" i="22"/>
  <c r="K3" i="22" s="1"/>
  <c r="H5" i="29" s="1"/>
  <c r="C43" i="12" s="1"/>
  <c r="J8" i="22"/>
  <c r="J7" i="25"/>
  <c r="J8" i="21"/>
  <c r="J7" i="24"/>
  <c r="J8" i="20"/>
  <c r="H6" i="27" s="1"/>
  <c r="C24" i="12" s="1"/>
  <c r="J8" i="23"/>
  <c r="J8" i="19"/>
  <c r="H6" i="4" s="1"/>
  <c r="C13" i="12" s="1"/>
  <c r="J7" i="18"/>
  <c r="H16" i="4" s="1"/>
  <c r="E55" i="11"/>
  <c r="F55" i="11" s="1"/>
  <c r="E56" i="11"/>
  <c r="F56" i="11" s="1"/>
  <c r="E57" i="11"/>
  <c r="F57" i="11" s="1"/>
  <c r="E58" i="11"/>
  <c r="F58" i="11" s="1"/>
  <c r="E59" i="11"/>
  <c r="F59" i="11" s="1"/>
  <c r="D59" i="11"/>
  <c r="D58" i="11"/>
  <c r="D57" i="11"/>
  <c r="D56" i="11"/>
  <c r="D55" i="11"/>
  <c r="E42" i="11"/>
  <c r="F42" i="11" s="1"/>
  <c r="E43" i="11"/>
  <c r="F43" i="11" s="1"/>
  <c r="E44" i="11"/>
  <c r="F44" i="11" s="1"/>
  <c r="E45" i="11"/>
  <c r="F45" i="11" s="1"/>
  <c r="E46" i="11"/>
  <c r="F46" i="11" s="1"/>
  <c r="E41" i="11"/>
  <c r="F41" i="11" s="1"/>
  <c r="D46" i="11"/>
  <c r="D45" i="11"/>
  <c r="D44" i="11"/>
  <c r="D43" i="11"/>
  <c r="D42" i="11"/>
  <c r="D41" i="11"/>
  <c r="D33" i="11"/>
  <c r="D32" i="11"/>
  <c r="D31" i="11"/>
  <c r="D30" i="11"/>
  <c r="D29" i="11"/>
  <c r="D28" i="11"/>
  <c r="D14" i="11"/>
  <c r="D22" i="9"/>
  <c r="E22" i="9" s="1"/>
  <c r="D21" i="9"/>
  <c r="E21" i="9" s="1"/>
  <c r="D20" i="9"/>
  <c r="E20" i="9" s="1"/>
  <c r="D19" i="9"/>
  <c r="E19" i="9" s="1"/>
  <c r="D18" i="9"/>
  <c r="E18" i="9" s="1"/>
  <c r="D17" i="9"/>
  <c r="E17" i="9" s="1"/>
  <c r="D22" i="7"/>
  <c r="E22" i="7" s="1"/>
  <c r="D21" i="7"/>
  <c r="E21" i="7" s="1"/>
  <c r="D20" i="7"/>
  <c r="E20" i="7" s="1"/>
  <c r="D19" i="7"/>
  <c r="E19" i="7" s="1"/>
  <c r="D18" i="7"/>
  <c r="E18" i="7" s="1"/>
  <c r="D17" i="7"/>
  <c r="E17" i="7" s="1"/>
  <c r="D17" i="5"/>
  <c r="E17" i="5" s="1"/>
  <c r="D18" i="5"/>
  <c r="E18" i="5" s="1"/>
  <c r="D19" i="5"/>
  <c r="E19" i="5" s="1"/>
  <c r="D20" i="5"/>
  <c r="E20" i="5" s="1"/>
  <c r="D21" i="5"/>
  <c r="E21" i="5" s="1"/>
  <c r="D22" i="5"/>
  <c r="E22" i="5" s="1"/>
  <c r="D19" i="1"/>
  <c r="E19" i="1" s="1"/>
  <c r="D20" i="1"/>
  <c r="E20" i="1" s="1"/>
  <c r="D21" i="1"/>
  <c r="E21" i="1" s="1"/>
  <c r="D22" i="1"/>
  <c r="E22" i="1" s="1"/>
  <c r="D23" i="1"/>
  <c r="E23" i="1" s="1"/>
  <c r="D24" i="1"/>
  <c r="E24" i="1" s="1"/>
  <c r="D4" i="1"/>
  <c r="E4" i="1" s="1"/>
  <c r="J5" i="25"/>
  <c r="J4" i="25"/>
  <c r="J3" i="25"/>
  <c r="D21" i="25"/>
  <c r="J4" i="24"/>
  <c r="J3" i="24"/>
  <c r="D29" i="24"/>
  <c r="D3" i="24" s="1"/>
  <c r="J5" i="23"/>
  <c r="J4" i="23"/>
  <c r="J3" i="23"/>
  <c r="D23" i="23"/>
  <c r="D5" i="23"/>
  <c r="D4" i="23"/>
  <c r="B42" i="12" l="1"/>
  <c r="B32" i="12"/>
  <c r="B22" i="12"/>
  <c r="B11" i="12"/>
  <c r="D24" i="12"/>
  <c r="D44" i="12"/>
  <c r="D43" i="12"/>
  <c r="D42" i="12"/>
  <c r="D32" i="12"/>
  <c r="D34" i="12"/>
  <c r="B13" i="12"/>
  <c r="F60" i="11"/>
  <c r="F47" i="11"/>
  <c r="E23" i="9"/>
  <c r="E23" i="7"/>
  <c r="E23" i="5"/>
  <c r="C25" i="5" s="1"/>
  <c r="E25" i="1"/>
  <c r="D3" i="25"/>
  <c r="D5" i="25" s="1"/>
  <c r="D4" i="25"/>
  <c r="D5" i="24"/>
  <c r="D4" i="24"/>
  <c r="D3" i="23"/>
  <c r="E36" i="11" l="1"/>
  <c r="C25" i="9"/>
  <c r="C25" i="7"/>
  <c r="F8" i="22"/>
  <c r="F29" i="22"/>
  <c r="F28" i="22"/>
  <c r="F27" i="22"/>
  <c r="F26" i="22"/>
  <c r="F25" i="22"/>
  <c r="F24" i="22"/>
  <c r="F23" i="22"/>
  <c r="F21" i="22"/>
  <c r="F18" i="22"/>
  <c r="F17" i="22"/>
  <c r="F16" i="22"/>
  <c r="F15" i="22"/>
  <c r="F14" i="22"/>
  <c r="F13" i="22"/>
  <c r="F12" i="22"/>
  <c r="F11" i="22"/>
  <c r="F10" i="22"/>
  <c r="F9" i="22"/>
  <c r="E62" i="11" l="1"/>
  <c r="E49" i="11"/>
  <c r="J6" i="22"/>
  <c r="D5" i="22"/>
  <c r="D4" i="22"/>
  <c r="F62" i="21" l="1"/>
  <c r="F61" i="21"/>
  <c r="F60" i="21"/>
  <c r="F59" i="21"/>
  <c r="F58" i="21"/>
  <c r="F57" i="21"/>
  <c r="F56" i="21"/>
  <c r="F55" i="21"/>
  <c r="F54" i="21"/>
  <c r="F53" i="21"/>
  <c r="F52" i="21"/>
  <c r="F51" i="21"/>
  <c r="F50" i="21"/>
  <c r="F49" i="21"/>
  <c r="F48" i="21"/>
  <c r="F47" i="21"/>
  <c r="F46" i="21"/>
  <c r="F45" i="21"/>
  <c r="F44" i="21"/>
  <c r="F42" i="21"/>
  <c r="F41" i="21"/>
  <c r="F40" i="21"/>
  <c r="F38" i="21"/>
  <c r="F36" i="21"/>
  <c r="F35" i="21"/>
  <c r="D34" i="21"/>
  <c r="F34" i="21" s="1"/>
  <c r="F31" i="21"/>
  <c r="F28" i="21"/>
  <c r="F27" i="21"/>
  <c r="F26" i="21"/>
  <c r="F25" i="21"/>
  <c r="F23" i="21"/>
  <c r="F22" i="21"/>
  <c r="F21" i="21"/>
  <c r="F20" i="21"/>
  <c r="F19" i="21"/>
  <c r="D18" i="21"/>
  <c r="F17" i="21"/>
  <c r="F16" i="21"/>
  <c r="F14" i="21"/>
  <c r="F13" i="21"/>
  <c r="F10" i="21"/>
  <c r="D63" i="21" l="1"/>
  <c r="D3" i="21" s="1"/>
  <c r="F18" i="21"/>
  <c r="H5" i="28" l="1"/>
  <c r="C33" i="12" s="1"/>
  <c r="D33" i="12" s="1"/>
  <c r="D5" i="21"/>
  <c r="D4" i="21"/>
  <c r="F10" i="20" l="1"/>
  <c r="F26" i="20"/>
  <c r="F17" i="20"/>
  <c r="F21" i="20"/>
  <c r="F18" i="20"/>
  <c r="F31" i="20"/>
  <c r="F23" i="20"/>
  <c r="F16" i="20"/>
  <c r="F30" i="20"/>
  <c r="F22" i="20"/>
  <c r="F12" i="20"/>
  <c r="F19" i="20"/>
  <c r="F13" i="20"/>
  <c r="F29" i="20"/>
  <c r="F15" i="20"/>
  <c r="F11" i="20"/>
  <c r="F28" i="20"/>
  <c r="F24" i="20"/>
  <c r="F27" i="20"/>
  <c r="F20" i="20"/>
  <c r="F14" i="20"/>
  <c r="D32" i="20" l="1"/>
  <c r="F9" i="20"/>
  <c r="F32" i="20" s="1"/>
  <c r="K3" i="20" s="1"/>
  <c r="H5" i="27" l="1"/>
  <c r="C23" i="12" s="1"/>
  <c r="D23" i="12" s="1"/>
  <c r="J3" i="20"/>
  <c r="K5" i="20" s="1"/>
  <c r="D3" i="20"/>
  <c r="D4" i="20" s="1"/>
  <c r="D38" i="19"/>
  <c r="F37" i="19"/>
  <c r="F36" i="19"/>
  <c r="F35" i="19"/>
  <c r="F34" i="19"/>
  <c r="F33" i="19"/>
  <c r="F31" i="19"/>
  <c r="F30" i="19"/>
  <c r="F29" i="19"/>
  <c r="F28" i="19"/>
  <c r="F27" i="19"/>
  <c r="F26" i="19"/>
  <c r="F25" i="19"/>
  <c r="F24" i="19"/>
  <c r="F23" i="19"/>
  <c r="F22" i="19"/>
  <c r="F21" i="19"/>
  <c r="F20" i="19"/>
  <c r="F19" i="19"/>
  <c r="F18" i="19"/>
  <c r="F17" i="19"/>
  <c r="F16" i="19"/>
  <c r="F15" i="19"/>
  <c r="F14" i="19"/>
  <c r="F13" i="19"/>
  <c r="F10" i="19"/>
  <c r="F9" i="19"/>
  <c r="K4" i="19" l="1"/>
  <c r="F38" i="19"/>
  <c r="J3" i="19"/>
  <c r="J5" i="19" s="1"/>
  <c r="K5" i="19" s="1"/>
  <c r="D3" i="19"/>
  <c r="C5" i="27"/>
  <c r="C22" i="12" s="1"/>
  <c r="D22" i="12" s="1"/>
  <c r="J6" i="20"/>
  <c r="D5" i="20"/>
  <c r="D52" i="18"/>
  <c r="D3" i="18" s="1"/>
  <c r="D5" i="18" s="1"/>
  <c r="E51" i="18"/>
  <c r="E50" i="18"/>
  <c r="E49" i="18"/>
  <c r="E48" i="18"/>
  <c r="E47" i="18"/>
  <c r="E46" i="18"/>
  <c r="E45" i="18"/>
  <c r="E44" i="18"/>
  <c r="E43" i="18"/>
  <c r="D42" i="18"/>
  <c r="E41" i="18"/>
  <c r="E40" i="18"/>
  <c r="E39" i="18"/>
  <c r="E38" i="18"/>
  <c r="E37" i="18"/>
  <c r="E36" i="18"/>
  <c r="E35" i="18"/>
  <c r="E34" i="18"/>
  <c r="E33" i="18"/>
  <c r="E32" i="18"/>
  <c r="E31" i="18"/>
  <c r="E30" i="18"/>
  <c r="E29" i="18"/>
  <c r="E28" i="18"/>
  <c r="E27" i="18"/>
  <c r="E26" i="18"/>
  <c r="E25" i="18"/>
  <c r="E24" i="18"/>
  <c r="E23" i="18"/>
  <c r="E22" i="18"/>
  <c r="E21" i="18"/>
  <c r="E20" i="18"/>
  <c r="E19" i="18"/>
  <c r="E18" i="18"/>
  <c r="E17" i="18"/>
  <c r="E16" i="18"/>
  <c r="E15" i="18"/>
  <c r="E14" i="18"/>
  <c r="E13" i="18"/>
  <c r="E12" i="18"/>
  <c r="E11" i="18"/>
  <c r="K3" i="19" l="1"/>
  <c r="H5" i="4" s="1"/>
  <c r="C12" i="12" s="1"/>
  <c r="D5" i="19"/>
  <c r="D4" i="19"/>
  <c r="C27" i="1" s="1"/>
  <c r="C5" i="4"/>
  <c r="C11" i="12" s="1"/>
  <c r="J3" i="18"/>
  <c r="J4" i="18" s="1"/>
  <c r="D4" i="18"/>
  <c r="E42" i="18"/>
  <c r="K3" i="18" s="1"/>
  <c r="J6" i="19" l="1"/>
  <c r="E23" i="11"/>
  <c r="H15" i="4"/>
  <c r="J5" i="18"/>
  <c r="E52" i="18"/>
  <c r="D9" i="9"/>
  <c r="E9" i="9" s="1"/>
  <c r="D8" i="9"/>
  <c r="E8" i="9" s="1"/>
  <c r="D7" i="9"/>
  <c r="E7" i="9" s="1"/>
  <c r="D6" i="9"/>
  <c r="E6" i="9" s="1"/>
  <c r="D5" i="9"/>
  <c r="E5" i="9" s="1"/>
  <c r="D4" i="9"/>
  <c r="E4" i="9" s="1"/>
  <c r="D5" i="7"/>
  <c r="E5" i="7" s="1"/>
  <c r="D6" i="7"/>
  <c r="E6" i="7" s="1"/>
  <c r="D7" i="7"/>
  <c r="E7" i="7" s="1"/>
  <c r="D8" i="7"/>
  <c r="E8" i="7" s="1"/>
  <c r="D9" i="7"/>
  <c r="E9" i="7" s="1"/>
  <c r="D4" i="7"/>
  <c r="E4" i="7" s="1"/>
  <c r="D9" i="5"/>
  <c r="E9" i="5" s="1"/>
  <c r="D8" i="5"/>
  <c r="E8" i="5" s="1"/>
  <c r="D7" i="5"/>
  <c r="E7" i="5" s="1"/>
  <c r="D6" i="5"/>
  <c r="E6" i="5" s="1"/>
  <c r="D5" i="5"/>
  <c r="E5" i="5" s="1"/>
  <c r="D4" i="5"/>
  <c r="E4" i="5" s="1"/>
  <c r="B12" i="12" l="1"/>
  <c r="D12" i="12"/>
  <c r="D13" i="12"/>
  <c r="D11" i="12"/>
  <c r="E10" i="9"/>
  <c r="C12" i="9" s="1"/>
  <c r="E10" i="7"/>
  <c r="C12" i="7" s="1"/>
  <c r="E10" i="5"/>
  <c r="C12" i="5" s="1"/>
  <c r="E63" i="11" l="1"/>
  <c r="E50" i="11"/>
  <c r="E37" i="11"/>
  <c r="D9" i="1"/>
  <c r="E9" i="1" s="1"/>
  <c r="D8" i="1"/>
  <c r="E8" i="1" s="1"/>
  <c r="D7" i="1"/>
  <c r="E7" i="1" s="1"/>
  <c r="D6" i="1"/>
  <c r="E6" i="1" s="1"/>
  <c r="D5" i="1"/>
  <c r="E5" i="1" s="1"/>
  <c r="E33" i="11"/>
  <c r="E32" i="11"/>
  <c r="E31" i="11"/>
  <c r="E30" i="11"/>
  <c r="E29" i="11"/>
  <c r="E28" i="11"/>
  <c r="E19" i="11"/>
  <c r="E18" i="11"/>
  <c r="E17" i="11"/>
  <c r="E16" i="11"/>
  <c r="E15" i="11"/>
  <c r="E14" i="11"/>
  <c r="F14" i="11" s="1"/>
  <c r="E10" i="1" l="1"/>
  <c r="C12" i="1" s="1"/>
  <c r="E22" i="11" l="1"/>
  <c r="F29" i="11"/>
  <c r="F30" i="11"/>
  <c r="F31" i="11"/>
  <c r="F32" i="11"/>
  <c r="F33" i="11"/>
  <c r="F28" i="11"/>
  <c r="D15" i="11"/>
  <c r="F15" i="11" s="1"/>
  <c r="D16" i="11"/>
  <c r="F16" i="11" s="1"/>
  <c r="D17" i="11"/>
  <c r="F17" i="11" s="1"/>
  <c r="D18" i="11"/>
  <c r="F18" i="11" s="1"/>
  <c r="D19" i="11"/>
  <c r="F19" i="11" s="1"/>
  <c r="E20" i="11" l="1"/>
  <c r="F34" i="11"/>
  <c r="X8" i="30" l="1"/>
  <c r="X5" i="30"/>
  <c r="X12" i="30"/>
  <c r="X11" i="30"/>
  <c r="X7" i="30"/>
  <c r="X6" i="30"/>
  <c r="X10" i="30"/>
  <c r="X9" i="30"/>
  <c r="AB12" i="30"/>
  <c r="AB8" i="30"/>
  <c r="AB5" i="30"/>
  <c r="AB11" i="30"/>
  <c r="AB10" i="30"/>
  <c r="AB7" i="30"/>
  <c r="AB6" i="30"/>
  <c r="AB9" i="30"/>
  <c r="AF6" i="30"/>
  <c r="AF5" i="30"/>
  <c r="AF7" i="30"/>
  <c r="AF11" i="30"/>
  <c r="AF12" i="30"/>
  <c r="AF8" i="30"/>
  <c r="AF9" i="30"/>
  <c r="AF10" i="30"/>
  <c r="AF14" i="30" l="1"/>
  <c r="X14" i="30"/>
  <c r="AB14" i="30"/>
  <c r="D6" i="12" l="1"/>
  <c r="I15" i="29" s="1"/>
  <c r="J15" i="29" s="1"/>
  <c r="D5" i="12"/>
  <c r="D7" i="12"/>
  <c r="I6" i="29" s="1"/>
  <c r="J6" i="29" s="1"/>
  <c r="E13" i="12"/>
  <c r="F13" i="12" s="1"/>
  <c r="I6" i="28"/>
  <c r="J6" i="28" s="1"/>
  <c r="I15" i="27"/>
  <c r="J15" i="27" s="1"/>
  <c r="I15" i="4"/>
  <c r="J15" i="4" s="1"/>
  <c r="E43" i="12"/>
  <c r="F43" i="12" s="1"/>
  <c r="I5" i="29"/>
  <c r="J5" i="29" s="1"/>
  <c r="E12" i="12"/>
  <c r="F12" i="12" s="1"/>
  <c r="I16" i="4" l="1"/>
  <c r="J16" i="4" s="1"/>
  <c r="E34" i="12"/>
  <c r="F34" i="12" s="1"/>
  <c r="I6" i="4"/>
  <c r="J6" i="4" s="1"/>
  <c r="I16" i="28"/>
  <c r="J16" i="28" s="1"/>
  <c r="I16" i="27"/>
  <c r="J16" i="27" s="1"/>
  <c r="J17" i="27" s="1"/>
  <c r="I19" i="27" s="1"/>
  <c r="J7" i="29"/>
  <c r="I9" i="29" s="1"/>
  <c r="E24" i="12"/>
  <c r="F24" i="12" s="1"/>
  <c r="E44" i="12"/>
  <c r="F44" i="12" s="1"/>
  <c r="D15" i="28"/>
  <c r="E15" i="28" s="1"/>
  <c r="E16" i="28" s="1"/>
  <c r="D19" i="28" s="1"/>
  <c r="D5" i="27"/>
  <c r="E5" i="27" s="1"/>
  <c r="E6" i="27" s="1"/>
  <c r="D9" i="27" s="1"/>
  <c r="E32" i="12"/>
  <c r="F32" i="12" s="1"/>
  <c r="D15" i="29"/>
  <c r="E15" i="29" s="1"/>
  <c r="E16" i="29" s="1"/>
  <c r="D19" i="29" s="1"/>
  <c r="D15" i="4"/>
  <c r="E15" i="4" s="1"/>
  <c r="E16" i="4" s="1"/>
  <c r="D19" i="4" s="1"/>
  <c r="D5" i="4"/>
  <c r="E5" i="4" s="1"/>
  <c r="E6" i="4" s="1"/>
  <c r="D9" i="4" s="1"/>
  <c r="E22" i="12"/>
  <c r="F22" i="12" s="1"/>
  <c r="D5" i="28"/>
  <c r="E5" i="28" s="1"/>
  <c r="E6" i="28" s="1"/>
  <c r="D9" i="28" s="1"/>
  <c r="D5" i="29"/>
  <c r="E5" i="29" s="1"/>
  <c r="E6" i="29" s="1"/>
  <c r="D9" i="29" s="1"/>
  <c r="E42" i="12"/>
  <c r="F42" i="12" s="1"/>
  <c r="D15" i="27"/>
  <c r="E15" i="27" s="1"/>
  <c r="E16" i="27" s="1"/>
  <c r="D19" i="27" s="1"/>
  <c r="E11" i="12"/>
  <c r="F11" i="12" s="1"/>
  <c r="F14" i="12" s="1"/>
  <c r="I16" i="29"/>
  <c r="J16" i="29" s="1"/>
  <c r="J17" i="29" s="1"/>
  <c r="I19" i="29" s="1"/>
  <c r="J17" i="4"/>
  <c r="I19" i="4" s="1"/>
  <c r="I6" i="27"/>
  <c r="J6" i="27" s="1"/>
  <c r="E33" i="12"/>
  <c r="F33" i="12" s="1"/>
  <c r="E23" i="12"/>
  <c r="F23" i="12" s="1"/>
  <c r="I15" i="28"/>
  <c r="J15" i="28" s="1"/>
  <c r="I5" i="28"/>
  <c r="J5" i="28" s="1"/>
  <c r="J7" i="28" s="1"/>
  <c r="I9" i="28" s="1"/>
  <c r="I5" i="4"/>
  <c r="J5" i="4" s="1"/>
  <c r="I5" i="27"/>
  <c r="J5" i="27" s="1"/>
  <c r="J7" i="4" l="1"/>
  <c r="I9" i="4" s="1"/>
  <c r="J17" i="28"/>
  <c r="I19" i="28" s="1"/>
  <c r="F45" i="12"/>
  <c r="E38" i="12"/>
  <c r="E47" i="12"/>
  <c r="E16" i="12"/>
  <c r="F35" i="12"/>
  <c r="F25" i="12"/>
  <c r="E27" i="12"/>
  <c r="J7" i="27"/>
  <c r="I9" i="27" s="1"/>
  <c r="E48" i="12"/>
  <c r="E28" i="12" l="1"/>
  <c r="E17" i="12"/>
  <c r="E37" i="12"/>
  <c r="C18"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Andrés Zamudio</author>
  </authors>
  <commentList>
    <comment ref="B1" authorId="0" shapeId="0" xr:uid="{69846A9A-C1F6-4C5E-81CD-A242C2582661}">
      <text>
        <r>
          <rPr>
            <b/>
            <sz val="9"/>
            <color indexed="81"/>
            <rFont val="Tahoma"/>
            <family val="2"/>
          </rPr>
          <t>MASTER DATA:</t>
        </r>
        <r>
          <rPr>
            <sz val="9"/>
            <color indexed="81"/>
            <rFont val="Tahoma"/>
            <family val="2"/>
          </rPr>
          <t xml:space="preserve">
1 POR CADA 2000 CUPOS DE CCT Y 1 POR CADA PUNTO DE PS CON MAS DE 500 CUPOS</t>
        </r>
      </text>
    </comment>
    <comment ref="F1" authorId="0" shapeId="0" xr:uid="{D7EF78D1-FA6C-438C-84C5-95028FC8308F}">
      <text>
        <r>
          <rPr>
            <b/>
            <sz val="9"/>
            <color indexed="81"/>
            <rFont val="Tahoma"/>
            <family val="2"/>
          </rPr>
          <t>MASTER DATA:</t>
        </r>
        <r>
          <rPr>
            <sz val="9"/>
            <color indexed="81"/>
            <rFont val="Tahoma"/>
            <family val="2"/>
          </rPr>
          <t xml:space="preserve">
1 POR CADA 6000 CUPOS</t>
        </r>
      </text>
    </comment>
    <comment ref="R1" authorId="0" shapeId="0" xr:uid="{A6DE24E9-3B5D-4180-8717-8D7B61BBDC7B}">
      <text>
        <r>
          <rPr>
            <b/>
            <sz val="9"/>
            <color indexed="81"/>
            <rFont val="Tahoma"/>
            <family val="2"/>
          </rPr>
          <t>MASTER DATA:</t>
        </r>
        <r>
          <rPr>
            <sz val="9"/>
            <color indexed="81"/>
            <rFont val="Tahoma"/>
            <family val="2"/>
          </rPr>
          <t xml:space="preserve">
1 POR CADA 2000 CUPOS DE CCT Y 1 POR CADA PUNTO DE PS CON MAS DE 500 CUPOS</t>
        </r>
      </text>
    </comment>
    <comment ref="D3" authorId="0" shapeId="0" xr:uid="{CDC8B83B-835A-426B-BFAB-A1E09E9FFE7E}">
      <text>
        <r>
          <rPr>
            <b/>
            <sz val="9"/>
            <color indexed="81"/>
            <rFont val="Tahoma"/>
            <family val="2"/>
          </rPr>
          <t>Master Data:</t>
        </r>
        <r>
          <rPr>
            <sz val="9"/>
            <color indexed="81"/>
            <rFont val="Tahoma"/>
            <family val="2"/>
          </rPr>
          <t xml:space="preserve">
Incremento para el 2025: Base de salario 2024 + aumento del IPC.</t>
        </r>
      </text>
    </comment>
    <comment ref="B20" authorId="0" shapeId="0" xr:uid="{18F46FE5-A4FA-41FA-ADB2-8837D2B6326A}">
      <text>
        <r>
          <rPr>
            <b/>
            <sz val="9"/>
            <color indexed="81"/>
            <rFont val="Tahoma"/>
            <family val="2"/>
          </rPr>
          <t xml:space="preserve">Master Data:
</t>
        </r>
        <r>
          <rPr>
            <sz val="9"/>
            <color indexed="81"/>
            <rFont val="Tahoma"/>
            <family val="2"/>
          </rPr>
          <t xml:space="preserve">
https://www.segurosbolivar.com/blog/proteccion-arl/clasificacion-de-riesgos-empresariales-por-actividad/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Vanesa García</author>
  </authors>
  <commentList>
    <comment ref="K4" authorId="0" shapeId="0" xr:uid="{02F92C79-E571-4316-AF40-F068523E5E27}">
      <text>
        <r>
          <rPr>
            <sz val="11"/>
            <color theme="1"/>
            <rFont val="Calibri"/>
            <family val="2"/>
            <scheme val="minor"/>
          </rPr>
          <t>Vanesa García:
Concepto técnico del ingeniero de alimentos PAE, basado en la operatividad del programa e histórico de atención. 1 Manipuladora cada 440 raciones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tc={1C55A411-0E9A-4542-8FC4-D003CC421609}</author>
    <author>tc={8F9C81AB-5C77-4547-8213-E5652C372D77}</author>
    <author>Andrés Zamudio</author>
  </authors>
  <commentList>
    <comment ref="K3" authorId="0" shapeId="0" xr:uid="{1C55A411-0E9A-4542-8FC4-D003CC421609}">
      <text>
        <r>
          <rPr>
            <b/>
            <sz val="11"/>
            <color theme="1"/>
            <rFont val="Calibri"/>
            <family val="2"/>
            <scheme val="minor"/>
          </rPr>
          <t>Master Data:</t>
        </r>
        <r>
          <rPr>
            <sz val="11"/>
            <color theme="1"/>
            <rFont val="Calibri"/>
            <family val="2"/>
            <scheme val="minor"/>
          </rPr>
          <t xml:space="preserve">
Se deja en la sumatoria el punto MINA DEL SOCORRO.</t>
        </r>
      </text>
    </comment>
    <comment ref="K4" authorId="1" shapeId="0" xr:uid="{8F9C81AB-5C77-4547-8213-E5652C372D77}">
      <text>
        <r>
          <rPr>
            <b/>
            <sz val="11"/>
            <color theme="1"/>
            <rFont val="Calibri"/>
            <family val="2"/>
            <scheme val="minor"/>
          </rPr>
          <t>Master Data:</t>
        </r>
        <r>
          <rPr>
            <sz val="11"/>
            <color theme="1"/>
            <rFont val="Calibri"/>
            <family val="2"/>
            <scheme val="minor"/>
          </rPr>
          <t xml:space="preserve">
 Se resta el punto Mina del Socorro, teniendo en cuenta que durante 2024 estuvo en operación el 30% del calendario escolar, es un punto viable para cierre, por tanto, no se tuvo en cuenta la manipuladora de este punto.</t>
        </r>
      </text>
    </comment>
    <comment ref="K5" authorId="2" shapeId="0" xr:uid="{02F375B2-A8B7-49D1-BAA4-BD40B63A0F71}">
      <text>
        <r>
          <rPr>
            <b/>
            <sz val="9"/>
            <color indexed="81"/>
            <rFont val="Tahoma"/>
            <family val="2"/>
          </rPr>
          <t>Master Data:</t>
        </r>
        <r>
          <rPr>
            <sz val="9"/>
            <color indexed="81"/>
            <rFont val="Tahoma"/>
            <family val="2"/>
          </rPr>
          <t xml:space="preserve">
6 Manipuadoras por cada 1500 Raciones
</t>
        </r>
      </text>
    </comment>
    <comment ref="E11" authorId="2" shapeId="0" xr:uid="{2F41BE2E-A21A-4150-800E-90EC5FA2479D}">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12" authorId="2" shapeId="0" xr:uid="{330C6A36-E3C4-4EA6-90E7-0848EA7BB404}">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32" authorId="2" shapeId="0" xr:uid="{83783F7A-A620-4E2A-A47E-30D31BBCF63B}">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Vanesa García</author>
  </authors>
  <commentList>
    <comment ref="K4" authorId="0" shapeId="0" xr:uid="{036D76EF-B75A-4499-9353-DA5AFDA38618}">
      <text>
        <r>
          <rPr>
            <b/>
            <sz val="11"/>
            <color theme="1"/>
            <rFont val="Calibri"/>
            <family val="2"/>
            <scheme val="minor"/>
          </rPr>
          <t>Master Data:</t>
        </r>
        <r>
          <rPr>
            <sz val="11"/>
            <color theme="1"/>
            <rFont val="Calibri"/>
            <family val="2"/>
            <scheme val="minor"/>
          </rPr>
          <t xml:space="preserve">
Concepto técnico del ingeniero de alimentos PAE, basado en la operatividad del programa e histórico de atención. 1 Manipuladora cada 440 raciones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Andrés Zamudio</author>
  </authors>
  <commentList>
    <comment ref="K5" authorId="0" shapeId="0" xr:uid="{6D71522F-BDC1-4E9F-AC19-A03299AE9626}">
      <text>
        <r>
          <rPr>
            <b/>
            <sz val="9"/>
            <color indexed="81"/>
            <rFont val="Tahoma"/>
            <family val="2"/>
          </rPr>
          <t>Master Data:</t>
        </r>
        <r>
          <rPr>
            <sz val="9"/>
            <color indexed="81"/>
            <rFont val="Tahoma"/>
            <family val="2"/>
          </rPr>
          <t xml:space="preserve">
6 Manipuadoras por cada 1500 Raciones
</t>
        </r>
      </text>
    </comment>
    <comment ref="E25" authorId="0" shapeId="0" xr:uid="{5AAD4660-0427-403D-9D62-A37CC70513B1}">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Vanesa García</author>
  </authors>
  <commentList>
    <comment ref="K4" authorId="0" shapeId="0" xr:uid="{7CEA2424-8AB3-4D83-9A63-E9D24BE58267}">
      <text>
        <r>
          <rPr>
            <b/>
            <sz val="11"/>
            <color theme="1"/>
            <rFont val="Calibri"/>
            <family val="2"/>
            <scheme val="minor"/>
          </rPr>
          <t>Master Data:</t>
        </r>
        <r>
          <rPr>
            <sz val="11"/>
            <color theme="1"/>
            <rFont val="Calibri"/>
            <family val="2"/>
            <scheme val="minor"/>
          </rPr>
          <t xml:space="preserve">
Concepto técnico del ingeniero de alimentos PAE, basado en la operatividad del programa e histórico de atención. 1 Manipuladora cada 440 raciones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Andrés Zamudio</author>
  </authors>
  <commentList>
    <comment ref="K5" authorId="0" shapeId="0" xr:uid="{AFA39206-C8C0-406D-96AF-57B6AE8CB28F}">
      <text>
        <r>
          <rPr>
            <b/>
            <sz val="9"/>
            <color indexed="81"/>
            <rFont val="Tahoma"/>
            <family val="2"/>
          </rPr>
          <t>Master Data:</t>
        </r>
        <r>
          <rPr>
            <sz val="9"/>
            <color indexed="81"/>
            <rFont val="Tahoma"/>
            <family val="2"/>
          </rPr>
          <t xml:space="preserve">
6 Manipuadoras por cada 1500 Raciones
</t>
        </r>
      </text>
    </comment>
    <comment ref="E11" authorId="0" shapeId="0" xr:uid="{D9E0373B-8E53-4AFD-BA4B-07293BD15D69}">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12" authorId="0" shapeId="0" xr:uid="{133ED607-DF33-4F19-B9F0-F4AB11563385}">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15" authorId="0" shapeId="0" xr:uid="{29E189DB-DF37-4ECC-A12C-C78233A12B03}">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24" authorId="0" shapeId="0" xr:uid="{AAD0A4DF-E723-42AF-8914-71B5BBA86658}">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29" authorId="0" shapeId="0" xr:uid="{8C2B12EA-BCC6-4E83-8B5A-CD771107F525}">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30" authorId="0" shapeId="0" xr:uid="{64D05BB5-D3E4-483F-A6BD-0115A3F66421}">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32" authorId="0" shapeId="0" xr:uid="{74DF8506-DF0F-4899-A736-FBF0CFBEB43E}">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33" authorId="0" shapeId="0" xr:uid="{02AA28CB-E335-4687-B941-D1C7AE367242}">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37" authorId="0" shapeId="0" xr:uid="{25C2AE37-19EF-460E-B7BF-BE7A85FC2AAF}">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39" authorId="0" shapeId="0" xr:uid="{71C95344-BCA7-4088-B573-771BC0EAE36E}">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43" authorId="0" shapeId="0" xr:uid="{B2455A5D-72FC-4A86-A9E9-B63D167A34B5}">
      <text>
        <r>
          <rPr>
            <b/>
            <sz val="9"/>
            <color indexed="81"/>
            <rFont val="Tahoma"/>
            <family val="2"/>
          </rPr>
          <t>Master Data:</t>
        </r>
        <r>
          <rPr>
            <sz val="9"/>
            <color indexed="81"/>
            <rFont val="Tahoma"/>
            <family val="2"/>
          </rPr>
          <t xml:space="preserve">
A este punto se le debe entregar en fiambreras debido a que la secretaría de salud no entregó CONCEPTO FAVORABLE EN AGUA POTABLE, por lo que no se puede ni preparación en sitio, ni hacer ningún tipo de lavado de elementos de cocina y/o alimentos.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Vanesa García</author>
  </authors>
  <commentList>
    <comment ref="K4" authorId="0" shapeId="0" xr:uid="{854BC2F3-4908-48A9-B294-15612E0BA2EA}">
      <text>
        <r>
          <rPr>
            <b/>
            <sz val="11"/>
            <color theme="1"/>
            <rFont val="Calibri"/>
            <family val="2"/>
            <scheme val="minor"/>
          </rPr>
          <t>Master Data:</t>
        </r>
        <r>
          <rPr>
            <sz val="11"/>
            <color theme="1"/>
            <rFont val="Calibri"/>
            <family val="2"/>
            <scheme val="minor"/>
          </rPr>
          <t xml:space="preserve">
Concepto técnico del ingeniero de alimentos PAE, basado en la operatividad del programa e histórico de atención. 1 Manipuladora cada 440 raciones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Andrés Zamudio</author>
  </authors>
  <commentList>
    <comment ref="K5" authorId="0" shapeId="0" xr:uid="{D423F8D7-BFD8-4EFF-AB37-211021802A5E}">
      <text>
        <r>
          <rPr>
            <b/>
            <sz val="9"/>
            <color indexed="81"/>
            <rFont val="Tahoma"/>
            <family val="2"/>
          </rPr>
          <t>Master Data:</t>
        </r>
        <r>
          <rPr>
            <sz val="9"/>
            <color indexed="81"/>
            <rFont val="Tahoma"/>
            <family val="2"/>
          </rPr>
          <t xml:space="preserve">
6 Manipuadoras por cada 1500 Raciones
</t>
        </r>
      </text>
    </comment>
    <comment ref="E19" authorId="0" shapeId="0" xr:uid="{614CE719-FDFE-4EFF-A5A4-DFFCC6BAFBA0}">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20" authorId="0" shapeId="0" xr:uid="{98D690CC-ABD4-4E39-B2EB-A77D80D87775}">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 ref="E22" authorId="0" shapeId="0" xr:uid="{BC04163F-1452-4F50-9EFF-7AD8AE540939}">
      <text>
        <r>
          <rPr>
            <b/>
            <sz val="9"/>
            <color indexed="81"/>
            <rFont val="Tahoma"/>
            <family val="2"/>
          </rPr>
          <t>Master Data:</t>
        </r>
        <r>
          <rPr>
            <sz val="9"/>
            <color indexed="81"/>
            <rFont val="Tahoma"/>
            <family val="2"/>
          </rPr>
          <t xml:space="preserve">
Teniendo en cuenta los procesos logísticos de los operadores relacionados con ensamble, distancia de los puntos de entrega, conservación de la cadena de temperatura (frío y Caliente) y las temperaturas de consumo de los alimentos por parte de los beneficiarios, se hace trascendental la implementación de Fiambreras o loncheras térmicas tipo contenedor, ya que estas permiten una conservación de calor por mas tiempo. 
Así mismo se define que las IE en donde se operará a través de fiambreras, seran aquellos en donde la cantidad de cupos sea igual o inferior a 13 cupos y no tengan infraestructura para una preparación en sitio</t>
        </r>
      </text>
    </comment>
  </commentList>
</comments>
</file>

<file path=xl/sharedStrings.xml><?xml version="1.0" encoding="utf-8"?>
<sst xmlns="http://schemas.openxmlformats.org/spreadsheetml/2006/main" count="1347" uniqueCount="276">
  <si>
    <t>ESTUDIO DE COSTOS PARA PAE 2025</t>
  </si>
  <si>
    <t>CONSOLIDADO PERSONAL ADMINISTRATIVO Y TÉCNICO X GRUPOS</t>
  </si>
  <si>
    <t>CARGO</t>
  </si>
  <si>
    <t>SALARIO PRESTACIONAL</t>
  </si>
  <si>
    <t>COORDINADOR OPERATIVO</t>
  </si>
  <si>
    <t>INGENIERO DE ALIMENTOS</t>
  </si>
  <si>
    <t>CONTADOR</t>
  </si>
  <si>
    <t>ADMINISTRATIVOS</t>
  </si>
  <si>
    <t>SUPERVISORES DE PUNTO</t>
  </si>
  <si>
    <t>SUPERVISORES DE PS</t>
  </si>
  <si>
    <t>GRUPO I</t>
  </si>
  <si>
    <t>PERSONAL</t>
  </si>
  <si>
    <t>CANTIDAD RI</t>
  </si>
  <si>
    <t>CANTIDAD CCT</t>
  </si>
  <si>
    <t>TOTAL</t>
  </si>
  <si>
    <t>TOTAL MENSUAL</t>
  </si>
  <si>
    <t>COSTO UNITARIO RI</t>
  </si>
  <si>
    <t>COSTO UNITARIO CCT</t>
  </si>
  <si>
    <t>GRUPO 2</t>
  </si>
  <si>
    <t>GRUPO 3</t>
  </si>
  <si>
    <t>GRUPO 4</t>
  </si>
  <si>
    <t>CONSOLIDADO PERSONAL MANIPULADOR X GRUPOS</t>
  </si>
  <si>
    <t>MANIPULADOR PLANTA</t>
  </si>
  <si>
    <t>MANIPULADOR PUNTO DE SERVIDO</t>
  </si>
  <si>
    <t>PERSONAL ASISTENCIA CAE</t>
  </si>
  <si>
    <t>SUPERVISOR</t>
  </si>
  <si>
    <t>TIEMPO COMPLETO</t>
  </si>
  <si>
    <t>COORDINADORES</t>
  </si>
  <si>
    <t xml:space="preserve">ADMINISTRATIVOS </t>
  </si>
  <si>
    <t>MANIPULADOR PLANTA/PS</t>
  </si>
  <si>
    <t>MANIPULADOR PUNTO</t>
  </si>
  <si>
    <t xml:space="preserve">MEDIO TIEMPO </t>
  </si>
  <si>
    <t>ASISTENCIA CAE</t>
  </si>
  <si>
    <t>DIA</t>
  </si>
  <si>
    <t>SALARIO</t>
  </si>
  <si>
    <t>Subsidio de Transporte</t>
  </si>
  <si>
    <t>SALUD</t>
  </si>
  <si>
    <t>PENSION</t>
  </si>
  <si>
    <t>ARL</t>
  </si>
  <si>
    <t>CESANTIAS</t>
  </si>
  <si>
    <t>INTERESES CESANTIAS</t>
  </si>
  <si>
    <t>PRIMA</t>
  </si>
  <si>
    <t>VACACIONES</t>
  </si>
  <si>
    <t>PARAFISCALES</t>
  </si>
  <si>
    <t>Dotación /3 al año</t>
  </si>
  <si>
    <t xml:space="preserve">Subtotal </t>
  </si>
  <si>
    <t>SMMLV 2024</t>
  </si>
  <si>
    <t>SMMLV 2025</t>
  </si>
  <si>
    <t>Incremento Proyectado</t>
  </si>
  <si>
    <t>CUPOS</t>
  </si>
  <si>
    <t>DÍAS DE OPERACIÓN</t>
  </si>
  <si>
    <t>MANIPULADORAS</t>
  </si>
  <si>
    <t>DIARIO</t>
  </si>
  <si>
    <t>MES</t>
  </si>
  <si>
    <t>PUNTO RI</t>
  </si>
  <si>
    <t xml:space="preserve">MES </t>
  </si>
  <si>
    <t>EJECUCIÓN TOTAL</t>
  </si>
  <si>
    <t>PLANTA</t>
  </si>
  <si>
    <t>TOTAL MANIPU</t>
  </si>
  <si>
    <t>Cantidad de IE</t>
  </si>
  <si>
    <t>INSTITUCION EDUCATIVA</t>
  </si>
  <si>
    <t xml:space="preserve">TIPO DE SERVICIO </t>
  </si>
  <si>
    <t>JORNADA ÚNICA</t>
  </si>
  <si>
    <t>ASIGNACIÓN</t>
  </si>
  <si>
    <t>MANIPULADORAS DE PUNTO</t>
  </si>
  <si>
    <t>I.E CENTENARIO</t>
  </si>
  <si>
    <t xml:space="preserve">INDUSTRIALIZADO </t>
  </si>
  <si>
    <t>NO</t>
  </si>
  <si>
    <t xml:space="preserve">I.E MATECAÑA </t>
  </si>
  <si>
    <t>I.E LA BOYACA</t>
  </si>
  <si>
    <t>I.E RAFAEL URIBE URIBE</t>
  </si>
  <si>
    <t>I.E LA INMACULADA</t>
  </si>
  <si>
    <t>I.E HECTOR ANGEL ARCILA sede FRANCISCO MIRANDA</t>
  </si>
  <si>
    <t>I.E HECTOR ANGEL ARCILA sede VILLA ALVAREZ</t>
  </si>
  <si>
    <t>I.E HECTOR ANGEL ARCILA sede   C.E SAN JOSE DE OTUN</t>
  </si>
  <si>
    <t>I.E HECTOR ANGEL ARCILA sede   C.E CLUB LEONES 30 AGOSTO</t>
  </si>
  <si>
    <t>I.E HECTOR ANGEL ARCILA sede   C.E EL PORVENIR</t>
  </si>
  <si>
    <t>I.E HECTOR ANGEL ARCILA sede   C.E PLAN EL MANZANO</t>
  </si>
  <si>
    <t>I.E HECTOR ANGEL ARCILA sede LA SUIZA</t>
  </si>
  <si>
    <t>I.E AUGUSTO ZULUAGA</t>
  </si>
  <si>
    <t>I.E ESCUELA DE LA PALABRA sede SAN JUAN</t>
  </si>
  <si>
    <t xml:space="preserve">I.E JORGE ELIECER GAITÁN sede AMERICA MIXTA </t>
  </si>
  <si>
    <t>I.E JESUS BUENA  ESPERANZA sede LAS PALMAS</t>
  </si>
  <si>
    <t>I.E RAFAEL URIBE URIBE sede PRIMERO DE MAYO</t>
  </si>
  <si>
    <t>I.E NORMAL SUPERIOR - EL JARDIN sede LICEO AMERICAS</t>
  </si>
  <si>
    <t>I.E CIUDAD BOQUIA</t>
  </si>
  <si>
    <t>I.E SAN JOAQUIN</t>
  </si>
  <si>
    <t>I.E SOFIA HERNANDEZ</t>
  </si>
  <si>
    <t>I.E ALFONSO JARAMILLO GUTIERREZ sede GUAYACANES</t>
  </si>
  <si>
    <t>I.E CARLOS EDUARDO VASCO sede PERLA DEL SUR</t>
  </si>
  <si>
    <t>I.E HANS DREWS ARANGO  sede LA UNION</t>
  </si>
  <si>
    <t>I.E CARLOS EDUARDO  VASCO</t>
  </si>
  <si>
    <t>I.E CARLOS EDUARDO VASCO sede C.E ESPERANZA PLANES</t>
  </si>
  <si>
    <t>I.E CIUDADELA CUBA</t>
  </si>
  <si>
    <t>I.E CIUDADELA CUBA sede NARANJITO</t>
  </si>
  <si>
    <t>I.E EL DORADO</t>
  </si>
  <si>
    <t>I.E BYRON GAVIRIA</t>
  </si>
  <si>
    <t>I.E LUIS CARLOS GONZALEZ</t>
  </si>
  <si>
    <t>I.E REMIGIO ANTONIO CAÑARTE</t>
  </si>
  <si>
    <t>I.E REMIGIO ANTONIO CAÑARTE sede EL POBLADO</t>
  </si>
  <si>
    <t>I.E REMIGIO ANTONIO CAÑARTE sede SAMARIA</t>
  </si>
  <si>
    <t>I.E HERNANDO VELEZ MARULANDA</t>
  </si>
  <si>
    <t>I.E HERNANDO VELEZ MARULANDA sede GENERAL MOSQUERA</t>
  </si>
  <si>
    <t>I.E INSTITUTO LESTONNAC</t>
  </si>
  <si>
    <t>I.E RODRIGO ARENAS BETANCURT</t>
  </si>
  <si>
    <t>SI</t>
  </si>
  <si>
    <t xml:space="preserve">I.E SAN VICENTE HOGAR </t>
  </si>
  <si>
    <t xml:space="preserve">NO </t>
  </si>
  <si>
    <t>I.E HANS DREWS ARANGO</t>
  </si>
  <si>
    <t>I.E HANS DREWS ARANGO  sede  C.E SANTA TERESITA</t>
  </si>
  <si>
    <t xml:space="preserve">CUPOS DISTRIBUCIÓN EMERGENCIA O AUMENTO COBERTURA </t>
  </si>
  <si>
    <t>SUBTOTAL</t>
  </si>
  <si>
    <t>PUNTO CCT</t>
  </si>
  <si>
    <t>PUNTO PS</t>
  </si>
  <si>
    <t xml:space="preserve">ASIGNACIÓN ALMUERZO </t>
  </si>
  <si>
    <t>FIAMBRERA</t>
  </si>
  <si>
    <t>I.E INEM FELIPE PEREZ</t>
  </si>
  <si>
    <t xml:space="preserve">PREPARADO EN SITIIO </t>
  </si>
  <si>
    <t>I.E COMBIA</t>
  </si>
  <si>
    <t xml:space="preserve">CATERING </t>
  </si>
  <si>
    <t>I.E COMBIA sede  C.E CLARET - LA BODEGA</t>
  </si>
  <si>
    <t>X</t>
  </si>
  <si>
    <t>I.E COMBIA sede  C.E EL POMO</t>
  </si>
  <si>
    <t>I.E COMBIA sede  C.E LA HONDA</t>
  </si>
  <si>
    <t xml:space="preserve">I.E COMBIA sede  C.E LA RENTA </t>
  </si>
  <si>
    <t>I.E COMBIA sede  C.E LA SIRIA</t>
  </si>
  <si>
    <t>I.E COMBIA sede  C.E LA SUECIA</t>
  </si>
  <si>
    <t>I.E COMBIA sede  C.E SAN MARINO</t>
  </si>
  <si>
    <t>I.E COMBIA sede  C.E SANTANDER</t>
  </si>
  <si>
    <t>I.E COMBIA sede EL PLACER</t>
  </si>
  <si>
    <t>I.E EL PITAL</t>
  </si>
  <si>
    <t>I.E EL PITAL sede C.E AMOLADORA BAJA</t>
  </si>
  <si>
    <t>I.E EL PITAL sede C.E EL JORDAN</t>
  </si>
  <si>
    <t>I.E EL PITAL sede C.E LA ESPERANZA</t>
  </si>
  <si>
    <t>I.E EL PITAL sede C.E MINA DEL SOCORRO</t>
  </si>
  <si>
    <t>I.E EL PITAL sede CORCEGA - Malaga</t>
  </si>
  <si>
    <t>I.E EL PITAL Sede LLANO GRANDE</t>
  </si>
  <si>
    <t>I.E GUILLERMO HOYOS SALAZAR</t>
  </si>
  <si>
    <t>I.E GUILLERMO HOYOS SALAZAR sede C.E AMOLADORA ALTA</t>
  </si>
  <si>
    <t>I.E GUILLERMO HOYOS SALAZAR sede C.E MARACAIBO</t>
  </si>
  <si>
    <t xml:space="preserve">PREPARADO EN SITIO </t>
  </si>
  <si>
    <t>I.E GUILLERMO HOYOS SALAZAR sede C.E SAN VICENTE</t>
  </si>
  <si>
    <t>I.E GUILLERMO HOYOS SALAZAR sede La Convención</t>
  </si>
  <si>
    <t>I.E GUILLERMO HOYOS SALAZAR sede SAN LUIS</t>
  </si>
  <si>
    <t>I.E SAN FERNANDO</t>
  </si>
  <si>
    <t>I.E JORGE ELIECER GAITAN</t>
  </si>
  <si>
    <t>I.E CIUDAD BOQUIA sede 2</t>
  </si>
  <si>
    <t>I.E PABLO EMILIO CARDONA</t>
  </si>
  <si>
    <t>I.E LENINGRADO</t>
  </si>
  <si>
    <t xml:space="preserve">TOTAL </t>
  </si>
  <si>
    <t>I.E MANOS UNIDAS sede El Remanso</t>
  </si>
  <si>
    <t>INDUSTRIALIZADO</t>
  </si>
  <si>
    <t>I.E AQUILINO BEDOYA</t>
  </si>
  <si>
    <t xml:space="preserve">I.E JAIME SALAZAR ROBLEDO </t>
  </si>
  <si>
    <t>I.E VILLA SANTANA</t>
  </si>
  <si>
    <t>I.E SUR ORIENTAL</t>
  </si>
  <si>
    <t xml:space="preserve">I.E COMPARTIR LAS BRISAS </t>
  </si>
  <si>
    <t>I.E MANOS UNIDAS</t>
  </si>
  <si>
    <t>I.E LA BELLA sede LA CACHUCHA</t>
  </si>
  <si>
    <t>I.E KENNEDY</t>
  </si>
  <si>
    <t>I.E MUNDO NUEVO</t>
  </si>
  <si>
    <t>I.E SUR ORIENTAL sede GUSTAVO A. GARRIDO</t>
  </si>
  <si>
    <t>I.E DEOGRACIAS CARDONA</t>
  </si>
  <si>
    <t>I.E HECTOR ANGEL ARCILA</t>
  </si>
  <si>
    <t>I.E LA BELLA</t>
  </si>
  <si>
    <t>I.E DEOGRACIAS CARDONA sede CAMILO TORRES</t>
  </si>
  <si>
    <t>I.E DEOGRACIAS CARDONA sede LA DULCERA</t>
  </si>
  <si>
    <t>I.E COMPARTIR LAS BRISAS SEDE ANA ARANGO DE URIBE</t>
  </si>
  <si>
    <t>I.E MANOS UNIDAS sede C.E EL CHOCHO</t>
  </si>
  <si>
    <t>I.E LA BELLA sede CONSOTA ARRIBA</t>
  </si>
  <si>
    <t>I.E LA BELLA sede EL RINCON</t>
  </si>
  <si>
    <t>I.E LA BELLA sede LA COLONIA</t>
  </si>
  <si>
    <t xml:space="preserve">I.E LA BELLA sede LAS DELICIAS </t>
  </si>
  <si>
    <t>I.E KENNEDY sede MANUELITA SAENZ</t>
  </si>
  <si>
    <t xml:space="preserve">I.E SALAMANCA </t>
  </si>
  <si>
    <t>I.E GABRIEL TRUJILLO</t>
  </si>
  <si>
    <t>I.E JOSE ANTONIO GALAN</t>
  </si>
  <si>
    <t>I.E CARLOS CASTRO SAAVEDRA</t>
  </si>
  <si>
    <t>I.E MATECAÑA sede LA LIBERTAD</t>
  </si>
  <si>
    <t>I.E GONZALO MEJIA ECHEVERRY</t>
  </si>
  <si>
    <t>C.E 30 DE AGOSTO</t>
  </si>
  <si>
    <t>I.E MARIA DOLOROSA</t>
  </si>
  <si>
    <t>C.E ENRIQUE MILLAN RUBIO</t>
  </si>
  <si>
    <t>I.E ALFONSO JARAMILLO GUTIERREZ</t>
  </si>
  <si>
    <t>C.E LA CARBONERA</t>
  </si>
  <si>
    <t>I.E LA JULITA sede PROVIDENCIA</t>
  </si>
  <si>
    <t>I.E GONZALO MEJIA ECHEVERRY Sede NUCLEO ESCOLAR ALTAGRACIA</t>
  </si>
  <si>
    <t>I.E SAN FRANCISCO DE ASIS</t>
  </si>
  <si>
    <t>I.E ALFONSO JARAMILLO sede LA VILLA</t>
  </si>
  <si>
    <t>I.E LA JULITA</t>
  </si>
  <si>
    <t>C.E ESPERANZA GALICIA</t>
  </si>
  <si>
    <t>I.E SAN NICOLAS</t>
  </si>
  <si>
    <t xml:space="preserve">I.E COMUNITARIO CERRITOS </t>
  </si>
  <si>
    <t>I.E GABRIEL TRUJILLO sede AZUFRAL</t>
  </si>
  <si>
    <t>I.E SAN FRANCISCO DE ASIS sede ARABIA</t>
  </si>
  <si>
    <t>I.E SAN FRANCISCO DE ASIS sede C.E BETULIA ALTA</t>
  </si>
  <si>
    <t>I.E SAN FRANCISCO DE ASIS sede C.E MIRALINDO</t>
  </si>
  <si>
    <t>I.E SAN FRANCISCO DE ASIS sede C.E PEREZ</t>
  </si>
  <si>
    <t>I.E SAN FRANCISCO DE ASIS sede C.E SAN CARLOS</t>
  </si>
  <si>
    <t>I.E SAN FRANCISCO DE ASIS sede C.E TRES ESQUINAS</t>
  </si>
  <si>
    <t>I.E SAN FRANCISCO DE ASIS sede C.E YARUMAL</t>
  </si>
  <si>
    <t>I.E SAN FRANCISCO DE ASIS sede JOSE DOMINGO ESCOBAR</t>
  </si>
  <si>
    <t>I.E JOSE ANTONIO GALAN Sede C.E TRIBUNAS</t>
  </si>
  <si>
    <t>I.E JOSE ANTONIO GALAN Sede C.E ALTO ALEGRIAS</t>
  </si>
  <si>
    <t>I.E JOSE ANTONIO GALAN Sede C.E MONTELARGO</t>
  </si>
  <si>
    <t>I.E JOSE ANTONIO GALAN Sede C.E CONDINA</t>
  </si>
  <si>
    <t>I.E JOSE ANTONIO GALAN Sede C.E EL MANZANO</t>
  </si>
  <si>
    <t xml:space="preserve">I.E JOSE ANTONIO GALAN Sede C.E GABRIELA ZULETA </t>
  </si>
  <si>
    <t>I.E JOSE ANTONIO GALAN Sede C.E HUERTAS</t>
  </si>
  <si>
    <t>I.E JOSE ANTONIO GALAN Sede C.E LA GRAMINEA</t>
  </si>
  <si>
    <t>I.E JOSE ANTONIO GALAN Sede C.E YARUMITO</t>
  </si>
  <si>
    <t>I.E JOSE ANTONIO GALAN Sede C.E CANTAMONOS</t>
  </si>
  <si>
    <t>I.E JOSE ANTONIO GALAN sede EL JORDAN</t>
  </si>
  <si>
    <t>I.E JOSE ANTONIO GALAN Sede GUAYABAL</t>
  </si>
  <si>
    <t>I.E JOSE ANTONIO GALAN sede LAGUNETA</t>
  </si>
  <si>
    <t>I.E JOSE ANTONIO GALAN sede MARCO TULIO OSPINA</t>
  </si>
  <si>
    <t>I.E JOSE ANTONIO GALAN sedeGUAYABO - GUADALAGARA</t>
  </si>
  <si>
    <t>I.E GONZALO MEJIA ECHEVERRY Sede C.E CAÑAVERAL</t>
  </si>
  <si>
    <t>I.E GONZALO MEJIA ECHEVERRY Sede C.E EL AGRADO</t>
  </si>
  <si>
    <t>I.E GONZALO MEJIA ECHEVERRY Sede C.E EL JAZMIN</t>
  </si>
  <si>
    <t>I.E GONZALO MEJIA ECHEVERRY Sede C.E FILO BONITO</t>
  </si>
  <si>
    <t>I.E GONZALO MEJIA ECHEVERRY Sede C.E GUADUALITO</t>
  </si>
  <si>
    <t>C.E MARIA CRISTINA GOMEZ</t>
  </si>
  <si>
    <t>I.E COMUNITARIO CERRITOS sede C.E EL CAUQUILLO</t>
  </si>
  <si>
    <t>I.E COMUNITARIO CERRITOS sede C.E EL TIGRE</t>
  </si>
  <si>
    <t>I.E COMUNITARIO CERRITOS sede CORAZON DE JESUS</t>
  </si>
  <si>
    <t>C.E PUERTO CALDAS</t>
  </si>
  <si>
    <t>I.E LA JULITA sede MARCO FIDEL SUAREZ</t>
  </si>
  <si>
    <t>I.E DIEGO MAYA SALAZAR</t>
  </si>
  <si>
    <t>I.E HUGO ÁNGEL JARAMILLO</t>
  </si>
  <si>
    <t>I.E ALFREDO GARCIA</t>
  </si>
  <si>
    <t>I.E JESUS MARIA ORMAZA</t>
  </si>
  <si>
    <t>I.E FRANCISCO DE PAULA SANTANDER</t>
  </si>
  <si>
    <t>I.E JUAN XXIII</t>
  </si>
  <si>
    <t>I.E CARLOTA SANCHEZ</t>
  </si>
  <si>
    <t>I.E NORMAL SUPERIOR - EL JARDIN</t>
  </si>
  <si>
    <t>I.E ESCUELA DE LA PALABRA</t>
  </si>
  <si>
    <t>I.E JESUS BUENA  ESPERANZA</t>
  </si>
  <si>
    <t>I.E LA PALMILLA</t>
  </si>
  <si>
    <t>I.E EL RETIRO</t>
  </si>
  <si>
    <t>C.E SAN ANTONIO DE PADUA</t>
  </si>
  <si>
    <t>I.E LA PALMILLA sede C.E BUENOS AIRES</t>
  </si>
  <si>
    <t>I.E LA PALMILLA sede C.E EL GURRIO</t>
  </si>
  <si>
    <t>I.E LA PALMILLA sede C.E LA MERCED</t>
  </si>
  <si>
    <t>I.E LA PALMILLA sede BETULIA BAJA</t>
  </si>
  <si>
    <t>I.E EL RETIRO Sede  C.E ERNESTO GUTIERREZ</t>
  </si>
  <si>
    <t>I.E EL RETIRO Sede  C.E LA SELVA</t>
  </si>
  <si>
    <t>I.E EL RETIRO Sede  C.E NUBIOLA ESTRADA DE VINASCO</t>
  </si>
  <si>
    <t>I.E EL RETIRO Sede LA BAMBA</t>
  </si>
  <si>
    <t>I.E HANS DREWS ARANGO Sede EL CONGOLO</t>
  </si>
  <si>
    <t>CCT</t>
  </si>
  <si>
    <t>PERSONAL MANIPULADOR - PLANTA - PS</t>
  </si>
  <si>
    <t>PERSONAL MANIPULADOR - DISTRIBUCIÓN</t>
  </si>
  <si>
    <t>CANTIDAD</t>
  </si>
  <si>
    <t>SALARIO MENSUAL</t>
  </si>
  <si>
    <t>SALARIO MENSUAL / MEDIO TIEMPO</t>
  </si>
  <si>
    <t>PUNTO DE SERVIDO</t>
  </si>
  <si>
    <t>PARTICIPACIÓN CAE</t>
  </si>
  <si>
    <t>COSTO UNITARIO</t>
  </si>
  <si>
    <t>RI</t>
  </si>
  <si>
    <t>PERSONAL MANIPULADOR - PLANTA</t>
  </si>
  <si>
    <t>PERSONAL ADMINISTRATIVO R.I.</t>
  </si>
  <si>
    <t>SUPERVISORES PREPARADO EN SITIO</t>
  </si>
  <si>
    <t>TOTAL SALARIOS MES</t>
  </si>
  <si>
    <t>PERSONAL ADMINISTRATIVO C.C.T.</t>
  </si>
  <si>
    <t>PREPARADO EN SITIO</t>
  </si>
  <si>
    <t>REPARADO EN SITIO</t>
  </si>
  <si>
    <t>CATERING</t>
  </si>
  <si>
    <t>Clase de riesgo</t>
  </si>
  <si>
    <t>Valor inicial</t>
  </si>
  <si>
    <t>I</t>
  </si>
  <si>
    <t>II</t>
  </si>
  <si>
    <t>III</t>
  </si>
  <si>
    <t>IV</t>
  </si>
  <si>
    <t>V</t>
  </si>
  <si>
    <t>Taza de Cotización ARL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</si>
</sst>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1" formatCode="_-* #,##0_-;\-* #,##0_-;_-* &quot;-&quot;_-;_-@_-"/>
    <numFmt numFmtId="43" formatCode="_-* #,##0.00_-;\-* #,##0.00_-;_-* &quot;-&quot;??_-;_-@_-"/>
    <numFmt numFmtId="164" formatCode="&quot;$&quot;\ #,##0;[Red]\-&quot;$&quot;\ #,##0"/>
    <numFmt numFmtId="165" formatCode="_-&quot;$&quot;\ * #,##0.00_-;\-&quot;$&quot;\ * #,##0.00_-;_-&quot;$&quot;\ * &quot;-&quot;??_-;_-@_-"/>
    <numFmt numFmtId="166" formatCode="_-&quot;$&quot;* #,##0_-;\-&quot;$&quot;* #,##0_-;_-&quot;$&quot;* &quot;-&quot;??_-;_-@_-"/>
    <numFmt numFmtId="167" formatCode="_-&quot;$&quot;\ * #,##0_-;\-&quot;$&quot;\ * #,##0_-;_-&quot;$&quot;\ * &quot;-&quot;??_-;_-@_-"/>
    <numFmt numFmtId="168" formatCode="_(* #,##0.00_);_(* \(#,##0.00\);_(* &quot;-&quot;??_);_(@_)"/>
    <numFmt numFmtId="169" formatCode="_-* #,##0_-;\-* #,##0_-;_-* &quot;-&quot;??_-;_-@_-"/>
    <numFmt numFmtId="170" formatCode="_(* #,##0_);_(* \(#,##0\);_(* &quot;-&quot;??_);_(@_)"/>
    <numFmt numFmtId="171" formatCode="0.0%"/>
    <numFmt numFmtId="172" formatCode="0.0000%"/>
  </numFmts>
  <fonts count="34">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sz val="10"/>
      <name val="Arial"/>
      <family val="2"/>
    </font>
    <font>
      <sz val="10"/>
      <name val="Zurich BT"/>
      <family val="2"/>
    </font>
    <font>
      <b/>
      <sz val="12"/>
      <color theme="1"/>
      <name val="Arial"/>
      <family val="2"/>
    </font>
    <font>
      <sz val="11"/>
      <color theme="0"/>
      <name val="Calibri"/>
      <family val="2"/>
      <scheme val="minor"/>
    </font>
    <font>
      <sz val="9"/>
      <color indexed="81"/>
      <name val="Tahoma"/>
      <family val="2"/>
    </font>
    <font>
      <b/>
      <sz val="9"/>
      <color indexed="81"/>
      <name val="Tahoma"/>
      <family val="2"/>
    </font>
    <font>
      <b/>
      <sz val="9"/>
      <name val="Arial"/>
      <family val="2"/>
    </font>
    <font>
      <sz val="11"/>
      <color theme="1"/>
      <name val="Arial"/>
      <family val="2"/>
    </font>
    <font>
      <sz val="10"/>
      <color theme="1"/>
      <name val="Arial"/>
      <family val="2"/>
    </font>
    <font>
      <sz val="8"/>
      <name val="Calibri"/>
      <family val="2"/>
      <scheme val="minor"/>
    </font>
    <font>
      <b/>
      <sz val="11"/>
      <color theme="1"/>
      <name val="Arial"/>
      <family val="2"/>
    </font>
    <font>
      <b/>
      <sz val="14"/>
      <name val="Arial"/>
      <family val="2"/>
    </font>
    <font>
      <b/>
      <sz val="16"/>
      <name val="Calibri"/>
      <family val="2"/>
      <scheme val="minor"/>
    </font>
    <font>
      <b/>
      <sz val="14"/>
      <name val="Calibri"/>
      <family val="2"/>
      <scheme val="minor"/>
    </font>
    <font>
      <b/>
      <sz val="11"/>
      <name val="Calibri"/>
      <family val="2"/>
      <scheme val="minor"/>
    </font>
    <font>
      <sz val="11"/>
      <name val="Calibri"/>
      <family val="2"/>
      <scheme val="minor"/>
    </font>
    <font>
      <sz val="11"/>
      <color rgb="FF000000"/>
      <name val="Arial"/>
      <family val="2"/>
    </font>
    <font>
      <sz val="11"/>
      <name val="Arial"/>
      <family val="2"/>
    </font>
    <font>
      <sz val="9"/>
      <color rgb="FF000000"/>
      <name val="Arial"/>
      <family val="2"/>
    </font>
    <font>
      <sz val="9"/>
      <color theme="1"/>
      <name val="Arial"/>
      <family val="2"/>
    </font>
    <font>
      <b/>
      <sz val="11"/>
      <name val="Arial"/>
      <family val="2"/>
    </font>
    <font>
      <b/>
      <sz val="8"/>
      <name val="Calibri"/>
      <family val="2"/>
      <scheme val="minor"/>
    </font>
    <font>
      <sz val="12"/>
      <color theme="1"/>
      <name val="Calibri Light"/>
      <family val="2"/>
      <scheme val="major"/>
    </font>
    <font>
      <b/>
      <sz val="16"/>
      <color theme="1"/>
      <name val="Calibri"/>
      <family val="2"/>
      <scheme val="minor"/>
    </font>
    <font>
      <sz val="14"/>
      <color theme="1"/>
      <name val="Calibri"/>
      <family val="2"/>
      <scheme val="minor"/>
    </font>
    <font>
      <sz val="12"/>
      <name val="Calibri"/>
      <family val="2"/>
      <scheme val="minor"/>
    </font>
    <font>
      <sz val="12"/>
      <color theme="1"/>
      <name val="Calibri"/>
      <family val="2"/>
      <scheme val="minor"/>
    </font>
    <font>
      <b/>
      <sz val="12"/>
      <name val="Calibri"/>
      <family val="2"/>
      <scheme val="minor"/>
    </font>
    <font>
      <sz val="11"/>
      <color rgb="FFFF0000"/>
      <name val="Arial"/>
      <family val="2"/>
    </font>
  </fonts>
  <fills count="7">
    <fill>
      <patternFill patternType="none"/>
    </fill>
    <fill>
      <patternFill patternType="gray125"/>
    </fill>
    <fill>
      <patternFill patternType="solid">
        <fgColor theme="6"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8">
    <xf numFmtId="0" fontId="0" fillId="0" borderId="0"/>
    <xf numFmtId="165" fontId="1" fillId="0" borderId="0" applyFont="0" applyFill="0" applyBorder="0" applyAlignment="0" applyProtection="0"/>
    <xf numFmtId="0" fontId="5" fillId="0" borderId="0"/>
    <xf numFmtId="168" fontId="1" fillId="0" borderId="0" applyFont="0" applyFill="0" applyBorder="0" applyAlignment="0" applyProtection="0"/>
    <xf numFmtId="9"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cellStyleXfs>
  <cellXfs count="200">
    <xf numFmtId="0" fontId="0" fillId="0" borderId="0" xfId="0"/>
    <xf numFmtId="0" fontId="0" fillId="0" borderId="0" xfId="0" applyAlignment="1">
      <alignment horizontal="center" vertical="center"/>
    </xf>
    <xf numFmtId="166" fontId="1" fillId="0" borderId="1" xfId="1" applyNumberFormat="1" applyFont="1" applyBorder="1" applyAlignment="1">
      <alignment horizontal="center" vertical="center" wrapText="1"/>
    </xf>
    <xf numFmtId="1" fontId="0" fillId="0" borderId="1" xfId="0" applyNumberFormat="1" applyBorder="1" applyAlignment="1">
      <alignment horizontal="center" vertical="center" wrapText="1"/>
    </xf>
    <xf numFmtId="166" fontId="2" fillId="0" borderId="1" xfId="1" applyNumberFormat="1" applyFont="1" applyBorder="1" applyAlignment="1">
      <alignment horizontal="center" vertical="center" wrapText="1"/>
    </xf>
    <xf numFmtId="167" fontId="4" fillId="2" borderId="1" xfId="1" applyNumberFormat="1" applyFont="1" applyFill="1" applyBorder="1" applyAlignment="1">
      <alignment horizontal="center" vertical="center" wrapText="1"/>
    </xf>
    <xf numFmtId="0" fontId="0" fillId="0" borderId="0" xfId="0" applyAlignment="1">
      <alignment vertical="center"/>
    </xf>
    <xf numFmtId="0" fontId="0" fillId="0" borderId="1" xfId="0" applyBorder="1" applyAlignment="1">
      <alignment horizontal="center"/>
    </xf>
    <xf numFmtId="167" fontId="0" fillId="0" borderId="1" xfId="1" applyNumberFormat="1" applyFont="1" applyBorder="1" applyAlignment="1">
      <alignment horizontal="center"/>
    </xf>
    <xf numFmtId="167" fontId="0" fillId="0" borderId="1" xfId="1" applyNumberFormat="1" applyFont="1" applyFill="1" applyBorder="1" applyAlignment="1">
      <alignment vertical="center"/>
    </xf>
    <xf numFmtId="165" fontId="0" fillId="0" borderId="1" xfId="1" applyFont="1" applyBorder="1" applyAlignment="1">
      <alignment vertical="center"/>
    </xf>
    <xf numFmtId="165" fontId="0" fillId="0" borderId="0" xfId="0" applyNumberFormat="1" applyAlignment="1">
      <alignment vertical="center"/>
    </xf>
    <xf numFmtId="167" fontId="0" fillId="0" borderId="1" xfId="1" applyNumberFormat="1" applyFont="1" applyBorder="1" applyAlignment="1">
      <alignment vertical="center"/>
    </xf>
    <xf numFmtId="167" fontId="0" fillId="0" borderId="0" xfId="0" applyNumberFormat="1" applyAlignment="1">
      <alignment vertical="center"/>
    </xf>
    <xf numFmtId="0" fontId="0" fillId="0" borderId="5" xfId="0" applyBorder="1" applyAlignment="1">
      <alignment horizontal="center" vertical="center"/>
    </xf>
    <xf numFmtId="0" fontId="0" fillId="0" borderId="1" xfId="0" applyBorder="1" applyAlignment="1">
      <alignment horizontal="center" vertical="center"/>
    </xf>
    <xf numFmtId="167" fontId="4" fillId="0" borderId="1" xfId="1" applyNumberFormat="1" applyFont="1" applyFill="1" applyBorder="1" applyAlignment="1">
      <alignment horizontal="center" vertical="center" wrapText="1"/>
    </xf>
    <xf numFmtId="0" fontId="2" fillId="0" borderId="0" xfId="0" applyFont="1" applyAlignment="1">
      <alignment horizontal="center" vertical="center"/>
    </xf>
    <xf numFmtId="167" fontId="2" fillId="0" borderId="0" xfId="0" applyNumberFormat="1" applyFont="1" applyAlignment="1">
      <alignment horizontal="center" vertical="center"/>
    </xf>
    <xf numFmtId="164" fontId="0" fillId="0" borderId="1" xfId="0" applyNumberFormat="1" applyBorder="1" applyAlignment="1">
      <alignment horizontal="center" vertical="center"/>
    </xf>
    <xf numFmtId="1" fontId="0" fillId="0" borderId="5" xfId="0" applyNumberFormat="1" applyBorder="1" applyAlignment="1">
      <alignment horizontal="center" vertical="center"/>
    </xf>
    <xf numFmtId="1" fontId="0" fillId="0" borderId="1" xfId="0" applyNumberFormat="1" applyBorder="1" applyAlignment="1">
      <alignment horizontal="center" vertical="center"/>
    </xf>
    <xf numFmtId="0" fontId="11" fillId="2" borderId="4"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2" fillId="0" borderId="1" xfId="0" applyFont="1" applyBorder="1" applyAlignment="1">
      <alignment horizontal="left"/>
    </xf>
    <xf numFmtId="0" fontId="13" fillId="0" borderId="1" xfId="0" applyFont="1" applyBorder="1" applyAlignment="1">
      <alignment horizontal="center" vertical="center" wrapText="1"/>
    </xf>
    <xf numFmtId="0" fontId="12" fillId="0" borderId="1" xfId="0" applyFont="1" applyBorder="1" applyAlignment="1">
      <alignment horizontal="center" wrapText="1"/>
    </xf>
    <xf numFmtId="0" fontId="12" fillId="0" borderId="1" xfId="0" applyFont="1" applyBorder="1" applyAlignment="1">
      <alignment horizontal="center"/>
    </xf>
    <xf numFmtId="0" fontId="14" fillId="0" borderId="1" xfId="0" applyFont="1" applyBorder="1" applyAlignment="1">
      <alignment horizontal="center"/>
    </xf>
    <xf numFmtId="169" fontId="16" fillId="0" borderId="1" xfId="5" applyNumberFormat="1" applyFont="1" applyFill="1" applyBorder="1" applyAlignment="1">
      <alignment horizontal="center"/>
    </xf>
    <xf numFmtId="169" fontId="16" fillId="0" borderId="1" xfId="5" applyNumberFormat="1" applyFont="1" applyFill="1" applyBorder="1" applyAlignment="1">
      <alignment horizontal="right"/>
    </xf>
    <xf numFmtId="0" fontId="18" fillId="0" borderId="1" xfId="0" applyFont="1" applyBorder="1"/>
    <xf numFmtId="169" fontId="18" fillId="0" borderId="1" xfId="0" applyNumberFormat="1" applyFont="1" applyBorder="1"/>
    <xf numFmtId="169" fontId="18" fillId="0" borderId="1" xfId="5" applyNumberFormat="1" applyFont="1" applyBorder="1"/>
    <xf numFmtId="0" fontId="19" fillId="0" borderId="1" xfId="0" applyFont="1" applyBorder="1" applyAlignment="1">
      <alignment horizontal="center" vertical="center" wrapText="1"/>
    </xf>
    <xf numFmtId="169" fontId="20" fillId="0" borderId="1" xfId="5" applyNumberFormat="1" applyFont="1" applyBorder="1" applyAlignment="1">
      <alignment horizontal="center" vertical="center" wrapText="1"/>
    </xf>
    <xf numFmtId="1" fontId="20" fillId="0" borderId="1" xfId="0" applyNumberFormat="1" applyFont="1" applyBorder="1" applyAlignment="1">
      <alignment horizontal="center" vertical="center" wrapText="1"/>
    </xf>
    <xf numFmtId="0" fontId="21" fillId="0" borderId="1" xfId="0" applyFont="1" applyBorder="1" applyAlignment="1">
      <alignment vertical="center"/>
    </xf>
    <xf numFmtId="0" fontId="12" fillId="0" borderId="1" xfId="0" applyFont="1" applyBorder="1" applyAlignment="1">
      <alignment horizontal="center" vertical="center"/>
    </xf>
    <xf numFmtId="0" fontId="22" fillId="0" borderId="2" xfId="0" applyFont="1" applyBorder="1" applyAlignment="1">
      <alignment horizontal="center"/>
    </xf>
    <xf numFmtId="0" fontId="21" fillId="0" borderId="1" xfId="0" applyFont="1" applyBorder="1" applyAlignment="1">
      <alignment horizontal="center" vertical="center"/>
    </xf>
    <xf numFmtId="0" fontId="23" fillId="0" borderId="1" xfId="0" applyFont="1" applyBorder="1" applyAlignment="1">
      <alignment vertical="center"/>
    </xf>
    <xf numFmtId="0" fontId="12" fillId="0" borderId="1" xfId="0" applyFont="1" applyBorder="1" applyAlignment="1">
      <alignment horizontal="left" vertical="center"/>
    </xf>
    <xf numFmtId="41" fontId="20" fillId="0" borderId="1" xfId="6" applyFont="1" applyBorder="1" applyAlignment="1">
      <alignment horizontal="center" vertical="center" wrapText="1"/>
    </xf>
    <xf numFmtId="0" fontId="22" fillId="0" borderId="2" xfId="0" applyFont="1" applyBorder="1" applyAlignment="1">
      <alignment horizontal="center"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0" fontId="26" fillId="0" borderId="1" xfId="0" applyFont="1" applyBorder="1" applyAlignment="1">
      <alignment horizontal="center"/>
    </xf>
    <xf numFmtId="0" fontId="24" fillId="0" borderId="1" xfId="0" applyFont="1" applyBorder="1" applyAlignment="1">
      <alignment horizontal="center" vertical="center" wrapText="1"/>
    </xf>
    <xf numFmtId="0" fontId="27" fillId="0" borderId="1" xfId="0" applyFont="1" applyBorder="1" applyAlignment="1">
      <alignment horizontal="center" wrapText="1"/>
    </xf>
    <xf numFmtId="0" fontId="12" fillId="0" borderId="6" xfId="0" applyFont="1" applyBorder="1" applyAlignment="1">
      <alignment horizontal="left"/>
    </xf>
    <xf numFmtId="0" fontId="12" fillId="0" borderId="6" xfId="0" applyFont="1" applyBorder="1" applyAlignment="1">
      <alignment horizontal="center"/>
    </xf>
    <xf numFmtId="0" fontId="12" fillId="0" borderId="4" xfId="0" applyFont="1" applyBorder="1" applyAlignment="1">
      <alignment horizontal="center" vertical="center" wrapText="1"/>
    </xf>
    <xf numFmtId="0" fontId="12" fillId="0" borderId="1" xfId="0" applyFont="1" applyBorder="1" applyAlignment="1">
      <alignment vertical="center"/>
    </xf>
    <xf numFmtId="0" fontId="12" fillId="0" borderId="1" xfId="0" applyFont="1" applyBorder="1" applyAlignment="1">
      <alignment vertical="center" wrapText="1"/>
    </xf>
    <xf numFmtId="0" fontId="12" fillId="0" borderId="1" xfId="0" applyFont="1" applyBorder="1"/>
    <xf numFmtId="0" fontId="12" fillId="0" borderId="8" xfId="0" applyFont="1" applyBorder="1" applyAlignment="1">
      <alignment horizontal="center"/>
    </xf>
    <xf numFmtId="0" fontId="12" fillId="0" borderId="4" xfId="0" applyFont="1" applyBorder="1" applyAlignment="1">
      <alignment horizontal="center"/>
    </xf>
    <xf numFmtId="0" fontId="12" fillId="0" borderId="1" xfId="0" applyFont="1" applyBorder="1" applyAlignment="1">
      <alignment wrapText="1"/>
    </xf>
    <xf numFmtId="0" fontId="8" fillId="0" borderId="0" xfId="0" applyFont="1" applyAlignment="1">
      <alignment horizontal="center" vertical="center"/>
    </xf>
    <xf numFmtId="41" fontId="20" fillId="0" borderId="1" xfId="6" applyFont="1" applyBorder="1" applyAlignment="1">
      <alignment vertical="center" wrapText="1"/>
    </xf>
    <xf numFmtId="1" fontId="20" fillId="0" borderId="1" xfId="0" applyNumberFormat="1" applyFont="1" applyBorder="1" applyAlignment="1">
      <alignment vertical="center" wrapText="1"/>
    </xf>
    <xf numFmtId="0" fontId="19" fillId="0" borderId="1" xfId="0" applyFont="1" applyBorder="1" applyAlignment="1">
      <alignment horizontal="center"/>
    </xf>
    <xf numFmtId="0" fontId="0" fillId="0" borderId="1" xfId="0" applyBorder="1" applyAlignment="1">
      <alignment horizontal="left" vertical="center" wrapText="1"/>
    </xf>
    <xf numFmtId="0" fontId="4" fillId="2" borderId="1" xfId="0" applyFont="1" applyFill="1" applyBorder="1" applyAlignment="1">
      <alignment horizontal="center" vertical="center" wrapText="1"/>
    </xf>
    <xf numFmtId="9" fontId="0" fillId="0" borderId="0" xfId="7" applyFont="1"/>
    <xf numFmtId="9" fontId="0" fillId="0" borderId="0" xfId="0" applyNumberFormat="1"/>
    <xf numFmtId="0" fontId="14" fillId="0" borderId="1" xfId="0" applyFont="1" applyBorder="1" applyAlignment="1">
      <alignment horizontal="center" vertical="center"/>
    </xf>
    <xf numFmtId="0" fontId="22" fillId="0" borderId="1" xfId="0" applyFont="1" applyBorder="1" applyAlignment="1">
      <alignment vertical="center" wrapText="1"/>
    </xf>
    <xf numFmtId="0" fontId="12" fillId="0" borderId="4" xfId="0" applyFont="1" applyBorder="1" applyAlignment="1">
      <alignment horizontal="center" wrapText="1"/>
    </xf>
    <xf numFmtId="0" fontId="18" fillId="0" borderId="1" xfId="0" applyFont="1" applyBorder="1" applyAlignment="1">
      <alignment vertical="center"/>
    </xf>
    <xf numFmtId="169" fontId="18" fillId="0" borderId="1" xfId="0" applyNumberFormat="1" applyFont="1" applyBorder="1" applyAlignment="1">
      <alignment vertical="center"/>
    </xf>
    <xf numFmtId="169" fontId="18" fillId="0" borderId="1" xfId="5" applyNumberFormat="1" applyFont="1" applyBorder="1" applyAlignment="1">
      <alignment vertical="center"/>
    </xf>
    <xf numFmtId="0" fontId="27" fillId="0" borderId="1" xfId="0" applyFont="1" applyBorder="1" applyAlignment="1">
      <alignment horizontal="center" vertical="center" wrapText="1"/>
    </xf>
    <xf numFmtId="9" fontId="0" fillId="0" borderId="0" xfId="7" applyFont="1" applyAlignment="1">
      <alignment vertical="center"/>
    </xf>
    <xf numFmtId="169" fontId="16" fillId="0" borderId="1" xfId="5" applyNumberFormat="1" applyFont="1" applyFill="1" applyBorder="1" applyAlignment="1">
      <alignment horizontal="center" vertical="center"/>
    </xf>
    <xf numFmtId="169" fontId="16" fillId="0" borderId="1" xfId="5" applyNumberFormat="1" applyFont="1" applyFill="1" applyBorder="1" applyAlignment="1">
      <alignment horizontal="right" vertical="center"/>
    </xf>
    <xf numFmtId="0" fontId="26" fillId="0" borderId="1" xfId="0" applyFont="1" applyBorder="1" applyAlignment="1">
      <alignment horizontal="center" vertical="center"/>
    </xf>
    <xf numFmtId="9" fontId="0" fillId="0" borderId="0" xfId="0" applyNumberFormat="1" applyAlignment="1">
      <alignment vertical="center"/>
    </xf>
    <xf numFmtId="43" fontId="0" fillId="0" borderId="0" xfId="5" applyFont="1" applyAlignment="1">
      <alignment vertical="center"/>
    </xf>
    <xf numFmtId="0" fontId="12" fillId="0" borderId="5" xfId="0" applyFont="1" applyBorder="1" applyAlignment="1">
      <alignment horizontal="left" vertical="center"/>
    </xf>
    <xf numFmtId="0" fontId="12" fillId="0" borderId="5" xfId="0" applyFont="1" applyBorder="1" applyAlignment="1">
      <alignment horizontal="center" vertical="center"/>
    </xf>
    <xf numFmtId="0" fontId="12" fillId="0" borderId="7" xfId="0" applyFont="1" applyBorder="1" applyAlignment="1">
      <alignment horizontal="center" vertical="center"/>
    </xf>
    <xf numFmtId="167" fontId="2" fillId="0" borderId="1" xfId="0" applyNumberFormat="1" applyFont="1" applyBorder="1" applyAlignment="1">
      <alignment vertical="center"/>
    </xf>
    <xf numFmtId="0" fontId="0" fillId="0" borderId="2" xfId="0" applyBorder="1" applyAlignment="1">
      <alignment vertical="center" wrapText="1"/>
    </xf>
    <xf numFmtId="0" fontId="2" fillId="0" borderId="2" xfId="0" applyFont="1" applyBorder="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lignment vertical="center"/>
    </xf>
    <xf numFmtId="0" fontId="0" fillId="0" borderId="1" xfId="0" applyBorder="1" applyAlignment="1">
      <alignment vertical="center"/>
    </xf>
    <xf numFmtId="167" fontId="0" fillId="0" borderId="1" xfId="1" applyNumberFormat="1" applyFont="1" applyFill="1" applyBorder="1" applyAlignment="1">
      <alignment horizontal="center" vertical="center"/>
    </xf>
    <xf numFmtId="165" fontId="0" fillId="0" borderId="1" xfId="1" applyFont="1" applyBorder="1" applyAlignment="1">
      <alignment horizontal="center" vertical="center"/>
    </xf>
    <xf numFmtId="167" fontId="0" fillId="0" borderId="0" xfId="0" applyNumberFormat="1" applyAlignment="1">
      <alignment horizontal="center" vertical="center"/>
    </xf>
    <xf numFmtId="165" fontId="0" fillId="0" borderId="0" xfId="0" applyNumberFormat="1" applyAlignment="1">
      <alignment horizontal="center" vertical="center"/>
    </xf>
    <xf numFmtId="1" fontId="0" fillId="0" borderId="4" xfId="0" applyNumberFormat="1" applyBorder="1" applyAlignment="1">
      <alignment horizontal="center" vertical="center" wrapText="1"/>
    </xf>
    <xf numFmtId="167" fontId="0" fillId="0" borderId="1" xfId="1" applyNumberFormat="1" applyFont="1" applyBorder="1" applyAlignment="1">
      <alignment horizontal="center" vertical="center"/>
    </xf>
    <xf numFmtId="165" fontId="2" fillId="0" borderId="1" xfId="0" applyNumberFormat="1" applyFont="1" applyBorder="1" applyAlignment="1">
      <alignment vertical="center"/>
    </xf>
    <xf numFmtId="0" fontId="22" fillId="0" borderId="1" xfId="0" applyFont="1" applyBorder="1" applyAlignment="1">
      <alignment horizontal="left" vertical="center" wrapText="1"/>
    </xf>
    <xf numFmtId="1" fontId="0" fillId="0" borderId="0" xfId="0" applyNumberFormat="1" applyAlignment="1">
      <alignment vertical="center"/>
    </xf>
    <xf numFmtId="0" fontId="17" fillId="0" borderId="0" xfId="0" applyFont="1" applyAlignment="1">
      <alignment vertical="center"/>
    </xf>
    <xf numFmtId="169" fontId="18" fillId="0" borderId="0" xfId="0" applyNumberFormat="1" applyFont="1" applyAlignment="1">
      <alignment vertical="center"/>
    </xf>
    <xf numFmtId="169" fontId="0" fillId="0" borderId="1" xfId="0" applyNumberFormat="1" applyBorder="1" applyAlignment="1">
      <alignment vertical="center"/>
    </xf>
    <xf numFmtId="169" fontId="18" fillId="0" borderId="0" xfId="5" applyNumberFormat="1" applyFont="1" applyBorder="1" applyAlignment="1">
      <alignment vertical="center"/>
    </xf>
    <xf numFmtId="0" fontId="22" fillId="0" borderId="1" xfId="0" applyFont="1" applyBorder="1" applyAlignment="1">
      <alignment vertical="center"/>
    </xf>
    <xf numFmtId="0" fontId="20" fillId="0" borderId="0" xfId="0" applyFont="1" applyAlignment="1">
      <alignment vertical="center"/>
    </xf>
    <xf numFmtId="0" fontId="25" fillId="0" borderId="1" xfId="0" applyFont="1" applyBorder="1" applyAlignment="1">
      <alignment vertical="center"/>
    </xf>
    <xf numFmtId="169" fontId="25" fillId="0" borderId="1" xfId="0" applyNumberFormat="1" applyFont="1" applyBorder="1" applyAlignment="1">
      <alignment vertical="center"/>
    </xf>
    <xf numFmtId="0" fontId="29" fillId="0" borderId="0" xfId="0" applyFont="1"/>
    <xf numFmtId="41" fontId="0" fillId="0" borderId="0" xfId="0" applyNumberFormat="1" applyAlignment="1">
      <alignment vertical="center"/>
    </xf>
    <xf numFmtId="0" fontId="12" fillId="0" borderId="8" xfId="0" applyFont="1" applyBorder="1" applyAlignment="1">
      <alignment horizontal="center" vertical="center"/>
    </xf>
    <xf numFmtId="0" fontId="12" fillId="0" borderId="4" xfId="0" applyFont="1" applyBorder="1" applyAlignment="1">
      <alignment horizontal="center" vertical="center"/>
    </xf>
    <xf numFmtId="0" fontId="12" fillId="0" borderId="6" xfId="0" applyFont="1" applyBorder="1" applyAlignment="1">
      <alignment vertical="center"/>
    </xf>
    <xf numFmtId="0" fontId="12" fillId="0" borderId="6" xfId="0" applyFont="1" applyBorder="1" applyAlignment="1">
      <alignment horizontal="center" vertical="center"/>
    </xf>
    <xf numFmtId="0" fontId="30" fillId="5" borderId="6" xfId="0" applyFont="1" applyFill="1" applyBorder="1" applyAlignment="1">
      <alignment horizontal="center" vertical="center" wrapText="1"/>
    </xf>
    <xf numFmtId="0" fontId="30" fillId="6" borderId="1" xfId="2" applyFont="1" applyFill="1" applyBorder="1" applyAlignment="1">
      <alignment horizontal="left" vertical="center" wrapText="1"/>
    </xf>
    <xf numFmtId="171" fontId="30" fillId="6" borderId="1" xfId="7" applyNumberFormat="1" applyFont="1" applyFill="1" applyBorder="1" applyAlignment="1">
      <alignment horizontal="center"/>
    </xf>
    <xf numFmtId="10" fontId="30" fillId="6" borderId="1" xfId="7" applyNumberFormat="1" applyFont="1" applyFill="1" applyBorder="1" applyAlignment="1">
      <alignment horizontal="center"/>
    </xf>
    <xf numFmtId="0" fontId="30" fillId="0" borderId="1" xfId="2" applyFont="1" applyBorder="1" applyAlignment="1">
      <alignment horizontal="left" vertical="center" wrapText="1"/>
    </xf>
    <xf numFmtId="170" fontId="0" fillId="0" borderId="0" xfId="0" applyNumberFormat="1" applyAlignment="1">
      <alignment horizontal="center" vertical="center"/>
    </xf>
    <xf numFmtId="166" fontId="0" fillId="0" borderId="0" xfId="0" applyNumberFormat="1" applyAlignment="1">
      <alignment horizontal="center" vertical="center"/>
    </xf>
    <xf numFmtId="170" fontId="30" fillId="0" borderId="0" xfId="3" applyNumberFormat="1" applyFont="1" applyFill="1" applyBorder="1" applyAlignment="1">
      <alignment vertical="center"/>
    </xf>
    <xf numFmtId="9" fontId="0" fillId="0" borderId="0" xfId="7" applyFont="1" applyAlignment="1">
      <alignment horizontal="center" vertical="center"/>
    </xf>
    <xf numFmtId="0" fontId="30" fillId="5" borderId="11" xfId="2" applyFont="1" applyFill="1" applyBorder="1" applyAlignment="1">
      <alignment vertical="center" wrapText="1"/>
    </xf>
    <xf numFmtId="0" fontId="30" fillId="5" borderId="12" xfId="2" applyFont="1" applyFill="1" applyBorder="1" applyAlignment="1">
      <alignment vertical="center" wrapText="1"/>
    </xf>
    <xf numFmtId="167" fontId="30" fillId="5" borderId="1" xfId="1" applyNumberFormat="1" applyFont="1" applyFill="1" applyBorder="1" applyAlignment="1">
      <alignment horizontal="center" vertical="center" wrapText="1"/>
    </xf>
    <xf numFmtId="167" fontId="30" fillId="5" borderId="5" xfId="1" applyNumberFormat="1" applyFont="1" applyFill="1" applyBorder="1" applyAlignment="1">
      <alignment vertical="center"/>
    </xf>
    <xf numFmtId="0" fontId="32" fillId="5" borderId="11" xfId="2" applyFont="1" applyFill="1" applyBorder="1" applyAlignment="1">
      <alignment vertical="center" wrapText="1"/>
    </xf>
    <xf numFmtId="0" fontId="32" fillId="5" borderId="12" xfId="2" applyFont="1" applyFill="1" applyBorder="1" applyAlignment="1">
      <alignment vertical="center" wrapText="1"/>
    </xf>
    <xf numFmtId="167" fontId="32" fillId="5" borderId="5" xfId="1" applyNumberFormat="1" applyFont="1" applyFill="1" applyBorder="1" applyAlignment="1">
      <alignment vertical="center"/>
    </xf>
    <xf numFmtId="167" fontId="31" fillId="6" borderId="1" xfId="1" applyNumberFormat="1" applyFont="1" applyFill="1" applyBorder="1"/>
    <xf numFmtId="167" fontId="30" fillId="0" borderId="1" xfId="1" applyNumberFormat="1" applyFont="1" applyFill="1" applyBorder="1" applyAlignment="1">
      <alignment vertical="center"/>
    </xf>
    <xf numFmtId="167" fontId="30" fillId="3" borderId="1" xfId="1" applyNumberFormat="1" applyFont="1" applyFill="1" applyBorder="1" applyAlignment="1">
      <alignment vertical="center"/>
    </xf>
    <xf numFmtId="0" fontId="24" fillId="0" borderId="1" xfId="0" applyFont="1" applyBorder="1" applyAlignment="1">
      <alignment horizontal="center" wrapText="1"/>
    </xf>
    <xf numFmtId="0" fontId="2" fillId="0" borderId="1" xfId="0" applyFont="1" applyBorder="1" applyAlignment="1">
      <alignment horizontal="center" vertical="center" wrapText="1"/>
    </xf>
    <xf numFmtId="0" fontId="0" fillId="0" borderId="2" xfId="0" applyBorder="1" applyAlignment="1">
      <alignment horizontal="left" vertical="center" wrapText="1"/>
    </xf>
    <xf numFmtId="0" fontId="2" fillId="0" borderId="1" xfId="0" applyFont="1" applyBorder="1" applyAlignment="1">
      <alignment horizontal="center" vertical="center"/>
    </xf>
    <xf numFmtId="0" fontId="0" fillId="0" borderId="1" xfId="0" applyBorder="1" applyAlignment="1">
      <alignment horizontal="center" vertical="center" wrapText="1"/>
    </xf>
    <xf numFmtId="0" fontId="19" fillId="0" borderId="1" xfId="0" applyFont="1" applyBorder="1" applyAlignment="1">
      <alignment horizontal="center" vertical="center"/>
    </xf>
    <xf numFmtId="171" fontId="0" fillId="0" borderId="0" xfId="7" applyNumberFormat="1" applyFont="1" applyAlignment="1">
      <alignment horizontal="center" vertical="center"/>
    </xf>
    <xf numFmtId="0" fontId="33" fillId="0" borderId="2" xfId="0" applyFont="1" applyBorder="1" applyAlignment="1">
      <alignment horizontal="center" vertical="center"/>
    </xf>
    <xf numFmtId="0" fontId="33" fillId="0" borderId="2" xfId="0" applyFont="1" applyBorder="1" applyAlignment="1">
      <alignment horizontal="center"/>
    </xf>
    <xf numFmtId="171" fontId="0" fillId="0" borderId="15" xfId="7" applyNumberFormat="1" applyFont="1" applyBorder="1" applyAlignment="1">
      <alignment horizontal="center" vertical="center"/>
    </xf>
    <xf numFmtId="172" fontId="0" fillId="0" borderId="16" xfId="7" applyNumberFormat="1" applyFont="1" applyBorder="1" applyAlignment="1">
      <alignment horizontal="center" vertical="center"/>
    </xf>
    <xf numFmtId="171" fontId="0" fillId="0" borderId="17" xfId="7" applyNumberFormat="1" applyFont="1" applyBorder="1" applyAlignment="1">
      <alignment horizontal="center" vertical="center"/>
    </xf>
    <xf numFmtId="172" fontId="0" fillId="0" borderId="18" xfId="7" applyNumberFormat="1" applyFont="1" applyBorder="1" applyAlignment="1">
      <alignment horizontal="center" vertical="center"/>
    </xf>
    <xf numFmtId="171" fontId="0" fillId="0" borderId="19" xfId="7" applyNumberFormat="1" applyFont="1" applyBorder="1" applyAlignment="1">
      <alignment horizontal="center" vertical="center"/>
    </xf>
    <xf numFmtId="172" fontId="0" fillId="0" borderId="20" xfId="7" applyNumberFormat="1" applyFont="1" applyBorder="1" applyAlignment="1">
      <alignment horizontal="center" vertical="center"/>
    </xf>
    <xf numFmtId="171" fontId="2" fillId="0" borderId="17" xfId="7" applyNumberFormat="1" applyFont="1" applyBorder="1" applyAlignment="1">
      <alignment horizontal="center" vertical="center"/>
    </xf>
    <xf numFmtId="171" fontId="2" fillId="0" borderId="18" xfId="7" applyNumberFormat="1"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7"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4" borderId="1" xfId="0" applyFont="1" applyFill="1" applyBorder="1" applyAlignment="1">
      <alignment horizontal="center" vertical="center"/>
    </xf>
    <xf numFmtId="0" fontId="0" fillId="0" borderId="2" xfId="0" applyBorder="1" applyAlignment="1">
      <alignment horizontal="left" vertical="center" wrapText="1"/>
    </xf>
    <xf numFmtId="0" fontId="0" fillId="0" borderId="4" xfId="0" applyBorder="1" applyAlignment="1">
      <alignment horizontal="left" vertical="center" wrapText="1"/>
    </xf>
    <xf numFmtId="0" fontId="4" fillId="0" borderId="1" xfId="0" applyFont="1" applyBorder="1" applyAlignment="1">
      <alignment horizontal="center" vertical="center" wrapText="1"/>
    </xf>
    <xf numFmtId="165" fontId="2" fillId="0" borderId="1" xfId="0" applyNumberFormat="1" applyFont="1" applyBorder="1" applyAlignment="1">
      <alignment horizontal="center" vertical="center"/>
    </xf>
    <xf numFmtId="0" fontId="4" fillId="4" borderId="9" xfId="0" applyFont="1" applyFill="1" applyBorder="1" applyAlignment="1">
      <alignment horizontal="center" vertical="center"/>
    </xf>
    <xf numFmtId="0" fontId="4" fillId="4" borderId="10" xfId="0" applyFont="1" applyFill="1"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wrapText="1"/>
    </xf>
    <xf numFmtId="171" fontId="2" fillId="0" borderId="13" xfId="7" applyNumberFormat="1" applyFont="1" applyBorder="1" applyAlignment="1">
      <alignment horizontal="center" vertical="center"/>
    </xf>
    <xf numFmtId="171" fontId="2" fillId="0" borderId="14" xfId="7" applyNumberFormat="1" applyFont="1" applyBorder="1" applyAlignment="1">
      <alignment horizontal="center" vertical="center"/>
    </xf>
    <xf numFmtId="0" fontId="30" fillId="5" borderId="2" xfId="0" applyFont="1" applyFill="1" applyBorder="1" applyAlignment="1">
      <alignment horizontal="center" vertical="center" wrapText="1"/>
    </xf>
    <xf numFmtId="0" fontId="30" fillId="5" borderId="4" xfId="0" applyFont="1" applyFill="1" applyBorder="1" applyAlignment="1">
      <alignment horizontal="center" vertical="center" wrapText="1"/>
    </xf>
    <xf numFmtId="0" fontId="30" fillId="5" borderId="2" xfId="2" applyFont="1" applyFill="1" applyBorder="1" applyAlignment="1">
      <alignment horizontal="left" vertical="center" wrapText="1"/>
    </xf>
    <xf numFmtId="0" fontId="30" fillId="5" borderId="4" xfId="2" applyFont="1" applyFill="1" applyBorder="1" applyAlignment="1">
      <alignment horizontal="left" vertical="center" wrapText="1"/>
    </xf>
    <xf numFmtId="10" fontId="30" fillId="0" borderId="2" xfId="4" applyNumberFormat="1" applyFont="1" applyFill="1" applyBorder="1" applyAlignment="1">
      <alignment horizontal="left" vertical="center" wrapText="1"/>
    </xf>
    <xf numFmtId="10" fontId="30" fillId="0" borderId="4" xfId="4" applyNumberFormat="1" applyFont="1" applyFill="1" applyBorder="1" applyAlignment="1">
      <alignment horizontal="left" vertical="center" wrapText="1"/>
    </xf>
    <xf numFmtId="0" fontId="30" fillId="3" borderId="2" xfId="2" applyFont="1" applyFill="1" applyBorder="1" applyAlignment="1">
      <alignment horizontal="left" vertical="center" wrapText="1"/>
    </xf>
    <xf numFmtId="0" fontId="30" fillId="3" borderId="4" xfId="2" applyFont="1" applyFill="1" applyBorder="1" applyAlignment="1">
      <alignment horizontal="left" vertical="center" wrapText="1"/>
    </xf>
    <xf numFmtId="0" fontId="15" fillId="0" borderId="1" xfId="0" applyFont="1" applyBorder="1" applyAlignment="1">
      <alignment horizontal="center" vertical="center" wrapText="1"/>
    </xf>
    <xf numFmtId="0" fontId="17" fillId="0" borderId="1" xfId="0" applyFont="1" applyBorder="1" applyAlignment="1">
      <alignment horizontal="center" vertical="center"/>
    </xf>
    <xf numFmtId="0" fontId="19" fillId="0" borderId="2" xfId="0" applyFont="1" applyBorder="1" applyAlignment="1">
      <alignment horizontal="center" vertical="center"/>
    </xf>
    <xf numFmtId="0" fontId="19" fillId="0" borderId="4" xfId="0" applyFont="1" applyBorder="1" applyAlignment="1">
      <alignment horizontal="center" vertical="center"/>
    </xf>
    <xf numFmtId="1" fontId="19" fillId="0" borderId="2" xfId="0" applyNumberFormat="1" applyFont="1" applyBorder="1" applyAlignment="1">
      <alignment horizontal="center" vertical="center" wrapText="1"/>
    </xf>
    <xf numFmtId="1" fontId="19" fillId="0" borderId="4" xfId="0" applyNumberFormat="1" applyFont="1" applyBorder="1" applyAlignment="1">
      <alignment horizontal="center" vertical="center" wrapText="1"/>
    </xf>
    <xf numFmtId="1" fontId="19" fillId="0" borderId="1" xfId="0" applyNumberFormat="1" applyFont="1" applyBorder="1" applyAlignment="1">
      <alignment horizontal="center" vertical="center" wrapText="1"/>
    </xf>
    <xf numFmtId="0" fontId="17" fillId="0" borderId="2" xfId="0" applyFont="1" applyBorder="1" applyAlignment="1">
      <alignment horizontal="center" vertical="center"/>
    </xf>
    <xf numFmtId="0" fontId="17" fillId="0" borderId="4" xfId="0" applyFont="1" applyBorder="1" applyAlignment="1">
      <alignment horizontal="center" vertical="center"/>
    </xf>
    <xf numFmtId="0" fontId="18" fillId="0" borderId="1" xfId="0" applyFont="1" applyBorder="1" applyAlignment="1">
      <alignment horizontal="center" vertical="center"/>
    </xf>
    <xf numFmtId="0" fontId="19" fillId="0" borderId="1" xfId="0" applyFont="1" applyBorder="1" applyAlignment="1">
      <alignment horizontal="center" vertical="center"/>
    </xf>
    <xf numFmtId="0" fontId="19"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8" fillId="0" borderId="2" xfId="0" applyFont="1" applyBorder="1" applyAlignment="1">
      <alignment horizontal="center" vertical="center"/>
    </xf>
    <xf numFmtId="0" fontId="18" fillId="0" borderId="4" xfId="0" applyFont="1" applyBorder="1" applyAlignment="1">
      <alignment horizontal="center" vertical="center"/>
    </xf>
    <xf numFmtId="0" fontId="19" fillId="0" borderId="2" xfId="0" applyFont="1" applyBorder="1" applyAlignment="1">
      <alignment horizontal="center"/>
    </xf>
    <xf numFmtId="0" fontId="19" fillId="0" borderId="4" xfId="0" applyFont="1" applyBorder="1" applyAlignment="1">
      <alignment horizontal="center"/>
    </xf>
    <xf numFmtId="0" fontId="18" fillId="0" borderId="2" xfId="0" applyFont="1" applyBorder="1" applyAlignment="1">
      <alignment horizontal="center"/>
    </xf>
    <xf numFmtId="0" fontId="18" fillId="0" borderId="4" xfId="0" applyFont="1" applyBorder="1" applyAlignment="1">
      <alignment horizontal="center"/>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8" fillId="3" borderId="0" xfId="0" applyFont="1" applyFill="1" applyAlignment="1">
      <alignment horizontal="center" vertical="center"/>
    </xf>
    <xf numFmtId="0" fontId="3"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cellXfs>
  <cellStyles count="8">
    <cellStyle name="Millares" xfId="5" builtinId="3"/>
    <cellStyle name="Millares [0]" xfId="6" builtinId="6"/>
    <cellStyle name="Millares 10" xfId="3" xr:uid="{F285FC45-FD7F-44B0-B1D0-8725123CC94C}"/>
    <cellStyle name="Moneda" xfId="1" builtinId="4"/>
    <cellStyle name="Normal" xfId="0" builtinId="0"/>
    <cellStyle name="Normal 2 2" xfId="2" xr:uid="{EFE01C8B-8D6B-4804-BB67-4A438CC1667F}"/>
    <cellStyle name="Porcentaje" xfId="7" builtinId="5"/>
    <cellStyle name="Porcentual 2 2" xfId="4" xr:uid="{F6C4A63D-7A76-4E1C-BDD5-C9531B06F7FF}"/>
  </cellStyles>
  <dxfs count="0"/>
  <tableStyles count="1" defaultTableStyle="TableStyleMedium2" defaultPivotStyle="PivotStyleLight16">
    <tableStyle name="Invisible" pivot="0" table="0" count="0" xr9:uid="{19C6A026-B775-4CAB-8129-8EBF075EC096}"/>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d984d2f959a974f4/FINANCIERA%20PAE%202024/FINANCIERA/DOCS%20LP%202025/COSTEO%202025%20PAE/Costeo%20VGA_2025/Costeo%202025_TOTAL_RI/RESUMEN%20ESTUDIO%20DE%20COSTOS.xlsx" TargetMode="External"/><Relationship Id="rId1" Type="http://schemas.openxmlformats.org/officeDocument/2006/relationships/externalLinkPath" Target="RESUMEN%20ESTUDIO%20DE%20COS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D52FA2215823DEFC" itemId="D52FA2215823DEFC!s46465964a8c040e1ac7ed031fcaa78ba">
      <xxl21:absoluteUrl r:id="rId2"/>
    </xxl21:alternateUrls>
    <sheetNames>
      <sheetName val="CONSOLIDADO FINAL"/>
      <sheetName val="DATOS"/>
      <sheetName val="COMPONENTES"/>
      <sheetName val="CONSTRUYAMOS COLOMBIA"/>
      <sheetName val="SABISO"/>
      <sheetName val="DESARROLLO SOCIAL"/>
      <sheetName val="FUNDALIMENTOS"/>
      <sheetName val="VIVIR SIRVIENDO"/>
      <sheetName val="CONSOLIDADO ALIMENTOS"/>
      <sheetName val="CONSOLIDADO MANIPULADORAS"/>
      <sheetName val="CONSOLIDADO ASEO"/>
      <sheetName val="CONSOLIDADO PERS ADMON"/>
      <sheetName val="SERVICIOS PUBLICOS"/>
      <sheetName val="CONSOLIDADO TRANSPORTE"/>
      <sheetName val="MICROBIOLOGICOS"/>
      <sheetName val="CONSOLIDADO DOTACION"/>
      <sheetName val="ARRENDAMIENTOS"/>
      <sheetName val="PÓLIZAS"/>
    </sheetNames>
    <sheetDataSet>
      <sheetData sheetId="0">
        <row r="26">
          <cell r="B26">
            <v>21</v>
          </cell>
        </row>
        <row r="27">
          <cell r="B27">
            <v>118</v>
          </cell>
        </row>
      </sheetData>
      <sheetData sheetId="1">
        <row r="22">
          <cell r="C22">
            <v>1300000</v>
          </cell>
        </row>
        <row r="23">
          <cell r="C23">
            <v>1423500</v>
          </cell>
          <cell r="E23">
            <v>9.5000000000000001E-2</v>
          </cell>
        </row>
        <row r="24">
          <cell r="C24">
            <v>5.1999999999999998E-2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persons/person.xml><?xml version="1.0" encoding="utf-8"?>
<personList xmlns="http://schemas.microsoft.com/office/spreadsheetml/2018/threadedcomments" xmlns:x="http://schemas.openxmlformats.org/spreadsheetml/2006/main">
  <person displayName="Vanesa Garcia" id="{CFB10D46-709F-4E0A-BCF4-C9CDBC987B9E}" userId="d984d2f959a974f4"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3" dT="2024-12-17T16:47:23.35" personId="{CFB10D46-709F-4E0A-BCF4-C9CDBC987B9E}" id="{1C55A411-0E9A-4542-8FC4-D003CC421609}">
    <text>Se deja en la sumatoria el punto MINA DEL SOCORRO.</text>
  </threadedComment>
  <threadedComment ref="K4" dT="2024-12-17T15:28:29.83" personId="{CFB10D46-709F-4E0A-BCF4-C9CDBC987B9E}" id="{8F9C81AB-5C77-4547-8213-E5652C372D77}">
    <text>Se resta el punto Mina del Socorro, teniendo en cuenta que durante 2024 estuvo en operación el 30% del calendario escolar, es un punto viable para cierre, por tanto, no se tuvo en cuenta la manipuladora de este punto.</text>
  </threadedComment>
</ThreadedComment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FB05F-F9B4-46DF-AFE1-5F7083FC1F13}">
  <sheetPr>
    <tabColor rgb="FF00B050"/>
  </sheetPr>
  <dimension ref="A1:M63"/>
  <sheetViews>
    <sheetView topLeftCell="A40" workbookViewId="0">
      <selection activeCell="G49" sqref="G49"/>
    </sheetView>
  </sheetViews>
  <sheetFormatPr baseColWidth="10" defaultColWidth="11.42578125" defaultRowHeight="15"/>
  <cols>
    <col min="1" max="1" width="25.85546875" style="6" customWidth="1"/>
    <col min="2" max="2" width="14" style="6" bestFit="1" customWidth="1"/>
    <col min="3" max="3" width="22.5703125" style="6" bestFit="1" customWidth="1"/>
    <col min="4" max="4" width="14.28515625" style="6" bestFit="1" customWidth="1"/>
    <col min="5" max="5" width="16.28515625" style="6" customWidth="1"/>
    <col min="6" max="6" width="15.5703125" style="6" bestFit="1" customWidth="1"/>
    <col min="7" max="7" width="11.42578125" style="6"/>
    <col min="8" max="8" width="13" style="6" bestFit="1" customWidth="1"/>
    <col min="9" max="12" width="11.42578125" style="6"/>
    <col min="13" max="13" width="13" style="6" bestFit="1" customWidth="1"/>
    <col min="14" max="16384" width="11.42578125" style="6"/>
  </cols>
  <sheetData>
    <row r="1" spans="1:13" ht="30.75" customHeight="1">
      <c r="A1" s="152" t="s">
        <v>0</v>
      </c>
      <c r="B1" s="152"/>
      <c r="C1" s="152"/>
      <c r="D1" s="152"/>
      <c r="E1" s="152"/>
      <c r="F1" s="152"/>
    </row>
    <row r="2" spans="1:13" ht="19.5" customHeight="1">
      <c r="A2" s="153" t="s">
        <v>1</v>
      </c>
      <c r="B2" s="153"/>
      <c r="C2" s="153"/>
      <c r="D2" s="153"/>
      <c r="E2" s="153"/>
      <c r="F2" s="153"/>
    </row>
    <row r="4" spans="1:13" ht="30" customHeight="1">
      <c r="B4" s="154" t="s">
        <v>2</v>
      </c>
      <c r="C4" s="154"/>
      <c r="D4" s="133" t="s">
        <v>3</v>
      </c>
    </row>
    <row r="5" spans="1:13" ht="14.45" customHeight="1">
      <c r="B5" s="156" t="s">
        <v>4</v>
      </c>
      <c r="C5" s="157"/>
      <c r="D5" s="9">
        <f>'BASE DE SALARIOS'!H14</f>
        <v>5176603.0506666666</v>
      </c>
    </row>
    <row r="6" spans="1:13" ht="14.45" customHeight="1">
      <c r="B6" s="156" t="s">
        <v>5</v>
      </c>
      <c r="C6" s="157"/>
      <c r="D6" s="9">
        <f>'BASE DE SALARIOS'!T14</f>
        <v>4529527.6693333331</v>
      </c>
    </row>
    <row r="7" spans="1:13">
      <c r="B7" s="156" t="s">
        <v>6</v>
      </c>
      <c r="C7" s="157"/>
      <c r="D7" s="9">
        <f>'BASE DE SALARIOS'!L14</f>
        <v>4473148.8853333332</v>
      </c>
    </row>
    <row r="8" spans="1:13" ht="14.45" customHeight="1">
      <c r="B8" s="156" t="s">
        <v>7</v>
      </c>
      <c r="C8" s="157"/>
      <c r="D8" s="9">
        <f>'BASE DE SALARIOS'!P14</f>
        <v>3384064.2666666657</v>
      </c>
    </row>
    <row r="9" spans="1:13" ht="14.45" customHeight="1">
      <c r="B9" s="156" t="s">
        <v>8</v>
      </c>
      <c r="C9" s="157"/>
      <c r="D9" s="9">
        <f>'BASE DE SALARIOS'!D14</f>
        <v>3424376.9066666663</v>
      </c>
    </row>
    <row r="10" spans="1:13" ht="14.45" customHeight="1">
      <c r="B10" s="156" t="s">
        <v>9</v>
      </c>
      <c r="C10" s="157"/>
      <c r="D10" s="9">
        <f>'BASE DE SALARIOS'!D14</f>
        <v>3424376.9066666663</v>
      </c>
    </row>
    <row r="12" spans="1:13" ht="22.5" customHeight="1">
      <c r="A12" s="155" t="s">
        <v>10</v>
      </c>
      <c r="B12" s="155"/>
      <c r="C12" s="155"/>
      <c r="D12" s="155"/>
      <c r="E12" s="155"/>
      <c r="F12" s="155"/>
    </row>
    <row r="13" spans="1:13" s="1" customFormat="1" ht="26.25" customHeight="1">
      <c r="A13" s="87" t="s">
        <v>11</v>
      </c>
      <c r="B13" s="135" t="s">
        <v>12</v>
      </c>
      <c r="C13" s="135" t="s">
        <v>13</v>
      </c>
      <c r="D13" s="135" t="s">
        <v>14</v>
      </c>
      <c r="E13" s="133" t="s">
        <v>3</v>
      </c>
      <c r="F13" s="135" t="s">
        <v>14</v>
      </c>
    </row>
    <row r="14" spans="1:13">
      <c r="A14" s="64" t="s">
        <v>4</v>
      </c>
      <c r="B14" s="14">
        <f>'GI-PersAdmon'!C4</f>
        <v>0.5</v>
      </c>
      <c r="C14" s="14">
        <f>'GI-PersAdmon'!C19</f>
        <v>0.5</v>
      </c>
      <c r="D14" s="15">
        <f>B14+C14</f>
        <v>1</v>
      </c>
      <c r="E14" s="9">
        <f t="shared" ref="E14:E19" si="0">+D5</f>
        <v>5176603.0506666666</v>
      </c>
      <c r="F14" s="10">
        <f>D14*E14</f>
        <v>5176603.0506666666</v>
      </c>
      <c r="M14" s="13"/>
    </row>
    <row r="15" spans="1:13">
      <c r="A15" s="64" t="s">
        <v>5</v>
      </c>
      <c r="B15" s="15">
        <f>'GI-PersAdmon'!C5</f>
        <v>1</v>
      </c>
      <c r="C15" s="15">
        <f>'GI-PersAdmon'!C20</f>
        <v>1</v>
      </c>
      <c r="D15" s="15">
        <f t="shared" ref="D15:D19" si="1">B15+C15</f>
        <v>2</v>
      </c>
      <c r="E15" s="9">
        <f t="shared" si="0"/>
        <v>4529527.6693333331</v>
      </c>
      <c r="F15" s="10">
        <f t="shared" ref="F15:F19" si="2">D15*E15</f>
        <v>9059055.3386666663</v>
      </c>
      <c r="M15" s="13"/>
    </row>
    <row r="16" spans="1:13">
      <c r="A16" s="64" t="s">
        <v>6</v>
      </c>
      <c r="B16" s="15">
        <f>'GI-PersAdmon'!C6</f>
        <v>0.5</v>
      </c>
      <c r="C16" s="15">
        <f>'GI-PersAdmon'!C21</f>
        <v>0.5</v>
      </c>
      <c r="D16" s="15">
        <f t="shared" si="1"/>
        <v>1</v>
      </c>
      <c r="E16" s="9">
        <f t="shared" si="0"/>
        <v>4473148.8853333332</v>
      </c>
      <c r="F16" s="10">
        <f t="shared" si="2"/>
        <v>4473148.8853333332</v>
      </c>
      <c r="M16" s="13"/>
    </row>
    <row r="17" spans="1:13">
      <c r="A17" s="64" t="s">
        <v>7</v>
      </c>
      <c r="B17" s="15">
        <f>'GI-PersAdmon'!C7</f>
        <v>2</v>
      </c>
      <c r="C17" s="15">
        <f>'GI-PersAdmon'!C22</f>
        <v>2</v>
      </c>
      <c r="D17" s="15">
        <f t="shared" si="1"/>
        <v>4</v>
      </c>
      <c r="E17" s="9">
        <f t="shared" si="0"/>
        <v>3384064.2666666657</v>
      </c>
      <c r="F17" s="10">
        <f t="shared" si="2"/>
        <v>13536257.066666663</v>
      </c>
      <c r="M17" s="13"/>
    </row>
    <row r="18" spans="1:13">
      <c r="A18" s="64" t="s">
        <v>8</v>
      </c>
      <c r="B18" s="15">
        <f>'GI-PersAdmon'!C8</f>
        <v>1</v>
      </c>
      <c r="C18" s="15">
        <f>'GI-PersAdmon'!C23</f>
        <v>1</v>
      </c>
      <c r="D18" s="15">
        <f t="shared" si="1"/>
        <v>2</v>
      </c>
      <c r="E18" s="9">
        <f t="shared" si="0"/>
        <v>3424376.9066666663</v>
      </c>
      <c r="F18" s="10">
        <f t="shared" si="2"/>
        <v>6848753.8133333325</v>
      </c>
      <c r="M18" s="13"/>
    </row>
    <row r="19" spans="1:13">
      <c r="A19" s="64" t="s">
        <v>9</v>
      </c>
      <c r="B19" s="136">
        <f>'GI-PersAdmon'!C9</f>
        <v>0</v>
      </c>
      <c r="C19" s="136">
        <f>'GI-PersAdmon'!C24</f>
        <v>2</v>
      </c>
      <c r="D19" s="15">
        <f t="shared" si="1"/>
        <v>2</v>
      </c>
      <c r="E19" s="9">
        <f t="shared" si="0"/>
        <v>3424376.9066666663</v>
      </c>
      <c r="F19" s="10">
        <f t="shared" si="2"/>
        <v>6848753.8133333325</v>
      </c>
      <c r="M19" s="13"/>
    </row>
    <row r="20" spans="1:13">
      <c r="A20" s="149" t="s">
        <v>15</v>
      </c>
      <c r="B20" s="150"/>
      <c r="C20" s="150"/>
      <c r="D20" s="151"/>
      <c r="E20" s="159">
        <f>SUM(F14:F19)</f>
        <v>45942571.967999995</v>
      </c>
      <c r="F20" s="159"/>
      <c r="M20" s="13"/>
    </row>
    <row r="21" spans="1:13">
      <c r="F21" s="11"/>
    </row>
    <row r="22" spans="1:13" ht="15.75">
      <c r="C22" s="158" t="s">
        <v>16</v>
      </c>
      <c r="D22" s="158"/>
      <c r="E22" s="16">
        <f>'GI-PersAdmon'!C12</f>
        <v>109.59674957714942</v>
      </c>
      <c r="F22" s="11"/>
    </row>
    <row r="23" spans="1:13" ht="15.75">
      <c r="C23" s="158" t="s">
        <v>17</v>
      </c>
      <c r="D23" s="158"/>
      <c r="E23" s="16">
        <f>'GI-PersAdmon'!C27</f>
        <v>315.57527695882101</v>
      </c>
      <c r="F23" s="11"/>
    </row>
    <row r="26" spans="1:13" ht="22.5" customHeight="1">
      <c r="A26" s="160" t="s">
        <v>18</v>
      </c>
      <c r="B26" s="161"/>
      <c r="C26" s="161"/>
      <c r="D26" s="161"/>
      <c r="E26" s="161"/>
      <c r="F26" s="161"/>
    </row>
    <row r="27" spans="1:13" ht="26.25" customHeight="1">
      <c r="A27" s="86" t="s">
        <v>11</v>
      </c>
      <c r="B27" s="135" t="s">
        <v>12</v>
      </c>
      <c r="C27" s="135" t="s">
        <v>13</v>
      </c>
      <c r="D27" s="135" t="s">
        <v>14</v>
      </c>
      <c r="E27" s="133" t="s">
        <v>3</v>
      </c>
      <c r="F27" s="135" t="s">
        <v>14</v>
      </c>
    </row>
    <row r="28" spans="1:13" ht="14.45" customHeight="1">
      <c r="A28" s="85" t="s">
        <v>4</v>
      </c>
      <c r="B28" s="14">
        <f>'GII-PersAdmon'!C17</f>
        <v>0.5</v>
      </c>
      <c r="C28" s="15">
        <f>'GII-PersAdmon'!C4</f>
        <v>0.5</v>
      </c>
      <c r="D28" s="15">
        <f>B28+C28</f>
        <v>1</v>
      </c>
      <c r="E28" s="9">
        <f t="shared" ref="E28:E33" si="3">+D5</f>
        <v>5176603.0506666666</v>
      </c>
      <c r="F28" s="12">
        <f t="shared" ref="F28:F33" si="4">C28*E28</f>
        <v>2588301.5253333333</v>
      </c>
    </row>
    <row r="29" spans="1:13" ht="14.45" customHeight="1">
      <c r="A29" s="85" t="s">
        <v>5</v>
      </c>
      <c r="B29" s="15">
        <f>'GII-PersAdmon'!C18</f>
        <v>0</v>
      </c>
      <c r="C29" s="15">
        <f>'GII-PersAdmon'!C5</f>
        <v>1</v>
      </c>
      <c r="D29" s="15">
        <f t="shared" ref="D29:D33" si="5">B29+C29</f>
        <v>1</v>
      </c>
      <c r="E29" s="9">
        <f t="shared" si="3"/>
        <v>4529527.6693333331</v>
      </c>
      <c r="F29" s="12">
        <f t="shared" si="4"/>
        <v>4529527.6693333331</v>
      </c>
    </row>
    <row r="30" spans="1:13">
      <c r="A30" s="85" t="s">
        <v>6</v>
      </c>
      <c r="B30" s="15">
        <f>'GII-PersAdmon'!C19</f>
        <v>0.5</v>
      </c>
      <c r="C30" s="15">
        <f>'GII-PersAdmon'!C6</f>
        <v>0.5</v>
      </c>
      <c r="D30" s="15">
        <f t="shared" si="5"/>
        <v>1</v>
      </c>
      <c r="E30" s="9">
        <f t="shared" si="3"/>
        <v>4473148.8853333332</v>
      </c>
      <c r="F30" s="12">
        <f t="shared" si="4"/>
        <v>2236574.4426666666</v>
      </c>
    </row>
    <row r="31" spans="1:13">
      <c r="A31" s="85" t="s">
        <v>7</v>
      </c>
      <c r="B31" s="15">
        <f>'GII-PersAdmon'!C20</f>
        <v>1</v>
      </c>
      <c r="C31" s="15">
        <f>'GII-PersAdmon'!C7</f>
        <v>2</v>
      </c>
      <c r="D31" s="15">
        <f t="shared" si="5"/>
        <v>3</v>
      </c>
      <c r="E31" s="9">
        <f t="shared" si="3"/>
        <v>3384064.2666666657</v>
      </c>
      <c r="F31" s="12">
        <f t="shared" si="4"/>
        <v>6768128.5333333313</v>
      </c>
    </row>
    <row r="32" spans="1:13" ht="14.45" customHeight="1">
      <c r="A32" s="85" t="s">
        <v>8</v>
      </c>
      <c r="B32" s="15">
        <f>'GII-PersAdmon'!C21</f>
        <v>1</v>
      </c>
      <c r="C32" s="15">
        <f>'GII-PersAdmon'!C8</f>
        <v>2</v>
      </c>
      <c r="D32" s="15">
        <f t="shared" si="5"/>
        <v>3</v>
      </c>
      <c r="E32" s="9">
        <f t="shared" si="3"/>
        <v>3424376.9066666663</v>
      </c>
      <c r="F32" s="12">
        <f t="shared" si="4"/>
        <v>6848753.8133333325</v>
      </c>
    </row>
    <row r="33" spans="1:6">
      <c r="A33" s="85" t="s">
        <v>9</v>
      </c>
      <c r="B33" s="136">
        <f>'GII-PersAdmon'!C22</f>
        <v>0</v>
      </c>
      <c r="C33" s="15">
        <f>'GII-PersAdmon'!C9</f>
        <v>2</v>
      </c>
      <c r="D33" s="15">
        <f t="shared" si="5"/>
        <v>2</v>
      </c>
      <c r="E33" s="9">
        <f t="shared" si="3"/>
        <v>3424376.9066666663</v>
      </c>
      <c r="F33" s="12">
        <f t="shared" si="4"/>
        <v>6848753.8133333325</v>
      </c>
    </row>
    <row r="34" spans="1:6">
      <c r="A34" s="149" t="s">
        <v>15</v>
      </c>
      <c r="B34" s="150"/>
      <c r="C34" s="151"/>
      <c r="D34" s="15"/>
      <c r="E34" s="84"/>
      <c r="F34" s="84">
        <f>SUM(F28:F33)</f>
        <v>29820039.79733333</v>
      </c>
    </row>
    <row r="35" spans="1:6">
      <c r="A35" s="17"/>
      <c r="B35" s="17"/>
      <c r="C35" s="17"/>
      <c r="D35" s="18"/>
      <c r="E35" s="18"/>
    </row>
    <row r="36" spans="1:6" ht="15.75">
      <c r="A36" s="17"/>
      <c r="B36" s="17"/>
      <c r="C36" s="158" t="s">
        <v>16</v>
      </c>
      <c r="D36" s="158"/>
      <c r="E36" s="16">
        <f>'GII-PersAdmon'!C25</f>
        <v>369.31165528042322</v>
      </c>
    </row>
    <row r="37" spans="1:6" ht="15.75">
      <c r="A37" s="17"/>
      <c r="B37" s="17"/>
      <c r="C37" s="158" t="s">
        <v>17</v>
      </c>
      <c r="D37" s="158"/>
      <c r="E37" s="16">
        <f>'GII-PersAdmon'!C12</f>
        <v>274.23752319642932</v>
      </c>
    </row>
    <row r="39" spans="1:6" ht="22.5" customHeight="1">
      <c r="A39" s="160" t="s">
        <v>19</v>
      </c>
      <c r="B39" s="161"/>
      <c r="C39" s="161"/>
      <c r="D39" s="161"/>
      <c r="E39" s="161"/>
      <c r="F39" s="161"/>
    </row>
    <row r="40" spans="1:6" ht="26.25" customHeight="1">
      <c r="A40" s="86" t="s">
        <v>11</v>
      </c>
      <c r="B40" s="135" t="s">
        <v>12</v>
      </c>
      <c r="C40" s="135" t="s">
        <v>13</v>
      </c>
      <c r="D40" s="135" t="s">
        <v>14</v>
      </c>
      <c r="E40" s="133" t="s">
        <v>3</v>
      </c>
      <c r="F40" s="135" t="s">
        <v>14</v>
      </c>
    </row>
    <row r="41" spans="1:6" ht="14.45" customHeight="1">
      <c r="A41" s="85" t="s">
        <v>4</v>
      </c>
      <c r="B41" s="14">
        <f>'GIII-PersAdmon'!C17</f>
        <v>0.5</v>
      </c>
      <c r="C41" s="15">
        <f>'GIII-PersAdmon'!C4</f>
        <v>0.5</v>
      </c>
      <c r="D41" s="15">
        <f>B41+C41</f>
        <v>1</v>
      </c>
      <c r="E41" s="9">
        <f>+D5</f>
        <v>5176603.0506666666</v>
      </c>
      <c r="F41" s="12">
        <f t="shared" ref="F41:F46" si="6">C41*E41</f>
        <v>2588301.5253333333</v>
      </c>
    </row>
    <row r="42" spans="1:6" ht="14.45" customHeight="1">
      <c r="A42" s="85" t="s">
        <v>5</v>
      </c>
      <c r="B42" s="15">
        <f>'GIII-PersAdmon'!C18</f>
        <v>0</v>
      </c>
      <c r="C42" s="15">
        <f>'GIII-PersAdmon'!C5</f>
        <v>1</v>
      </c>
      <c r="D42" s="15">
        <f t="shared" ref="D42:D46" si="7">B42+C42</f>
        <v>1</v>
      </c>
      <c r="E42" s="9">
        <f t="shared" ref="E42:E46" si="8">+D6</f>
        <v>4529527.6693333331</v>
      </c>
      <c r="F42" s="12">
        <f t="shared" si="6"/>
        <v>4529527.6693333331</v>
      </c>
    </row>
    <row r="43" spans="1:6">
      <c r="A43" s="85" t="s">
        <v>6</v>
      </c>
      <c r="B43" s="15">
        <f>'GIII-PersAdmon'!C19</f>
        <v>0.5</v>
      </c>
      <c r="C43" s="15">
        <f>'GIII-PersAdmon'!C6</f>
        <v>0.5</v>
      </c>
      <c r="D43" s="15">
        <f t="shared" si="7"/>
        <v>1</v>
      </c>
      <c r="E43" s="9">
        <f t="shared" si="8"/>
        <v>4473148.8853333332</v>
      </c>
      <c r="F43" s="12">
        <f t="shared" si="6"/>
        <v>2236574.4426666666</v>
      </c>
    </row>
    <row r="44" spans="1:6">
      <c r="A44" s="85" t="s">
        <v>7</v>
      </c>
      <c r="B44" s="15">
        <f>'GIII-PersAdmon'!C20</f>
        <v>1</v>
      </c>
      <c r="C44" s="15">
        <f>'GIII-PersAdmon'!C7</f>
        <v>3</v>
      </c>
      <c r="D44" s="15">
        <f t="shared" si="7"/>
        <v>4</v>
      </c>
      <c r="E44" s="9">
        <f t="shared" si="8"/>
        <v>3384064.2666666657</v>
      </c>
      <c r="F44" s="12">
        <f t="shared" si="6"/>
        <v>10152192.799999997</v>
      </c>
    </row>
    <row r="45" spans="1:6" ht="14.45" customHeight="1">
      <c r="A45" s="85" t="s">
        <v>8</v>
      </c>
      <c r="B45" s="15">
        <f>'GIII-PersAdmon'!C21</f>
        <v>1</v>
      </c>
      <c r="C45" s="15">
        <f>'GIII-PersAdmon'!C8</f>
        <v>3</v>
      </c>
      <c r="D45" s="15">
        <f t="shared" si="7"/>
        <v>4</v>
      </c>
      <c r="E45" s="9">
        <f t="shared" si="8"/>
        <v>3424376.9066666663</v>
      </c>
      <c r="F45" s="12">
        <f t="shared" si="6"/>
        <v>10273130.719999999</v>
      </c>
    </row>
    <row r="46" spans="1:6">
      <c r="A46" s="85" t="s">
        <v>9</v>
      </c>
      <c r="B46" s="136">
        <f>'GIII-PersAdmon'!C22</f>
        <v>0</v>
      </c>
      <c r="C46" s="15">
        <f>'GIII-PersAdmon'!C9</f>
        <v>1</v>
      </c>
      <c r="D46" s="15">
        <f t="shared" si="7"/>
        <v>1</v>
      </c>
      <c r="E46" s="9">
        <f t="shared" si="8"/>
        <v>3424376.9066666663</v>
      </c>
      <c r="F46" s="12">
        <f t="shared" si="6"/>
        <v>3424376.9066666663</v>
      </c>
    </row>
    <row r="47" spans="1:6">
      <c r="A47" s="149" t="s">
        <v>15</v>
      </c>
      <c r="B47" s="150"/>
      <c r="C47" s="151"/>
      <c r="D47" s="15"/>
      <c r="E47" s="84"/>
      <c r="F47" s="84">
        <f>SUM(F41:F46)</f>
        <v>33204104.063999996</v>
      </c>
    </row>
    <row r="48" spans="1:6">
      <c r="A48" s="17"/>
      <c r="B48" s="17"/>
      <c r="C48" s="17"/>
      <c r="D48" s="18"/>
      <c r="E48" s="18"/>
    </row>
    <row r="49" spans="1:6" ht="15.75">
      <c r="A49" s="17"/>
      <c r="B49" s="17"/>
      <c r="C49" s="158" t="s">
        <v>16</v>
      </c>
      <c r="D49" s="158"/>
      <c r="E49" s="16">
        <f>'GIII-PersAdmon'!C25</f>
        <v>369.31165528042322</v>
      </c>
    </row>
    <row r="50" spans="1:6" ht="15.75">
      <c r="A50" s="17"/>
      <c r="B50" s="17"/>
      <c r="C50" s="158" t="s">
        <v>17</v>
      </c>
      <c r="D50" s="158"/>
      <c r="E50" s="16">
        <f>'GIII-PersAdmon'!C12</f>
        <v>232.07805850160403</v>
      </c>
    </row>
    <row r="52" spans="1:6" ht="23.25" customHeight="1">
      <c r="A52" s="160" t="s">
        <v>20</v>
      </c>
      <c r="B52" s="161"/>
      <c r="C52" s="161"/>
      <c r="D52" s="161"/>
      <c r="E52" s="161"/>
      <c r="F52" s="161"/>
    </row>
    <row r="53" spans="1:6" ht="25.5" customHeight="1">
      <c r="A53" s="86" t="s">
        <v>11</v>
      </c>
      <c r="B53" s="135" t="s">
        <v>12</v>
      </c>
      <c r="C53" s="135" t="s">
        <v>13</v>
      </c>
      <c r="D53" s="135" t="s">
        <v>14</v>
      </c>
      <c r="E53" s="133" t="s">
        <v>3</v>
      </c>
      <c r="F53" s="135" t="s">
        <v>14</v>
      </c>
    </row>
    <row r="54" spans="1:6" ht="14.45" customHeight="1">
      <c r="A54" s="85" t="s">
        <v>4</v>
      </c>
      <c r="B54" s="14">
        <f>'GIV-PersAdmon'!C17</f>
        <v>0.5</v>
      </c>
      <c r="C54" s="15">
        <f>'GIV-PersAdmon'!C4</f>
        <v>0.5</v>
      </c>
      <c r="D54" s="15">
        <f>B54+C54</f>
        <v>1</v>
      </c>
      <c r="E54" s="9">
        <f>D5</f>
        <v>5176603.0506666666</v>
      </c>
      <c r="F54" s="12">
        <f t="shared" ref="F54:F59" si="9">C54*E54</f>
        <v>2588301.5253333333</v>
      </c>
    </row>
    <row r="55" spans="1:6" ht="14.45" customHeight="1">
      <c r="A55" s="85" t="s">
        <v>5</v>
      </c>
      <c r="B55" s="15">
        <f>'GIV-PersAdmon'!C18</f>
        <v>0</v>
      </c>
      <c r="C55" s="15">
        <f>'GIV-PersAdmon'!C5</f>
        <v>1</v>
      </c>
      <c r="D55" s="15">
        <f t="shared" ref="D55:D59" si="10">B55+C55</f>
        <v>1</v>
      </c>
      <c r="E55" s="9">
        <f t="shared" ref="E55:E59" si="11">D6</f>
        <v>4529527.6693333331</v>
      </c>
      <c r="F55" s="12">
        <f t="shared" si="9"/>
        <v>4529527.6693333331</v>
      </c>
    </row>
    <row r="56" spans="1:6">
      <c r="A56" s="85" t="s">
        <v>6</v>
      </c>
      <c r="B56" s="15">
        <f>'GIV-PersAdmon'!C19</f>
        <v>0.5</v>
      </c>
      <c r="C56" s="15">
        <f>'GIV-PersAdmon'!C6</f>
        <v>0.5</v>
      </c>
      <c r="D56" s="15">
        <f t="shared" si="10"/>
        <v>1</v>
      </c>
      <c r="E56" s="9">
        <f t="shared" si="11"/>
        <v>4473148.8853333332</v>
      </c>
      <c r="F56" s="12">
        <f t="shared" si="9"/>
        <v>2236574.4426666666</v>
      </c>
    </row>
    <row r="57" spans="1:6">
      <c r="A57" s="85" t="s">
        <v>7</v>
      </c>
      <c r="B57" s="15">
        <f>'GIV-PersAdmon'!C20</f>
        <v>1</v>
      </c>
      <c r="C57" s="15">
        <f>'GIV-PersAdmon'!C7</f>
        <v>2</v>
      </c>
      <c r="D57" s="15">
        <f t="shared" si="10"/>
        <v>3</v>
      </c>
      <c r="E57" s="9">
        <f t="shared" si="11"/>
        <v>3384064.2666666657</v>
      </c>
      <c r="F57" s="12">
        <f t="shared" si="9"/>
        <v>6768128.5333333313</v>
      </c>
    </row>
    <row r="58" spans="1:6" ht="14.45" customHeight="1">
      <c r="A58" s="85" t="s">
        <v>8</v>
      </c>
      <c r="B58" s="15">
        <f>'GIV-PersAdmon'!C21</f>
        <v>1</v>
      </c>
      <c r="C58" s="15">
        <f>'GIV-PersAdmon'!C8</f>
        <v>2</v>
      </c>
      <c r="D58" s="15">
        <f t="shared" si="10"/>
        <v>3</v>
      </c>
      <c r="E58" s="9">
        <f t="shared" si="11"/>
        <v>3424376.9066666663</v>
      </c>
      <c r="F58" s="12">
        <f t="shared" si="9"/>
        <v>6848753.8133333325</v>
      </c>
    </row>
    <row r="59" spans="1:6">
      <c r="A59" s="85" t="s">
        <v>9</v>
      </c>
      <c r="B59" s="136">
        <f>'GIV-PersAdmon'!C22</f>
        <v>0</v>
      </c>
      <c r="C59" s="15">
        <f>'GIV-PersAdmon'!C9</f>
        <v>1</v>
      </c>
      <c r="D59" s="15">
        <f t="shared" si="10"/>
        <v>1</v>
      </c>
      <c r="E59" s="9">
        <f t="shared" si="11"/>
        <v>3424376.9066666663</v>
      </c>
      <c r="F59" s="12">
        <f t="shared" si="9"/>
        <v>3424376.9066666663</v>
      </c>
    </row>
    <row r="60" spans="1:6">
      <c r="A60" s="149" t="s">
        <v>15</v>
      </c>
      <c r="B60" s="150"/>
      <c r="C60" s="151"/>
      <c r="D60" s="15"/>
      <c r="E60" s="84"/>
      <c r="F60" s="84">
        <f>SUM(F54:F59)</f>
        <v>26395662.890666664</v>
      </c>
    </row>
    <row r="61" spans="1:6">
      <c r="D61" s="13"/>
    </row>
    <row r="62" spans="1:6" ht="15.75">
      <c r="C62" s="158" t="s">
        <v>16</v>
      </c>
      <c r="D62" s="158"/>
      <c r="E62" s="16">
        <f>'GIV-PersAdmon'!C25</f>
        <v>369.31165528042322</v>
      </c>
    </row>
    <row r="63" spans="1:6" ht="15.75">
      <c r="C63" s="158" t="s">
        <v>17</v>
      </c>
      <c r="D63" s="158"/>
      <c r="E63" s="16">
        <f>'GIV-PersAdmon'!C12</f>
        <v>289.41660790397975</v>
      </c>
    </row>
  </sheetData>
  <mergeCells count="26">
    <mergeCell ref="A52:F52"/>
    <mergeCell ref="C50:D50"/>
    <mergeCell ref="C63:D63"/>
    <mergeCell ref="A60:C60"/>
    <mergeCell ref="C62:D62"/>
    <mergeCell ref="C36:D36"/>
    <mergeCell ref="A39:F39"/>
    <mergeCell ref="C37:D37"/>
    <mergeCell ref="A47:C47"/>
    <mergeCell ref="C49:D49"/>
    <mergeCell ref="A34:C34"/>
    <mergeCell ref="A1:F1"/>
    <mergeCell ref="A2:F2"/>
    <mergeCell ref="B4:C4"/>
    <mergeCell ref="A12:F12"/>
    <mergeCell ref="B5:C5"/>
    <mergeCell ref="B6:C6"/>
    <mergeCell ref="B7:C7"/>
    <mergeCell ref="B8:C8"/>
    <mergeCell ref="B9:C9"/>
    <mergeCell ref="B10:C10"/>
    <mergeCell ref="C22:D22"/>
    <mergeCell ref="C23:D23"/>
    <mergeCell ref="A20:D20"/>
    <mergeCell ref="E20:F20"/>
    <mergeCell ref="A26:F2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EA9B9-7574-4BE3-B973-B545D52AAE05}">
  <sheetPr>
    <tabColor rgb="FF00B050"/>
  </sheetPr>
  <dimension ref="A1:M48"/>
  <sheetViews>
    <sheetView topLeftCell="A4" workbookViewId="0">
      <selection activeCell="H12" sqref="H12"/>
    </sheetView>
  </sheetViews>
  <sheetFormatPr baseColWidth="10" defaultColWidth="11.42578125" defaultRowHeight="15"/>
  <cols>
    <col min="1" max="1" width="19.42578125" style="1" bestFit="1" customWidth="1"/>
    <col min="2" max="2" width="14" style="1" bestFit="1" customWidth="1"/>
    <col min="3" max="3" width="22.5703125" style="1" bestFit="1" customWidth="1"/>
    <col min="4" max="4" width="14.28515625" style="1" bestFit="1" customWidth="1"/>
    <col min="5" max="5" width="16.28515625" style="1" customWidth="1"/>
    <col min="6" max="6" width="16.7109375" style="1" bestFit="1" customWidth="1"/>
    <col min="7" max="7" width="11.42578125" style="1"/>
    <col min="8" max="8" width="13" style="1" bestFit="1" customWidth="1"/>
    <col min="9" max="12" width="11.42578125" style="1"/>
    <col min="13" max="13" width="13" style="1" bestFit="1" customWidth="1"/>
    <col min="14" max="16384" width="11.42578125" style="1"/>
  </cols>
  <sheetData>
    <row r="1" spans="1:13" ht="30.75" customHeight="1">
      <c r="A1" s="152" t="s">
        <v>0</v>
      </c>
      <c r="B1" s="152"/>
      <c r="C1" s="152"/>
      <c r="D1" s="152"/>
      <c r="E1" s="152"/>
      <c r="F1" s="152"/>
    </row>
    <row r="2" spans="1:13" ht="19.5" customHeight="1">
      <c r="A2" s="153" t="s">
        <v>21</v>
      </c>
      <c r="B2" s="153"/>
      <c r="C2" s="153"/>
      <c r="D2" s="153"/>
      <c r="E2" s="153"/>
      <c r="F2" s="153"/>
    </row>
    <row r="4" spans="1:13" ht="30" customHeight="1">
      <c r="B4" s="154" t="s">
        <v>2</v>
      </c>
      <c r="C4" s="154"/>
      <c r="D4" s="133" t="s">
        <v>3</v>
      </c>
    </row>
    <row r="5" spans="1:13">
      <c r="B5" s="163" t="s">
        <v>22</v>
      </c>
      <c r="C5" s="163"/>
      <c r="D5" s="2">
        <f>'BASE DE SALARIOS'!X14</f>
        <v>2377953.91</v>
      </c>
    </row>
    <row r="6" spans="1:13">
      <c r="B6" s="163" t="s">
        <v>23</v>
      </c>
      <c r="C6" s="163"/>
      <c r="D6" s="90">
        <f>'BASE DE SALARIOS'!AB14</f>
        <v>1283476.9550000001</v>
      </c>
      <c r="F6" s="119"/>
      <c r="G6" s="119"/>
    </row>
    <row r="7" spans="1:13">
      <c r="B7" s="163" t="s">
        <v>24</v>
      </c>
      <c r="C7" s="163"/>
      <c r="D7" s="90">
        <f>'BASE DE SALARIOS'!AF14</f>
        <v>72965.13033333332</v>
      </c>
    </row>
    <row r="9" spans="1:13" ht="22.5" customHeight="1">
      <c r="A9" s="155" t="s">
        <v>10</v>
      </c>
      <c r="B9" s="155"/>
      <c r="C9" s="155"/>
      <c r="D9" s="155"/>
      <c r="E9" s="155"/>
      <c r="F9" s="155"/>
    </row>
    <row r="10" spans="1:13" ht="26.25" customHeight="1">
      <c r="A10" s="133" t="s">
        <v>11</v>
      </c>
      <c r="B10" s="135" t="s">
        <v>12</v>
      </c>
      <c r="C10" s="135" t="s">
        <v>13</v>
      </c>
      <c r="D10" s="135" t="s">
        <v>14</v>
      </c>
      <c r="E10" s="133" t="s">
        <v>3</v>
      </c>
      <c r="F10" s="135" t="s">
        <v>14</v>
      </c>
    </row>
    <row r="11" spans="1:13" ht="30">
      <c r="A11" s="136" t="s">
        <v>22</v>
      </c>
      <c r="B11" s="20">
        <f>'GI- Manipul'!C15</f>
        <v>20</v>
      </c>
      <c r="C11" s="21">
        <f>'GI- Manipul'!C5</f>
        <v>22</v>
      </c>
      <c r="D11" s="15">
        <f>B11+C11</f>
        <v>42</v>
      </c>
      <c r="E11" s="90">
        <f>+D5</f>
        <v>2377953.91</v>
      </c>
      <c r="F11" s="91">
        <f>D11*E11</f>
        <v>99874064.219999999</v>
      </c>
      <c r="M11" s="92"/>
    </row>
    <row r="12" spans="1:13" ht="30">
      <c r="A12" s="136" t="s">
        <v>23</v>
      </c>
      <c r="B12" s="21">
        <f>'GI- Manipul'!H15</f>
        <v>66</v>
      </c>
      <c r="C12" s="21">
        <f>+'GI- Manipul'!H5</f>
        <v>40</v>
      </c>
      <c r="D12" s="15">
        <f t="shared" ref="D12:D13" si="0">B12+C12</f>
        <v>106</v>
      </c>
      <c r="E12" s="90">
        <f>+D6</f>
        <v>1283476.9550000001</v>
      </c>
      <c r="F12" s="91">
        <f t="shared" ref="F12:F13" si="1">D12*E12</f>
        <v>136048557.23000002</v>
      </c>
      <c r="M12" s="92"/>
    </row>
    <row r="13" spans="1:13" ht="30">
      <c r="A13" s="136" t="s">
        <v>24</v>
      </c>
      <c r="B13" s="21">
        <f>'GI- Manipul'!H16</f>
        <v>41</v>
      </c>
      <c r="C13" s="15">
        <f>+'GI- Manipul'!H6</f>
        <v>29</v>
      </c>
      <c r="D13" s="15">
        <f t="shared" si="0"/>
        <v>70</v>
      </c>
      <c r="E13" s="90">
        <f>+D7</f>
        <v>72965.13033333332</v>
      </c>
      <c r="F13" s="91">
        <f t="shared" si="1"/>
        <v>5107559.1233333321</v>
      </c>
      <c r="M13" s="92"/>
    </row>
    <row r="14" spans="1:13">
      <c r="A14" s="162" t="s">
        <v>15</v>
      </c>
      <c r="B14" s="162"/>
      <c r="C14" s="162"/>
      <c r="D14" s="162"/>
      <c r="E14" s="162"/>
      <c r="F14" s="96">
        <f>SUM(F11:F13)</f>
        <v>241030180.57333335</v>
      </c>
      <c r="M14" s="92"/>
    </row>
    <row r="15" spans="1:13">
      <c r="F15" s="93"/>
    </row>
    <row r="16" spans="1:13" ht="15.75">
      <c r="C16" s="158" t="s">
        <v>16</v>
      </c>
      <c r="D16" s="158"/>
      <c r="E16" s="16">
        <f>'GI- Manipul'!D19+'GI- Manipul'!I19</f>
        <v>758.38437017413037</v>
      </c>
      <c r="F16" s="93"/>
    </row>
    <row r="17" spans="1:6" ht="15.75">
      <c r="C17" s="158" t="s">
        <v>17</v>
      </c>
      <c r="D17" s="158"/>
      <c r="E17" s="16">
        <f>'GI- Manipul'!D9+'GI- Manipul'!I9</f>
        <v>1264.5415994125829</v>
      </c>
      <c r="F17" s="93"/>
    </row>
    <row r="20" spans="1:6" ht="22.5" customHeight="1">
      <c r="A20" s="160" t="s">
        <v>18</v>
      </c>
      <c r="B20" s="161"/>
      <c r="C20" s="161"/>
      <c r="D20" s="161"/>
      <c r="E20" s="161"/>
      <c r="F20" s="161"/>
    </row>
    <row r="21" spans="1:6" ht="26.25" customHeight="1">
      <c r="A21" s="133" t="s">
        <v>11</v>
      </c>
      <c r="B21" s="135" t="s">
        <v>12</v>
      </c>
      <c r="C21" s="135" t="s">
        <v>13</v>
      </c>
      <c r="D21" s="135" t="s">
        <v>14</v>
      </c>
      <c r="E21" s="133" t="s">
        <v>3</v>
      </c>
      <c r="F21" s="135" t="s">
        <v>14</v>
      </c>
    </row>
    <row r="22" spans="1:6" ht="30">
      <c r="A22" s="136" t="s">
        <v>22</v>
      </c>
      <c r="B22" s="94">
        <f>'GII- Manipul'!C15</f>
        <v>3</v>
      </c>
      <c r="C22" s="21">
        <f>'GII- Manipul'!C5</f>
        <v>31</v>
      </c>
      <c r="D22" s="15">
        <f>B22+C22</f>
        <v>34</v>
      </c>
      <c r="E22" s="90">
        <f>+D5</f>
        <v>2377953.91</v>
      </c>
      <c r="F22" s="95">
        <f>C22*E22</f>
        <v>73716571.210000008</v>
      </c>
    </row>
    <row r="23" spans="1:6" ht="30">
      <c r="A23" s="136" t="s">
        <v>23</v>
      </c>
      <c r="B23" s="94">
        <f>'GII- Manipul'!H15</f>
        <v>13</v>
      </c>
      <c r="C23" s="21">
        <f>'GII- Manipul'!H5</f>
        <v>36</v>
      </c>
      <c r="D23" s="15">
        <f t="shared" ref="D23:D24" si="2">B23+C23</f>
        <v>49</v>
      </c>
      <c r="E23" s="90">
        <f>+D6</f>
        <v>1283476.9550000001</v>
      </c>
      <c r="F23" s="95">
        <f>C23*E23</f>
        <v>46205170.380000003</v>
      </c>
    </row>
    <row r="24" spans="1:6" ht="30">
      <c r="A24" s="136" t="s">
        <v>24</v>
      </c>
      <c r="B24" s="94">
        <f>'GII- Manipul'!H16</f>
        <v>14</v>
      </c>
      <c r="C24" s="21">
        <f>'GII- Manipul'!H6</f>
        <v>23</v>
      </c>
      <c r="D24" s="15">
        <f t="shared" si="2"/>
        <v>37</v>
      </c>
      <c r="E24" s="90">
        <f>+D7</f>
        <v>72965.13033333332</v>
      </c>
      <c r="F24" s="95">
        <f>C24*E24</f>
        <v>1678197.9976666663</v>
      </c>
    </row>
    <row r="25" spans="1:6">
      <c r="A25" s="162" t="s">
        <v>15</v>
      </c>
      <c r="B25" s="162"/>
      <c r="C25" s="162"/>
      <c r="D25" s="162"/>
      <c r="E25" s="162"/>
      <c r="F25" s="84">
        <f>SUM(F22:F24)</f>
        <v>121599939.58766668</v>
      </c>
    </row>
    <row r="26" spans="1:6">
      <c r="A26" s="17"/>
      <c r="B26" s="17"/>
      <c r="C26" s="17"/>
      <c r="D26" s="18"/>
      <c r="E26" s="18"/>
    </row>
    <row r="27" spans="1:6" ht="15.75">
      <c r="A27" s="17"/>
      <c r="B27" s="17"/>
      <c r="C27" s="158" t="s">
        <v>16</v>
      </c>
      <c r="D27" s="158"/>
      <c r="E27" s="16">
        <f>'GII- Manipul'!D19+'GII- Manipul'!I19</f>
        <v>788.58964983068779</v>
      </c>
    </row>
    <row r="28" spans="1:6" ht="15.75">
      <c r="A28" s="17"/>
      <c r="B28" s="17"/>
      <c r="C28" s="158" t="s">
        <v>17</v>
      </c>
      <c r="D28" s="158"/>
      <c r="E28" s="16">
        <f>'GII- Manipul'!D9+'GII- Manipul'!I9</f>
        <v>1118.283760853305</v>
      </c>
    </row>
    <row r="30" spans="1:6" ht="22.5" customHeight="1">
      <c r="A30" s="160" t="s">
        <v>19</v>
      </c>
      <c r="B30" s="161"/>
      <c r="C30" s="161"/>
      <c r="D30" s="161"/>
      <c r="E30" s="161"/>
      <c r="F30" s="161"/>
    </row>
    <row r="31" spans="1:6" ht="26.25" customHeight="1">
      <c r="A31" s="133" t="s">
        <v>11</v>
      </c>
      <c r="B31" s="135" t="s">
        <v>12</v>
      </c>
      <c r="C31" s="135" t="s">
        <v>13</v>
      </c>
      <c r="D31" s="135" t="s">
        <v>14</v>
      </c>
      <c r="E31" s="133" t="s">
        <v>3</v>
      </c>
      <c r="F31" s="135" t="s">
        <v>14</v>
      </c>
    </row>
    <row r="32" spans="1:6" ht="30">
      <c r="A32" s="136" t="s">
        <v>22</v>
      </c>
      <c r="B32" s="3">
        <f>'GIII- Manipul'!C15</f>
        <v>3</v>
      </c>
      <c r="C32" s="21">
        <f>'GIII- Manipul'!C5</f>
        <v>38</v>
      </c>
      <c r="D32" s="15">
        <f>B32+C32</f>
        <v>41</v>
      </c>
      <c r="E32" s="90">
        <f>+D5</f>
        <v>2377953.91</v>
      </c>
      <c r="F32" s="95">
        <f>C32*E32</f>
        <v>90362248.580000013</v>
      </c>
    </row>
    <row r="33" spans="1:6" ht="30">
      <c r="A33" s="136" t="s">
        <v>23</v>
      </c>
      <c r="B33" s="3">
        <f>'GIII- Manipul'!H15</f>
        <v>18</v>
      </c>
      <c r="C33" s="21">
        <f>'GIII- Manipul'!H5</f>
        <v>77</v>
      </c>
      <c r="D33" s="15">
        <f t="shared" ref="D33:D34" si="3">B33+C33</f>
        <v>95</v>
      </c>
      <c r="E33" s="90">
        <f>+D6</f>
        <v>1283476.9550000001</v>
      </c>
      <c r="F33" s="95">
        <f>C33*E33</f>
        <v>98827725.535000011</v>
      </c>
    </row>
    <row r="34" spans="1:6" ht="30">
      <c r="A34" s="136" t="s">
        <v>24</v>
      </c>
      <c r="B34" s="3">
        <f>'GIII- Manipul'!H16</f>
        <v>20</v>
      </c>
      <c r="C34" s="21">
        <f>'GIII- Manipul'!H6</f>
        <v>54</v>
      </c>
      <c r="D34" s="15">
        <f t="shared" si="3"/>
        <v>74</v>
      </c>
      <c r="E34" s="90">
        <f>+D7</f>
        <v>72965.13033333332</v>
      </c>
      <c r="F34" s="95">
        <f>C34*E34</f>
        <v>3940117.0379999992</v>
      </c>
    </row>
    <row r="35" spans="1:6">
      <c r="A35" s="162" t="s">
        <v>15</v>
      </c>
      <c r="B35" s="162"/>
      <c r="C35" s="162"/>
      <c r="D35" s="162"/>
      <c r="E35" s="162"/>
      <c r="F35" s="84">
        <f>SUM(F32:F34)</f>
        <v>193130091.153</v>
      </c>
    </row>
    <row r="36" spans="1:6">
      <c r="A36" s="17"/>
      <c r="B36" s="17"/>
      <c r="C36" s="17"/>
      <c r="D36" s="18"/>
      <c r="E36" s="18"/>
    </row>
    <row r="37" spans="1:6" ht="15.75">
      <c r="A37" s="17"/>
      <c r="B37" s="17"/>
      <c r="C37" s="158" t="s">
        <v>16</v>
      </c>
      <c r="D37" s="158"/>
      <c r="E37" s="16">
        <f>'GIII- Manipul'!D19+'GIII- Manipul'!I19</f>
        <v>1006.2142706878307</v>
      </c>
    </row>
    <row r="38" spans="1:6" ht="15.75">
      <c r="A38" s="17"/>
      <c r="B38" s="17"/>
      <c r="C38" s="158" t="s">
        <v>17</v>
      </c>
      <c r="D38" s="158"/>
      <c r="E38" s="16">
        <f>'GIII- Manipul'!D9+'GIII- Manipul'!I9</f>
        <v>1349.8709830156636</v>
      </c>
    </row>
    <row r="40" spans="1:6" ht="23.25" customHeight="1">
      <c r="A40" s="160" t="s">
        <v>20</v>
      </c>
      <c r="B40" s="161"/>
      <c r="C40" s="161"/>
      <c r="D40" s="161"/>
      <c r="E40" s="161"/>
      <c r="F40" s="161"/>
    </row>
    <row r="41" spans="1:6" ht="25.5" customHeight="1">
      <c r="A41" s="133" t="s">
        <v>11</v>
      </c>
      <c r="B41" s="135" t="s">
        <v>12</v>
      </c>
      <c r="C41" s="135" t="s">
        <v>13</v>
      </c>
      <c r="D41" s="135" t="s">
        <v>14</v>
      </c>
      <c r="E41" s="133" t="s">
        <v>3</v>
      </c>
      <c r="F41" s="135" t="s">
        <v>14</v>
      </c>
    </row>
    <row r="42" spans="1:6" ht="30">
      <c r="A42" s="136" t="s">
        <v>22</v>
      </c>
      <c r="B42" s="20">
        <f>'GIV- Manipul'!C15</f>
        <v>3</v>
      </c>
      <c r="C42" s="21">
        <f>'GIV- Manipul'!C5</f>
        <v>25</v>
      </c>
      <c r="D42" s="15">
        <f>B42+C42</f>
        <v>28</v>
      </c>
      <c r="E42" s="90">
        <f>+D5</f>
        <v>2377953.91</v>
      </c>
      <c r="F42" s="95">
        <f>C42*E42</f>
        <v>59448847.75</v>
      </c>
    </row>
    <row r="43" spans="1:6" ht="30">
      <c r="A43" s="136" t="s">
        <v>23</v>
      </c>
      <c r="B43" s="21">
        <f>'GIV- Manipul'!H15</f>
        <v>14</v>
      </c>
      <c r="C43" s="21">
        <f>'GIV- Manipul'!H5</f>
        <v>38</v>
      </c>
      <c r="D43" s="15">
        <f t="shared" ref="D43:D44" si="4">B43+C43</f>
        <v>52</v>
      </c>
      <c r="E43" s="90">
        <f>+D6</f>
        <v>1283476.9550000001</v>
      </c>
      <c r="F43" s="95">
        <f>C43*E43</f>
        <v>48772124.290000007</v>
      </c>
    </row>
    <row r="44" spans="1:6" ht="30">
      <c r="A44" s="136" t="s">
        <v>24</v>
      </c>
      <c r="B44" s="21">
        <f>'GIV- Manipul'!H16</f>
        <v>13</v>
      </c>
      <c r="C44" s="21">
        <f>'GIV- Manipul'!H6</f>
        <v>22</v>
      </c>
      <c r="D44" s="15">
        <f t="shared" si="4"/>
        <v>35</v>
      </c>
      <c r="E44" s="90">
        <f>+D7</f>
        <v>72965.13033333332</v>
      </c>
      <c r="F44" s="95">
        <f>C44*E44</f>
        <v>1605232.867333333</v>
      </c>
    </row>
    <row r="45" spans="1:6">
      <c r="A45" s="162" t="s">
        <v>15</v>
      </c>
      <c r="B45" s="162"/>
      <c r="C45" s="162"/>
      <c r="D45" s="162"/>
      <c r="E45" s="162"/>
      <c r="F45" s="84">
        <f>SUM(F42:F44)</f>
        <v>109826204.90733334</v>
      </c>
    </row>
    <row r="46" spans="1:6">
      <c r="D46" s="92"/>
    </row>
    <row r="47" spans="1:6" ht="15.75">
      <c r="C47" s="158" t="s">
        <v>16</v>
      </c>
      <c r="D47" s="158"/>
      <c r="E47" s="16">
        <f>'GIV- Manipul'!D19+'GIV- Manipul'!I19</f>
        <v>827.01859664550261</v>
      </c>
    </row>
    <row r="48" spans="1:6" ht="15.75">
      <c r="C48" s="158" t="s">
        <v>17</v>
      </c>
      <c r="D48" s="158"/>
      <c r="E48" s="16">
        <f>'GIV- Manipul'!D9+'GIV- Manipul'!I9</f>
        <v>1204.1950912506531</v>
      </c>
    </row>
  </sheetData>
  <mergeCells count="22">
    <mergeCell ref="A14:E14"/>
    <mergeCell ref="C16:D16"/>
    <mergeCell ref="C17:D17"/>
    <mergeCell ref="A20:F20"/>
    <mergeCell ref="C37:D37"/>
    <mergeCell ref="C27:D27"/>
    <mergeCell ref="C28:D28"/>
    <mergeCell ref="A9:F9"/>
    <mergeCell ref="A1:F1"/>
    <mergeCell ref="A2:F2"/>
    <mergeCell ref="B4:C4"/>
    <mergeCell ref="B5:C5"/>
    <mergeCell ref="B6:C6"/>
    <mergeCell ref="B7:C7"/>
    <mergeCell ref="C38:D38"/>
    <mergeCell ref="C48:D48"/>
    <mergeCell ref="A45:E45"/>
    <mergeCell ref="A35:E35"/>
    <mergeCell ref="A25:E25"/>
    <mergeCell ref="A30:F30"/>
    <mergeCell ref="A40:F40"/>
    <mergeCell ref="C47:D4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C80FA-CF36-4E03-9CE5-980A112530F7}">
  <sheetPr>
    <tabColor theme="5" tint="0.39997558519241921"/>
  </sheetPr>
  <dimension ref="B1:AH26"/>
  <sheetViews>
    <sheetView showGridLines="0" topLeftCell="S1" zoomScaleNormal="100" workbookViewId="0">
      <selection activeCell="X19" sqref="X19"/>
    </sheetView>
  </sheetViews>
  <sheetFormatPr baseColWidth="10" defaultColWidth="11.42578125" defaultRowHeight="15" customHeight="1"/>
  <cols>
    <col min="1" max="1" width="3.7109375" style="1" customWidth="1"/>
    <col min="2" max="2" width="14.7109375" style="1" customWidth="1"/>
    <col min="3" max="3" width="11.42578125" style="1"/>
    <col min="4" max="4" width="21.28515625" style="1" bestFit="1" customWidth="1"/>
    <col min="5" max="5" width="11.42578125" style="1"/>
    <col min="6" max="6" width="14.7109375" style="1" customWidth="1"/>
    <col min="7" max="7" width="11.42578125" style="1"/>
    <col min="8" max="8" width="15.42578125" style="1" customWidth="1"/>
    <col min="9" max="9" width="11.42578125" style="1"/>
    <col min="10" max="10" width="14.7109375" style="1" customWidth="1"/>
    <col min="11" max="11" width="11.42578125" style="1"/>
    <col min="12" max="12" width="12.7109375" style="1" customWidth="1"/>
    <col min="13" max="13" width="11.42578125" style="1"/>
    <col min="14" max="14" width="14.7109375" style="1" customWidth="1"/>
    <col min="15" max="15" width="11.42578125" style="1"/>
    <col min="16" max="16" width="12.7109375" style="1" customWidth="1"/>
    <col min="17" max="17" width="11.42578125" style="1"/>
    <col min="18" max="18" width="14.7109375" style="1" customWidth="1"/>
    <col min="19" max="19" width="11.42578125" style="1"/>
    <col min="20" max="20" width="21.28515625" style="1" customWidth="1"/>
    <col min="21" max="21" width="11.42578125" style="1"/>
    <col min="22" max="22" width="14.7109375" style="1" customWidth="1"/>
    <col min="23" max="23" width="11.42578125" style="1"/>
    <col min="24" max="24" width="15" style="1" customWidth="1"/>
    <col min="25" max="25" width="11.42578125" style="1"/>
    <col min="26" max="26" width="14.7109375" style="1" customWidth="1"/>
    <col min="27" max="27" width="11.42578125" style="1"/>
    <col min="28" max="28" width="19.140625" style="1" customWidth="1"/>
    <col min="29" max="29" width="11.42578125" style="1"/>
    <col min="30" max="30" width="14.7109375" style="1" customWidth="1"/>
    <col min="31" max="16384" width="11.42578125" style="1"/>
  </cols>
  <sheetData>
    <row r="1" spans="2:34" ht="35.450000000000003" customHeight="1">
      <c r="B1" s="166" t="s">
        <v>25</v>
      </c>
      <c r="C1" s="167"/>
      <c r="D1" s="113" t="s">
        <v>26</v>
      </c>
      <c r="F1" s="166" t="s">
        <v>27</v>
      </c>
      <c r="G1" s="167"/>
      <c r="H1" s="113" t="s">
        <v>26</v>
      </c>
      <c r="J1" s="166" t="s">
        <v>6</v>
      </c>
      <c r="K1" s="167"/>
      <c r="L1" s="113" t="s">
        <v>26</v>
      </c>
      <c r="N1" s="166" t="s">
        <v>28</v>
      </c>
      <c r="O1" s="167"/>
      <c r="P1" s="113" t="s">
        <v>26</v>
      </c>
      <c r="R1" s="166" t="s">
        <v>5</v>
      </c>
      <c r="S1" s="167"/>
      <c r="T1" s="113" t="s">
        <v>26</v>
      </c>
      <c r="V1" s="166" t="s">
        <v>29</v>
      </c>
      <c r="W1" s="167"/>
      <c r="X1" s="113" t="s">
        <v>26</v>
      </c>
      <c r="Z1" s="166" t="s">
        <v>30</v>
      </c>
      <c r="AA1" s="167"/>
      <c r="AB1" s="113" t="s">
        <v>31</v>
      </c>
      <c r="AD1" s="166" t="s">
        <v>32</v>
      </c>
      <c r="AE1" s="167"/>
      <c r="AF1" s="113" t="s">
        <v>33</v>
      </c>
    </row>
    <row r="2" spans="2:34" ht="15" customHeight="1">
      <c r="B2" s="122" t="s">
        <v>34</v>
      </c>
      <c r="C2" s="123">
        <v>2024</v>
      </c>
      <c r="D2" s="124">
        <v>2000000</v>
      </c>
      <c r="F2" s="122" t="s">
        <v>34</v>
      </c>
      <c r="G2" s="123">
        <v>2024</v>
      </c>
      <c r="H2" s="124">
        <v>3200000</v>
      </c>
      <c r="J2" s="122" t="s">
        <v>34</v>
      </c>
      <c r="K2" s="123">
        <v>2024</v>
      </c>
      <c r="L2" s="124">
        <v>2800000</v>
      </c>
      <c r="N2" s="122" t="s">
        <v>34</v>
      </c>
      <c r="O2" s="123">
        <v>2024</v>
      </c>
      <c r="P2" s="124">
        <v>2000000</v>
      </c>
      <c r="R2" s="122" t="s">
        <v>34</v>
      </c>
      <c r="S2" s="123">
        <v>2024</v>
      </c>
      <c r="T2" s="124">
        <v>2800000</v>
      </c>
      <c r="V2" s="122" t="s">
        <v>34</v>
      </c>
      <c r="W2" s="123">
        <v>2024</v>
      </c>
      <c r="X2" s="124">
        <v>1300000</v>
      </c>
      <c r="Z2" s="122" t="s">
        <v>34</v>
      </c>
      <c r="AA2" s="123">
        <v>2024</v>
      </c>
      <c r="AB2" s="124">
        <f>1300000/2</f>
        <v>650000</v>
      </c>
      <c r="AD2" s="122" t="s">
        <v>34</v>
      </c>
      <c r="AE2" s="123">
        <v>2024</v>
      </c>
      <c r="AF2" s="124">
        <f>1300000/30</f>
        <v>43333.333333333336</v>
      </c>
    </row>
    <row r="3" spans="2:34" ht="15" customHeight="1">
      <c r="B3" s="126" t="s">
        <v>34</v>
      </c>
      <c r="C3" s="127">
        <v>2025</v>
      </c>
      <c r="D3" s="128">
        <f>D2*(1+([1]DATOS!$C$24))</f>
        <v>2104000</v>
      </c>
      <c r="F3" s="126" t="s">
        <v>34</v>
      </c>
      <c r="G3" s="127">
        <v>2025</v>
      </c>
      <c r="H3" s="128">
        <f>H2*(1+([1]DATOS!$C$24))</f>
        <v>3366400</v>
      </c>
      <c r="J3" s="126" t="s">
        <v>34</v>
      </c>
      <c r="K3" s="127">
        <v>2025</v>
      </c>
      <c r="L3" s="128">
        <f>L2*(1+([1]DATOS!$C$24))</f>
        <v>2945600</v>
      </c>
      <c r="N3" s="126" t="s">
        <v>34</v>
      </c>
      <c r="O3" s="127">
        <v>2025</v>
      </c>
      <c r="P3" s="128">
        <f>P2*(1+([1]DATOS!$C$24))</f>
        <v>2104000</v>
      </c>
      <c r="R3" s="126" t="s">
        <v>34</v>
      </c>
      <c r="S3" s="127">
        <v>2025</v>
      </c>
      <c r="T3" s="128">
        <f>T2*(1+([1]DATOS!$C$24))</f>
        <v>2945600</v>
      </c>
      <c r="V3" s="126" t="s">
        <v>34</v>
      </c>
      <c r="W3" s="127">
        <v>2025</v>
      </c>
      <c r="X3" s="128">
        <f>X2*(1+[1]DATOS!$E$23)</f>
        <v>1423500</v>
      </c>
      <c r="Z3" s="126" t="s">
        <v>34</v>
      </c>
      <c r="AA3" s="127">
        <v>2025</v>
      </c>
      <c r="AB3" s="128">
        <f>AB2*(1+[1]DATOS!$E$23)</f>
        <v>711750</v>
      </c>
      <c r="AD3" s="126" t="s">
        <v>34</v>
      </c>
      <c r="AE3" s="127">
        <v>2025</v>
      </c>
      <c r="AF3" s="128">
        <f>AF2*(1+[1]DATOS!$E$23)</f>
        <v>47450</v>
      </c>
      <c r="AH3" s="120"/>
    </row>
    <row r="4" spans="2:34" ht="15" customHeight="1">
      <c r="B4" s="168" t="s">
        <v>35</v>
      </c>
      <c r="C4" s="169"/>
      <c r="D4" s="125">
        <v>162000</v>
      </c>
      <c r="F4" s="168" t="s">
        <v>35</v>
      </c>
      <c r="G4" s="169"/>
      <c r="H4" s="125">
        <v>0</v>
      </c>
      <c r="J4" s="168" t="s">
        <v>35</v>
      </c>
      <c r="K4" s="169"/>
      <c r="L4" s="125">
        <v>0</v>
      </c>
      <c r="N4" s="168" t="s">
        <v>35</v>
      </c>
      <c r="O4" s="169"/>
      <c r="P4" s="125">
        <v>162000</v>
      </c>
      <c r="R4" s="168" t="s">
        <v>35</v>
      </c>
      <c r="S4" s="169"/>
      <c r="T4" s="125">
        <v>0</v>
      </c>
      <c r="V4" s="168" t="s">
        <v>35</v>
      </c>
      <c r="W4" s="169"/>
      <c r="X4" s="125">
        <v>162000</v>
      </c>
      <c r="Z4" s="168" t="s">
        <v>35</v>
      </c>
      <c r="AA4" s="169"/>
      <c r="AB4" s="125">
        <v>162000</v>
      </c>
      <c r="AD4" s="168" t="s">
        <v>35</v>
      </c>
      <c r="AE4" s="169"/>
      <c r="AF4" s="125"/>
    </row>
    <row r="5" spans="2:34" ht="15" customHeight="1">
      <c r="B5" s="114" t="s">
        <v>36</v>
      </c>
      <c r="C5" s="115">
        <v>8.5000000000000006E-2</v>
      </c>
      <c r="D5" s="129">
        <f>+D3*C5</f>
        <v>178840</v>
      </c>
      <c r="F5" s="114" t="s">
        <v>36</v>
      </c>
      <c r="G5" s="115">
        <v>8.5000000000000006E-2</v>
      </c>
      <c r="H5" s="129">
        <f>+H3*G5</f>
        <v>286144</v>
      </c>
      <c r="J5" s="114" t="s">
        <v>36</v>
      </c>
      <c r="K5" s="115">
        <v>8.5000000000000006E-2</v>
      </c>
      <c r="L5" s="129">
        <f>+L3*K5</f>
        <v>250376.00000000003</v>
      </c>
      <c r="N5" s="114" t="s">
        <v>36</v>
      </c>
      <c r="O5" s="115">
        <v>8.5000000000000006E-2</v>
      </c>
      <c r="P5" s="129">
        <f>+P3*O5</f>
        <v>178840</v>
      </c>
      <c r="R5" s="114" t="s">
        <v>36</v>
      </c>
      <c r="S5" s="115">
        <v>8.5000000000000006E-2</v>
      </c>
      <c r="T5" s="129">
        <f>+T3*S5</f>
        <v>250376.00000000003</v>
      </c>
      <c r="V5" s="114" t="s">
        <v>36</v>
      </c>
      <c r="W5" s="115">
        <v>8.5000000000000006E-2</v>
      </c>
      <c r="X5" s="129">
        <f>+X3*W5</f>
        <v>120997.50000000001</v>
      </c>
      <c r="Z5" s="114" t="s">
        <v>36</v>
      </c>
      <c r="AA5" s="115">
        <v>8.5000000000000006E-2</v>
      </c>
      <c r="AB5" s="129">
        <f>+AB3*AA5</f>
        <v>60498.750000000007</v>
      </c>
      <c r="AD5" s="114" t="s">
        <v>36</v>
      </c>
      <c r="AE5" s="115">
        <v>8.5000000000000006E-2</v>
      </c>
      <c r="AF5" s="129">
        <f>+AF3*AE5</f>
        <v>4033.2500000000005</v>
      </c>
    </row>
    <row r="6" spans="2:34" ht="15" customHeight="1">
      <c r="B6" s="114" t="s">
        <v>37</v>
      </c>
      <c r="C6" s="115">
        <v>0.12</v>
      </c>
      <c r="D6" s="129">
        <f>+D3*C6</f>
        <v>252480</v>
      </c>
      <c r="F6" s="114" t="s">
        <v>37</v>
      </c>
      <c r="G6" s="115">
        <v>0.12</v>
      </c>
      <c r="H6" s="129">
        <f>+H3*G6</f>
        <v>403968</v>
      </c>
      <c r="J6" s="114" t="s">
        <v>37</v>
      </c>
      <c r="K6" s="115">
        <v>0.12</v>
      </c>
      <c r="L6" s="129">
        <f>+L3*K6</f>
        <v>353472</v>
      </c>
      <c r="N6" s="114" t="s">
        <v>37</v>
      </c>
      <c r="O6" s="115">
        <v>0.12</v>
      </c>
      <c r="P6" s="129">
        <f>+P3*O6</f>
        <v>252480</v>
      </c>
      <c r="R6" s="114" t="s">
        <v>37</v>
      </c>
      <c r="S6" s="115">
        <v>0.12</v>
      </c>
      <c r="T6" s="129">
        <f>+T3*S6</f>
        <v>353472</v>
      </c>
      <c r="V6" s="114" t="s">
        <v>37</v>
      </c>
      <c r="W6" s="115">
        <v>0.12</v>
      </c>
      <c r="X6" s="129">
        <f>+X3*W6</f>
        <v>170820</v>
      </c>
      <c r="Z6" s="114" t="s">
        <v>37</v>
      </c>
      <c r="AA6" s="115">
        <v>0.12</v>
      </c>
      <c r="AB6" s="129">
        <f>+AB3*AA6</f>
        <v>85410</v>
      </c>
      <c r="AD6" s="114" t="s">
        <v>37</v>
      </c>
      <c r="AE6" s="115">
        <v>0.12</v>
      </c>
      <c r="AF6" s="129">
        <f>+AF3*AE6</f>
        <v>5694</v>
      </c>
    </row>
    <row r="7" spans="2:34" ht="15" customHeight="1">
      <c r="B7" s="114" t="s">
        <v>38</v>
      </c>
      <c r="C7" s="116">
        <f>C24</f>
        <v>2.436E-2</v>
      </c>
      <c r="D7" s="129">
        <f>+D3*C7</f>
        <v>51253.440000000002</v>
      </c>
      <c r="F7" s="114" t="s">
        <v>38</v>
      </c>
      <c r="G7" s="116">
        <f>C24</f>
        <v>2.436E-2</v>
      </c>
      <c r="H7" s="129">
        <f>+H3*G7</f>
        <v>82005.504000000001</v>
      </c>
      <c r="J7" s="114" t="s">
        <v>38</v>
      </c>
      <c r="K7" s="116">
        <v>5.2199999999999998E-3</v>
      </c>
      <c r="L7" s="129">
        <f>+L3*K7</f>
        <v>15376.031999999999</v>
      </c>
      <c r="N7" s="114" t="s">
        <v>38</v>
      </c>
      <c r="O7" s="116">
        <v>5.1999999999999998E-3</v>
      </c>
      <c r="P7" s="129">
        <f>+P3*O7</f>
        <v>10940.8</v>
      </c>
      <c r="R7" s="114" t="s">
        <v>38</v>
      </c>
      <c r="S7" s="116">
        <f>C24</f>
        <v>2.436E-2</v>
      </c>
      <c r="T7" s="129">
        <f>+T3*S7</f>
        <v>71754.816000000006</v>
      </c>
      <c r="V7" s="114" t="s">
        <v>38</v>
      </c>
      <c r="W7" s="116">
        <f>C24</f>
        <v>2.436E-2</v>
      </c>
      <c r="X7" s="129">
        <f>+X3*W7</f>
        <v>34676.46</v>
      </c>
      <c r="Z7" s="114" t="s">
        <v>38</v>
      </c>
      <c r="AA7" s="116">
        <f>C24</f>
        <v>2.436E-2</v>
      </c>
      <c r="AB7" s="129">
        <f>+AB3*AA7</f>
        <v>17338.23</v>
      </c>
      <c r="AD7" s="114" t="s">
        <v>38</v>
      </c>
      <c r="AE7" s="116">
        <f>C24</f>
        <v>2.436E-2</v>
      </c>
      <c r="AF7" s="129">
        <f>+AF3*AE7</f>
        <v>1155.8820000000001</v>
      </c>
    </row>
    <row r="8" spans="2:34" ht="15" customHeight="1">
      <c r="B8" s="117" t="s">
        <v>39</v>
      </c>
      <c r="C8" s="115">
        <v>8.3333333333333301E-2</v>
      </c>
      <c r="D8" s="129">
        <f>(+D3+D4)*C8</f>
        <v>188833.33333333326</v>
      </c>
      <c r="F8" s="117" t="s">
        <v>39</v>
      </c>
      <c r="G8" s="115">
        <v>8.3333333333333301E-2</v>
      </c>
      <c r="H8" s="129">
        <f>(+H3+H4)*G8</f>
        <v>280533.3333333332</v>
      </c>
      <c r="J8" s="117" t="s">
        <v>39</v>
      </c>
      <c r="K8" s="115">
        <v>8.3333333333333301E-2</v>
      </c>
      <c r="L8" s="129">
        <f>(+L3+L4)*K8</f>
        <v>245466.66666666657</v>
      </c>
      <c r="N8" s="117" t="s">
        <v>39</v>
      </c>
      <c r="O8" s="115">
        <v>8.3333333333333301E-2</v>
      </c>
      <c r="P8" s="129">
        <f>(+P3+P4)*O8</f>
        <v>188833.33333333326</v>
      </c>
      <c r="R8" s="117" t="s">
        <v>39</v>
      </c>
      <c r="S8" s="115">
        <v>8.3333333333333301E-2</v>
      </c>
      <c r="T8" s="129">
        <f>(+T3+T4)*S8</f>
        <v>245466.66666666657</v>
      </c>
      <c r="V8" s="117" t="s">
        <v>39</v>
      </c>
      <c r="W8" s="115">
        <v>8.3333333333333301E-2</v>
      </c>
      <c r="X8" s="129">
        <f>(+X3+X4)*W8</f>
        <v>132124.99999999994</v>
      </c>
      <c r="Z8" s="117" t="s">
        <v>39</v>
      </c>
      <c r="AA8" s="115">
        <v>8.3333333333333301E-2</v>
      </c>
      <c r="AB8" s="129">
        <f>(+AB3+AB4)*AA8</f>
        <v>72812.499999999971</v>
      </c>
      <c r="AD8" s="117" t="s">
        <v>39</v>
      </c>
      <c r="AE8" s="115">
        <v>8.3333333333333301E-2</v>
      </c>
      <c r="AF8" s="129">
        <f>(+AF3+AF4)*AE8</f>
        <v>3954.1666666666652</v>
      </c>
    </row>
    <row r="9" spans="2:34" ht="15" customHeight="1">
      <c r="B9" s="114" t="s">
        <v>40</v>
      </c>
      <c r="C9" s="115">
        <v>0.01</v>
      </c>
      <c r="D9" s="129">
        <f>+D3*C9</f>
        <v>21040</v>
      </c>
      <c r="F9" s="114" t="s">
        <v>40</v>
      </c>
      <c r="G9" s="115">
        <v>0.01</v>
      </c>
      <c r="H9" s="129">
        <f>+H3*G9</f>
        <v>33664</v>
      </c>
      <c r="J9" s="114" t="s">
        <v>40</v>
      </c>
      <c r="K9" s="115">
        <v>0.01</v>
      </c>
      <c r="L9" s="129">
        <f>+L3*K9</f>
        <v>29456</v>
      </c>
      <c r="N9" s="114" t="s">
        <v>40</v>
      </c>
      <c r="O9" s="115">
        <v>0.01</v>
      </c>
      <c r="P9" s="129">
        <f>+P3*O9</f>
        <v>21040</v>
      </c>
      <c r="R9" s="114" t="s">
        <v>40</v>
      </c>
      <c r="S9" s="115">
        <v>0.01</v>
      </c>
      <c r="T9" s="129">
        <f>+T3*S9</f>
        <v>29456</v>
      </c>
      <c r="V9" s="114" t="s">
        <v>40</v>
      </c>
      <c r="W9" s="115">
        <v>0.01</v>
      </c>
      <c r="X9" s="129">
        <f>+X3*W9</f>
        <v>14235</v>
      </c>
      <c r="Z9" s="114" t="s">
        <v>40</v>
      </c>
      <c r="AA9" s="115">
        <v>0.01</v>
      </c>
      <c r="AB9" s="129">
        <f>+AB3*AA9</f>
        <v>7117.5</v>
      </c>
      <c r="AD9" s="114" t="s">
        <v>40</v>
      </c>
      <c r="AE9" s="115">
        <v>0.01</v>
      </c>
      <c r="AF9" s="129">
        <f>+AF3*AE9</f>
        <v>474.5</v>
      </c>
    </row>
    <row r="10" spans="2:34" ht="15" customHeight="1">
      <c r="B10" s="117" t="s">
        <v>41</v>
      </c>
      <c r="C10" s="115">
        <v>8.3333333333333301E-2</v>
      </c>
      <c r="D10" s="129">
        <f>+(D3+D4)*C10</f>
        <v>188833.33333333326</v>
      </c>
      <c r="F10" s="117" t="s">
        <v>41</v>
      </c>
      <c r="G10" s="115">
        <v>8.3333333333333301E-2</v>
      </c>
      <c r="H10" s="129">
        <f>+(H3+H4)*G10</f>
        <v>280533.3333333332</v>
      </c>
      <c r="J10" s="117" t="s">
        <v>41</v>
      </c>
      <c r="K10" s="115">
        <v>8.3333333333333301E-2</v>
      </c>
      <c r="L10" s="129">
        <f>+(L3+L4)*K10</f>
        <v>245466.66666666657</v>
      </c>
      <c r="N10" s="117" t="s">
        <v>41</v>
      </c>
      <c r="O10" s="115">
        <v>8.3333333333333301E-2</v>
      </c>
      <c r="P10" s="129">
        <f>+(P3+P4)*O10</f>
        <v>188833.33333333326</v>
      </c>
      <c r="R10" s="117" t="s">
        <v>41</v>
      </c>
      <c r="S10" s="115">
        <v>8.3333333333333301E-2</v>
      </c>
      <c r="T10" s="129">
        <f>+(T3+T4)*S10</f>
        <v>245466.66666666657</v>
      </c>
      <c r="V10" s="117" t="s">
        <v>41</v>
      </c>
      <c r="W10" s="115">
        <v>8.3333333333333301E-2</v>
      </c>
      <c r="X10" s="129">
        <f>+(X3+X4)*W10</f>
        <v>132124.99999999994</v>
      </c>
      <c r="Z10" s="117" t="s">
        <v>41</v>
      </c>
      <c r="AA10" s="115">
        <v>8.3333333333333301E-2</v>
      </c>
      <c r="AB10" s="129">
        <f>+(AB3+AB4)*AA10</f>
        <v>72812.499999999971</v>
      </c>
      <c r="AD10" s="117" t="s">
        <v>41</v>
      </c>
      <c r="AE10" s="115">
        <v>8.3333333333333301E-2</v>
      </c>
      <c r="AF10" s="129">
        <f>+(AF3+AF4)*AE10</f>
        <v>3954.1666666666652</v>
      </c>
    </row>
    <row r="11" spans="2:34" ht="15" customHeight="1">
      <c r="B11" s="114" t="s">
        <v>42</v>
      </c>
      <c r="C11" s="116">
        <v>4.1700000000000001E-2</v>
      </c>
      <c r="D11" s="129">
        <f>+D3*C11</f>
        <v>87736.8</v>
      </c>
      <c r="F11" s="114" t="s">
        <v>42</v>
      </c>
      <c r="G11" s="116">
        <v>4.1700000000000001E-2</v>
      </c>
      <c r="H11" s="129">
        <f>+H3*G11</f>
        <v>140378.88</v>
      </c>
      <c r="J11" s="114" t="s">
        <v>42</v>
      </c>
      <c r="K11" s="116">
        <v>4.1700000000000001E-2</v>
      </c>
      <c r="L11" s="129">
        <f>+L3*K11</f>
        <v>122831.52</v>
      </c>
      <c r="N11" s="114" t="s">
        <v>42</v>
      </c>
      <c r="O11" s="116">
        <v>4.1700000000000001E-2</v>
      </c>
      <c r="P11" s="129">
        <f>+P3*O11</f>
        <v>87736.8</v>
      </c>
      <c r="R11" s="114" t="s">
        <v>42</v>
      </c>
      <c r="S11" s="116">
        <v>4.1700000000000001E-2</v>
      </c>
      <c r="T11" s="129">
        <f>+T3*S11</f>
        <v>122831.52</v>
      </c>
      <c r="V11" s="114" t="s">
        <v>42</v>
      </c>
      <c r="W11" s="116">
        <v>4.1700000000000001E-2</v>
      </c>
      <c r="X11" s="129">
        <f>+X3*W11</f>
        <v>59359.950000000004</v>
      </c>
      <c r="Z11" s="114" t="s">
        <v>42</v>
      </c>
      <c r="AA11" s="116">
        <v>4.1700000000000001E-2</v>
      </c>
      <c r="AB11" s="129">
        <f>+AB3*AA11</f>
        <v>29679.975000000002</v>
      </c>
      <c r="AD11" s="114" t="s">
        <v>42</v>
      </c>
      <c r="AE11" s="116">
        <v>4.1700000000000001E-2</v>
      </c>
      <c r="AF11" s="129">
        <f>+AF3*AE11</f>
        <v>1978.665</v>
      </c>
    </row>
    <row r="12" spans="2:34" ht="15" customHeight="1">
      <c r="B12" s="114" t="s">
        <v>43</v>
      </c>
      <c r="C12" s="115">
        <v>0.09</v>
      </c>
      <c r="D12" s="129">
        <f>+D3*C12</f>
        <v>189360</v>
      </c>
      <c r="F12" s="114" t="s">
        <v>43</v>
      </c>
      <c r="G12" s="115">
        <v>0.09</v>
      </c>
      <c r="H12" s="129">
        <f>+H3*G12</f>
        <v>302976</v>
      </c>
      <c r="J12" s="114" t="s">
        <v>43</v>
      </c>
      <c r="K12" s="115">
        <v>0.09</v>
      </c>
      <c r="L12" s="129">
        <f>+L3*K12</f>
        <v>265104</v>
      </c>
      <c r="N12" s="114" t="s">
        <v>43</v>
      </c>
      <c r="O12" s="115">
        <v>0.09</v>
      </c>
      <c r="P12" s="129">
        <f>+P3*O12</f>
        <v>189360</v>
      </c>
      <c r="R12" s="114" t="s">
        <v>43</v>
      </c>
      <c r="S12" s="115">
        <v>0.09</v>
      </c>
      <c r="T12" s="129">
        <f>+T3*S12</f>
        <v>265104</v>
      </c>
      <c r="V12" s="114" t="s">
        <v>43</v>
      </c>
      <c r="W12" s="115">
        <v>0.09</v>
      </c>
      <c r="X12" s="129">
        <f>+X3*W12</f>
        <v>128115</v>
      </c>
      <c r="Z12" s="114" t="s">
        <v>43</v>
      </c>
      <c r="AA12" s="115">
        <v>0.09</v>
      </c>
      <c r="AB12" s="129">
        <f>+AB3*AA12</f>
        <v>64057.5</v>
      </c>
      <c r="AD12" s="114" t="s">
        <v>43</v>
      </c>
      <c r="AE12" s="115">
        <v>0.09</v>
      </c>
      <c r="AF12" s="129">
        <f>+AF3*AE12</f>
        <v>4270.5</v>
      </c>
    </row>
    <row r="13" spans="2:34" ht="15" customHeight="1">
      <c r="B13" s="170" t="s">
        <v>44</v>
      </c>
      <c r="C13" s="171"/>
      <c r="D13" s="130"/>
      <c r="F13" s="170" t="s">
        <v>44</v>
      </c>
      <c r="G13" s="171"/>
      <c r="H13" s="130"/>
      <c r="J13" s="170" t="s">
        <v>44</v>
      </c>
      <c r="K13" s="171"/>
      <c r="L13" s="130"/>
      <c r="N13" s="170" t="s">
        <v>44</v>
      </c>
      <c r="O13" s="171"/>
      <c r="P13" s="130"/>
      <c r="R13" s="170" t="s">
        <v>44</v>
      </c>
      <c r="S13" s="171"/>
      <c r="T13" s="130"/>
      <c r="V13" s="170" t="s">
        <v>44</v>
      </c>
      <c r="W13" s="171"/>
      <c r="X13" s="130"/>
      <c r="Z13" s="170" t="s">
        <v>44</v>
      </c>
      <c r="AA13" s="171"/>
      <c r="AB13" s="130"/>
      <c r="AD13" s="170" t="s">
        <v>44</v>
      </c>
      <c r="AE13" s="171"/>
      <c r="AF13" s="130"/>
    </row>
    <row r="14" spans="2:34" ht="15" customHeight="1">
      <c r="B14" s="172" t="s">
        <v>45</v>
      </c>
      <c r="C14" s="173"/>
      <c r="D14" s="131">
        <f>SUM(D3:D12)</f>
        <v>3424376.9066666663</v>
      </c>
      <c r="F14" s="172" t="s">
        <v>45</v>
      </c>
      <c r="G14" s="173"/>
      <c r="H14" s="131">
        <f>SUM(H3:H12)</f>
        <v>5176603.0506666666</v>
      </c>
      <c r="J14" s="172" t="s">
        <v>45</v>
      </c>
      <c r="K14" s="173"/>
      <c r="L14" s="131">
        <f>SUM(L3:L12)</f>
        <v>4473148.8853333332</v>
      </c>
      <c r="N14" s="172" t="s">
        <v>45</v>
      </c>
      <c r="O14" s="173"/>
      <c r="P14" s="131">
        <f>SUM(P3:P12)</f>
        <v>3384064.2666666657</v>
      </c>
      <c r="R14" s="172" t="s">
        <v>45</v>
      </c>
      <c r="S14" s="173"/>
      <c r="T14" s="131">
        <f>SUM(T3:T12)</f>
        <v>4529527.6693333331</v>
      </c>
      <c r="V14" s="172" t="s">
        <v>45</v>
      </c>
      <c r="W14" s="173"/>
      <c r="X14" s="131">
        <f>SUM(X3:X12)</f>
        <v>2377953.91</v>
      </c>
      <c r="Z14" s="172" t="s">
        <v>45</v>
      </c>
      <c r="AA14" s="173"/>
      <c r="AB14" s="131">
        <f>SUM(AB3:AB12)</f>
        <v>1283476.9550000001</v>
      </c>
      <c r="AD14" s="172" t="s">
        <v>45</v>
      </c>
      <c r="AE14" s="173"/>
      <c r="AF14" s="131">
        <f>SUM(AF3:AF12)</f>
        <v>72965.13033333332</v>
      </c>
    </row>
    <row r="17" spans="2:31" ht="15" customHeight="1">
      <c r="B17" s="1" t="s">
        <v>46</v>
      </c>
      <c r="C17" s="1">
        <f>[1]DATOS!C22</f>
        <v>1300000</v>
      </c>
      <c r="G17" s="118"/>
      <c r="K17" s="118"/>
      <c r="O17" s="118"/>
      <c r="S17" s="118"/>
      <c r="AE17" s="118"/>
    </row>
    <row r="18" spans="2:31" ht="15" customHeight="1">
      <c r="B18" s="1" t="s">
        <v>47</v>
      </c>
      <c r="C18" s="1">
        <f>[1]DATOS!C23</f>
        <v>1423500</v>
      </c>
      <c r="D18" s="1" t="s">
        <v>48</v>
      </c>
      <c r="E18" s="138">
        <f>[1]DATOS!E23</f>
        <v>9.5000000000000001E-2</v>
      </c>
    </row>
    <row r="19" spans="2:31" ht="15" customHeight="1" thickBot="1"/>
    <row r="20" spans="2:31" ht="15" customHeight="1">
      <c r="B20" s="164" t="s">
        <v>275</v>
      </c>
      <c r="C20" s="165"/>
      <c r="S20" s="121"/>
    </row>
    <row r="21" spans="2:31" ht="15" customHeight="1" thickBot="1">
      <c r="B21" s="147" t="s">
        <v>268</v>
      </c>
      <c r="C21" s="148" t="s">
        <v>269</v>
      </c>
    </row>
    <row r="22" spans="2:31" ht="15" customHeight="1">
      <c r="B22" s="145" t="s">
        <v>270</v>
      </c>
      <c r="C22" s="146">
        <v>5.2199999999999998E-3</v>
      </c>
    </row>
    <row r="23" spans="2:31" ht="15" customHeight="1">
      <c r="B23" s="141" t="s">
        <v>271</v>
      </c>
      <c r="C23" s="142">
        <v>1.044E-2</v>
      </c>
    </row>
    <row r="24" spans="2:31" ht="15" customHeight="1">
      <c r="B24" s="141" t="s">
        <v>272</v>
      </c>
      <c r="C24" s="142">
        <v>2.436E-2</v>
      </c>
    </row>
    <row r="25" spans="2:31" ht="15" customHeight="1">
      <c r="B25" s="141" t="s">
        <v>273</v>
      </c>
      <c r="C25" s="142">
        <v>4.3499999999999997E-2</v>
      </c>
    </row>
    <row r="26" spans="2:31" ht="15" customHeight="1" thickBot="1">
      <c r="B26" s="143" t="s">
        <v>274</v>
      </c>
      <c r="C26" s="144">
        <v>6.9599999999999995E-2</v>
      </c>
    </row>
  </sheetData>
  <mergeCells count="33">
    <mergeCell ref="R1:S1"/>
    <mergeCell ref="B4:C4"/>
    <mergeCell ref="F4:G4"/>
    <mergeCell ref="J4:K4"/>
    <mergeCell ref="N4:O4"/>
    <mergeCell ref="B1:C1"/>
    <mergeCell ref="F1:G1"/>
    <mergeCell ref="J1:K1"/>
    <mergeCell ref="N1:O1"/>
    <mergeCell ref="B13:C13"/>
    <mergeCell ref="F13:G13"/>
    <mergeCell ref="J13:K13"/>
    <mergeCell ref="N13:O13"/>
    <mergeCell ref="B14:C14"/>
    <mergeCell ref="F14:G14"/>
    <mergeCell ref="J14:K14"/>
    <mergeCell ref="N14:O14"/>
    <mergeCell ref="B20:C20"/>
    <mergeCell ref="AD1:AE1"/>
    <mergeCell ref="AD4:AE4"/>
    <mergeCell ref="AD13:AE13"/>
    <mergeCell ref="AD14:AE14"/>
    <mergeCell ref="V1:W1"/>
    <mergeCell ref="V4:W4"/>
    <mergeCell ref="V13:W13"/>
    <mergeCell ref="V14:W14"/>
    <mergeCell ref="Z1:AA1"/>
    <mergeCell ref="Z4:AA4"/>
    <mergeCell ref="Z13:AA13"/>
    <mergeCell ref="Z14:AA14"/>
    <mergeCell ref="R4:S4"/>
    <mergeCell ref="R13:S13"/>
    <mergeCell ref="R14:S14"/>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5FBE7-3C30-46D4-AF88-360222F3F258}">
  <sheetPr>
    <tabColor theme="8"/>
  </sheetPr>
  <dimension ref="A2:L52"/>
  <sheetViews>
    <sheetView tabSelected="1" zoomScale="90" zoomScaleNormal="90" workbookViewId="0">
      <selection activeCell="K4" sqref="K4"/>
    </sheetView>
  </sheetViews>
  <sheetFormatPr baseColWidth="10" defaultColWidth="11.42578125" defaultRowHeight="15" customHeight="1"/>
  <cols>
    <col min="1" max="1" width="61.5703125" style="6" customWidth="1"/>
    <col min="2" max="2" width="19.140625" style="6" customWidth="1"/>
    <col min="3" max="3" width="23.5703125" style="6" customWidth="1"/>
    <col min="4" max="4" width="22.140625" style="6" customWidth="1"/>
    <col min="5" max="5" width="7.140625" style="6" customWidth="1"/>
    <col min="6" max="6" width="18.140625" style="6" customWidth="1"/>
    <col min="7" max="7" width="17" style="6" bestFit="1" customWidth="1"/>
    <col min="8" max="8" width="11.42578125" style="6"/>
    <col min="9" max="9" width="18.28515625" style="6" customWidth="1"/>
    <col min="10" max="16384" width="11.42578125" style="6"/>
  </cols>
  <sheetData>
    <row r="2" spans="1:12" ht="15" customHeight="1">
      <c r="C2" s="175" t="s">
        <v>49</v>
      </c>
      <c r="D2" s="175"/>
      <c r="F2" s="176" t="s">
        <v>50</v>
      </c>
      <c r="G2" s="177"/>
      <c r="I2" s="35" t="s">
        <v>51</v>
      </c>
      <c r="J2" s="35" t="s">
        <v>49</v>
      </c>
      <c r="K2" s="35" t="s">
        <v>14</v>
      </c>
    </row>
    <row r="3" spans="1:12" ht="15" customHeight="1">
      <c r="C3" s="71" t="s">
        <v>52</v>
      </c>
      <c r="D3" s="72">
        <f>+D52</f>
        <v>8493</v>
      </c>
      <c r="F3" s="137" t="s">
        <v>53</v>
      </c>
      <c r="G3" s="137">
        <f>'[1]CONSOLIDADO FINAL'!$B$26</f>
        <v>21</v>
      </c>
      <c r="I3" s="35" t="s">
        <v>54</v>
      </c>
      <c r="J3" s="36">
        <f>+D3</f>
        <v>8493</v>
      </c>
      <c r="K3" s="37">
        <f>SUM(E9:E50)</f>
        <v>66</v>
      </c>
      <c r="L3" s="80"/>
    </row>
    <row r="4" spans="1:12" ht="15" customHeight="1">
      <c r="C4" s="71" t="s">
        <v>55</v>
      </c>
      <c r="D4" s="73">
        <f>+D3*G3</f>
        <v>178353</v>
      </c>
      <c r="F4" s="35" t="s">
        <v>56</v>
      </c>
      <c r="G4" s="137">
        <f>'[1]CONSOLIDADO FINAL'!$B$27</f>
        <v>118</v>
      </c>
      <c r="I4" s="35" t="s">
        <v>57</v>
      </c>
      <c r="J4" s="36">
        <f>+J3</f>
        <v>8493</v>
      </c>
      <c r="K4" s="37">
        <f>ROUNDUP((1/440)*J4,0)</f>
        <v>20</v>
      </c>
    </row>
    <row r="5" spans="1:12" ht="15" customHeight="1">
      <c r="C5" s="71" t="s">
        <v>56</v>
      </c>
      <c r="D5" s="73">
        <f>+D3*G4</f>
        <v>1002174</v>
      </c>
      <c r="I5" s="35" t="s">
        <v>58</v>
      </c>
      <c r="J5" s="178">
        <f>SUM(K3:K4)</f>
        <v>86</v>
      </c>
      <c r="K5" s="179"/>
    </row>
    <row r="7" spans="1:12" ht="15" customHeight="1">
      <c r="I7" s="88" t="s">
        <v>59</v>
      </c>
      <c r="J7" s="88">
        <f>COUNTA(A10:A50)</f>
        <v>41</v>
      </c>
    </row>
    <row r="9" spans="1:12" ht="15" customHeight="1">
      <c r="A9" s="22" t="s">
        <v>60</v>
      </c>
      <c r="B9" s="23" t="s">
        <v>61</v>
      </c>
      <c r="C9" s="24" t="s">
        <v>62</v>
      </c>
      <c r="D9" s="23" t="s">
        <v>63</v>
      </c>
      <c r="E9" s="23" t="s">
        <v>64</v>
      </c>
    </row>
    <row r="10" spans="1:12" ht="15" customHeight="1">
      <c r="A10" s="43" t="s">
        <v>65</v>
      </c>
      <c r="B10" s="26" t="s">
        <v>66</v>
      </c>
      <c r="C10" s="47" t="s">
        <v>67</v>
      </c>
      <c r="D10" s="39">
        <v>450</v>
      </c>
      <c r="E10" s="68">
        <f>IF(D10=0,0,IF(D10&lt;=50,0,IF(D10&lt;=150,1,IF(D10&lt;=300,2,IF(D10&lt;=501,3)))))</f>
        <v>3</v>
      </c>
    </row>
    <row r="11" spans="1:12" ht="15" customHeight="1">
      <c r="A11" s="43" t="s">
        <v>68</v>
      </c>
      <c r="B11" s="26" t="s">
        <v>66</v>
      </c>
      <c r="C11" s="47" t="s">
        <v>67</v>
      </c>
      <c r="D11" s="39">
        <v>350</v>
      </c>
      <c r="E11" s="68">
        <f t="shared" ref="E11:E51" si="0">IF(D11=0,0,IF(D11&lt;=50,0,IF(D11&lt;=150,1,IF(D11&lt;=300,2,IF(D11&lt;=501,3)))))</f>
        <v>3</v>
      </c>
    </row>
    <row r="12" spans="1:12" ht="15" customHeight="1">
      <c r="A12" s="43" t="s">
        <v>69</v>
      </c>
      <c r="B12" s="26" t="s">
        <v>66</v>
      </c>
      <c r="C12" s="39" t="s">
        <v>67</v>
      </c>
      <c r="D12" s="39">
        <v>140</v>
      </c>
      <c r="E12" s="68">
        <f t="shared" si="0"/>
        <v>1</v>
      </c>
    </row>
    <row r="13" spans="1:12" ht="15" customHeight="1">
      <c r="A13" s="43" t="s">
        <v>70</v>
      </c>
      <c r="B13" s="26" t="s">
        <v>66</v>
      </c>
      <c r="C13" s="39" t="s">
        <v>67</v>
      </c>
      <c r="D13" s="39">
        <v>350</v>
      </c>
      <c r="E13" s="68">
        <f t="shared" si="0"/>
        <v>3</v>
      </c>
    </row>
    <row r="14" spans="1:12" ht="15" customHeight="1">
      <c r="A14" s="43" t="s">
        <v>71</v>
      </c>
      <c r="B14" s="26" t="s">
        <v>66</v>
      </c>
      <c r="C14" s="39" t="s">
        <v>67</v>
      </c>
      <c r="D14" s="39">
        <v>200</v>
      </c>
      <c r="E14" s="68">
        <f t="shared" si="0"/>
        <v>2</v>
      </c>
    </row>
    <row r="15" spans="1:12" ht="15" customHeight="1">
      <c r="A15" s="43" t="s">
        <v>72</v>
      </c>
      <c r="B15" s="26" t="s">
        <v>66</v>
      </c>
      <c r="C15" s="47" t="s">
        <v>67</v>
      </c>
      <c r="D15" s="39">
        <v>27</v>
      </c>
      <c r="E15" s="68">
        <f t="shared" si="0"/>
        <v>0</v>
      </c>
    </row>
    <row r="16" spans="1:12" ht="15" customHeight="1">
      <c r="A16" s="43" t="s">
        <v>73</v>
      </c>
      <c r="B16" s="26" t="s">
        <v>66</v>
      </c>
      <c r="C16" s="47" t="s">
        <v>67</v>
      </c>
      <c r="D16" s="39">
        <v>77</v>
      </c>
      <c r="E16" s="68">
        <f t="shared" si="0"/>
        <v>1</v>
      </c>
    </row>
    <row r="17" spans="1:5" ht="15" customHeight="1">
      <c r="A17" s="43" t="s">
        <v>74</v>
      </c>
      <c r="B17" s="26" t="s">
        <v>66</v>
      </c>
      <c r="C17" s="47" t="s">
        <v>67</v>
      </c>
      <c r="D17" s="39">
        <v>9</v>
      </c>
      <c r="E17" s="68">
        <f t="shared" si="0"/>
        <v>0</v>
      </c>
    </row>
    <row r="18" spans="1:5" ht="15" customHeight="1">
      <c r="A18" s="43" t="s">
        <v>75</v>
      </c>
      <c r="B18" s="26" t="s">
        <v>66</v>
      </c>
      <c r="C18" s="47" t="s">
        <v>67</v>
      </c>
      <c r="D18" s="39">
        <v>15</v>
      </c>
      <c r="E18" s="68">
        <f t="shared" si="0"/>
        <v>0</v>
      </c>
    </row>
    <row r="19" spans="1:5" ht="15" customHeight="1">
      <c r="A19" s="43" t="s">
        <v>76</v>
      </c>
      <c r="B19" s="26" t="s">
        <v>66</v>
      </c>
      <c r="C19" s="47" t="s">
        <v>67</v>
      </c>
      <c r="D19" s="39">
        <v>27</v>
      </c>
      <c r="E19" s="68">
        <f t="shared" si="0"/>
        <v>0</v>
      </c>
    </row>
    <row r="20" spans="1:5" ht="15" customHeight="1">
      <c r="A20" s="43" t="s">
        <v>77</v>
      </c>
      <c r="B20" s="26" t="s">
        <v>66</v>
      </c>
      <c r="C20" s="47" t="s">
        <v>67</v>
      </c>
      <c r="D20" s="39">
        <v>11</v>
      </c>
      <c r="E20" s="68">
        <f t="shared" si="0"/>
        <v>0</v>
      </c>
    </row>
    <row r="21" spans="1:5" ht="15" customHeight="1">
      <c r="A21" s="43" t="s">
        <v>78</v>
      </c>
      <c r="B21" s="26" t="s">
        <v>66</v>
      </c>
      <c r="C21" s="47" t="s">
        <v>67</v>
      </c>
      <c r="D21" s="39">
        <v>7</v>
      </c>
      <c r="E21" s="68">
        <f t="shared" si="0"/>
        <v>0</v>
      </c>
    </row>
    <row r="22" spans="1:5" ht="15" customHeight="1">
      <c r="A22" s="43" t="s">
        <v>79</v>
      </c>
      <c r="B22" s="26" t="s">
        <v>66</v>
      </c>
      <c r="C22" s="39" t="s">
        <v>67</v>
      </c>
      <c r="D22" s="39">
        <v>80</v>
      </c>
      <c r="E22" s="68">
        <f t="shared" si="0"/>
        <v>1</v>
      </c>
    </row>
    <row r="23" spans="1:5" ht="15" customHeight="1">
      <c r="A23" s="43" t="s">
        <v>80</v>
      </c>
      <c r="B23" s="26" t="s">
        <v>66</v>
      </c>
      <c r="C23" s="39" t="s">
        <v>67</v>
      </c>
      <c r="D23" s="39">
        <v>170</v>
      </c>
      <c r="E23" s="68">
        <f t="shared" si="0"/>
        <v>2</v>
      </c>
    </row>
    <row r="24" spans="1:5" ht="15" customHeight="1">
      <c r="A24" s="43" t="s">
        <v>81</v>
      </c>
      <c r="B24" s="26" t="s">
        <v>66</v>
      </c>
      <c r="C24" s="39" t="s">
        <v>67</v>
      </c>
      <c r="D24" s="39">
        <v>200</v>
      </c>
      <c r="E24" s="68">
        <f t="shared" si="0"/>
        <v>2</v>
      </c>
    </row>
    <row r="25" spans="1:5" ht="15" customHeight="1">
      <c r="A25" s="43" t="s">
        <v>82</v>
      </c>
      <c r="B25" s="26" t="s">
        <v>66</v>
      </c>
      <c r="C25" s="39" t="s">
        <v>67</v>
      </c>
      <c r="D25" s="39">
        <v>114</v>
      </c>
      <c r="E25" s="68">
        <f t="shared" si="0"/>
        <v>1</v>
      </c>
    </row>
    <row r="26" spans="1:5" ht="15" customHeight="1">
      <c r="A26" s="43" t="s">
        <v>83</v>
      </c>
      <c r="B26" s="26" t="s">
        <v>66</v>
      </c>
      <c r="C26" s="39" t="s">
        <v>67</v>
      </c>
      <c r="D26" s="39">
        <v>150</v>
      </c>
      <c r="E26" s="68">
        <f t="shared" si="0"/>
        <v>1</v>
      </c>
    </row>
    <row r="27" spans="1:5" ht="15" customHeight="1">
      <c r="A27" s="43" t="s">
        <v>84</v>
      </c>
      <c r="B27" s="26" t="s">
        <v>66</v>
      </c>
      <c r="C27" s="47" t="s">
        <v>67</v>
      </c>
      <c r="D27" s="39">
        <v>200</v>
      </c>
      <c r="E27" s="68">
        <f t="shared" si="0"/>
        <v>2</v>
      </c>
    </row>
    <row r="28" spans="1:5" ht="15" customHeight="1">
      <c r="A28" s="43" t="s">
        <v>85</v>
      </c>
      <c r="B28" s="26" t="s">
        <v>66</v>
      </c>
      <c r="C28" s="39" t="s">
        <v>67</v>
      </c>
      <c r="D28" s="39">
        <v>500</v>
      </c>
      <c r="E28" s="68">
        <f t="shared" si="0"/>
        <v>3</v>
      </c>
    </row>
    <row r="29" spans="1:5" ht="15" customHeight="1">
      <c r="A29" s="81" t="s">
        <v>86</v>
      </c>
      <c r="B29" s="26" t="s">
        <v>66</v>
      </c>
      <c r="C29" s="82" t="s">
        <v>67</v>
      </c>
      <c r="D29" s="39">
        <v>300</v>
      </c>
      <c r="E29" s="68">
        <f t="shared" si="0"/>
        <v>2</v>
      </c>
    </row>
    <row r="30" spans="1:5" ht="15" customHeight="1">
      <c r="A30" s="43" t="s">
        <v>87</v>
      </c>
      <c r="B30" s="26" t="s">
        <v>66</v>
      </c>
      <c r="C30" s="39" t="s">
        <v>67</v>
      </c>
      <c r="D30" s="39">
        <v>300</v>
      </c>
      <c r="E30" s="68">
        <f t="shared" si="0"/>
        <v>2</v>
      </c>
    </row>
    <row r="31" spans="1:5" ht="15" customHeight="1">
      <c r="A31" s="43" t="s">
        <v>88</v>
      </c>
      <c r="B31" s="26" t="s">
        <v>66</v>
      </c>
      <c r="C31" s="39" t="s">
        <v>67</v>
      </c>
      <c r="D31" s="39">
        <v>200</v>
      </c>
      <c r="E31" s="68">
        <f t="shared" si="0"/>
        <v>2</v>
      </c>
    </row>
    <row r="32" spans="1:5" ht="15" customHeight="1">
      <c r="A32" s="43" t="s">
        <v>89</v>
      </c>
      <c r="B32" s="26" t="s">
        <v>66</v>
      </c>
      <c r="C32" s="83" t="s">
        <v>67</v>
      </c>
      <c r="D32" s="39">
        <v>200</v>
      </c>
      <c r="E32" s="68">
        <f t="shared" si="0"/>
        <v>2</v>
      </c>
    </row>
    <row r="33" spans="1:5" ht="15" customHeight="1">
      <c r="A33" s="43" t="s">
        <v>90</v>
      </c>
      <c r="B33" s="26" t="s">
        <v>66</v>
      </c>
      <c r="C33" s="39" t="s">
        <v>67</v>
      </c>
      <c r="D33" s="39">
        <v>125</v>
      </c>
      <c r="E33" s="68">
        <f t="shared" si="0"/>
        <v>1</v>
      </c>
    </row>
    <row r="34" spans="1:5" ht="15" customHeight="1">
      <c r="A34" s="43" t="s">
        <v>91</v>
      </c>
      <c r="B34" s="26" t="s">
        <v>66</v>
      </c>
      <c r="C34" s="39" t="s">
        <v>67</v>
      </c>
      <c r="D34" s="39">
        <v>200</v>
      </c>
      <c r="E34" s="68">
        <f t="shared" si="0"/>
        <v>2</v>
      </c>
    </row>
    <row r="35" spans="1:5" ht="15" customHeight="1">
      <c r="A35" s="43" t="s">
        <v>92</v>
      </c>
      <c r="B35" s="26" t="s">
        <v>66</v>
      </c>
      <c r="C35" s="39" t="s">
        <v>67</v>
      </c>
      <c r="D35" s="39">
        <v>5</v>
      </c>
      <c r="E35" s="68">
        <f t="shared" si="0"/>
        <v>0</v>
      </c>
    </row>
    <row r="36" spans="1:5" ht="15" customHeight="1">
      <c r="A36" s="43" t="s">
        <v>93</v>
      </c>
      <c r="B36" s="26" t="s">
        <v>66</v>
      </c>
      <c r="C36" s="39" t="s">
        <v>67</v>
      </c>
      <c r="D36" s="39">
        <v>500</v>
      </c>
      <c r="E36" s="68">
        <f t="shared" si="0"/>
        <v>3</v>
      </c>
    </row>
    <row r="37" spans="1:5" ht="15" customHeight="1">
      <c r="A37" s="43" t="s">
        <v>94</v>
      </c>
      <c r="B37" s="26" t="s">
        <v>66</v>
      </c>
      <c r="C37" s="39" t="s">
        <v>67</v>
      </c>
      <c r="D37" s="39">
        <v>110</v>
      </c>
      <c r="E37" s="68">
        <f t="shared" si="0"/>
        <v>1</v>
      </c>
    </row>
    <row r="38" spans="1:5" ht="15" customHeight="1">
      <c r="A38" s="43" t="s">
        <v>95</v>
      </c>
      <c r="B38" s="26" t="s">
        <v>66</v>
      </c>
      <c r="C38" s="39" t="s">
        <v>67</v>
      </c>
      <c r="D38" s="39">
        <v>500</v>
      </c>
      <c r="E38" s="68">
        <f t="shared" si="0"/>
        <v>3</v>
      </c>
    </row>
    <row r="39" spans="1:5" ht="15" customHeight="1">
      <c r="A39" s="43" t="s">
        <v>96</v>
      </c>
      <c r="B39" s="26" t="s">
        <v>66</v>
      </c>
      <c r="C39" s="39" t="s">
        <v>67</v>
      </c>
      <c r="D39" s="39">
        <v>300</v>
      </c>
      <c r="E39" s="68">
        <f t="shared" si="0"/>
        <v>2</v>
      </c>
    </row>
    <row r="40" spans="1:5" ht="15" customHeight="1">
      <c r="A40" s="43" t="s">
        <v>97</v>
      </c>
      <c r="B40" s="26" t="s">
        <v>66</v>
      </c>
      <c r="C40" s="39" t="s">
        <v>67</v>
      </c>
      <c r="D40" s="39">
        <v>150</v>
      </c>
      <c r="E40" s="68">
        <f t="shared" si="0"/>
        <v>1</v>
      </c>
    </row>
    <row r="41" spans="1:5" ht="15" customHeight="1">
      <c r="A41" s="43" t="s">
        <v>98</v>
      </c>
      <c r="B41" s="26" t="s">
        <v>66</v>
      </c>
      <c r="C41" s="47" t="s">
        <v>67</v>
      </c>
      <c r="D41" s="39">
        <v>250</v>
      </c>
      <c r="E41" s="68">
        <f t="shared" si="0"/>
        <v>2</v>
      </c>
    </row>
    <row r="42" spans="1:5" ht="15" customHeight="1">
      <c r="A42" s="43" t="s">
        <v>99</v>
      </c>
      <c r="B42" s="26" t="s">
        <v>66</v>
      </c>
      <c r="C42" s="47" t="s">
        <v>67</v>
      </c>
      <c r="D42" s="39">
        <f>135+25</f>
        <v>160</v>
      </c>
      <c r="E42" s="68">
        <f t="shared" si="0"/>
        <v>2</v>
      </c>
    </row>
    <row r="43" spans="1:5" ht="15" customHeight="1">
      <c r="A43" s="43" t="s">
        <v>100</v>
      </c>
      <c r="B43" s="26" t="s">
        <v>66</v>
      </c>
      <c r="C43" s="39" t="s">
        <v>67</v>
      </c>
      <c r="D43" s="39">
        <v>150</v>
      </c>
      <c r="E43" s="68">
        <f t="shared" si="0"/>
        <v>1</v>
      </c>
    </row>
    <row r="44" spans="1:5" ht="15" customHeight="1">
      <c r="A44" s="43" t="s">
        <v>101</v>
      </c>
      <c r="B44" s="26" t="s">
        <v>66</v>
      </c>
      <c r="C44" s="47" t="s">
        <v>67</v>
      </c>
      <c r="D44" s="39">
        <v>200</v>
      </c>
      <c r="E44" s="68">
        <f t="shared" si="0"/>
        <v>2</v>
      </c>
    </row>
    <row r="45" spans="1:5" ht="15" customHeight="1">
      <c r="A45" s="43" t="s">
        <v>102</v>
      </c>
      <c r="B45" s="26" t="s">
        <v>66</v>
      </c>
      <c r="C45" s="47" t="s">
        <v>67</v>
      </c>
      <c r="D45" s="39">
        <v>200</v>
      </c>
      <c r="E45" s="68">
        <f t="shared" si="0"/>
        <v>2</v>
      </c>
    </row>
    <row r="46" spans="1:5" ht="15" customHeight="1">
      <c r="A46" s="43" t="s">
        <v>103</v>
      </c>
      <c r="B46" s="26" t="s">
        <v>66</v>
      </c>
      <c r="C46" s="47" t="s">
        <v>67</v>
      </c>
      <c r="D46" s="39">
        <v>300</v>
      </c>
      <c r="E46" s="68">
        <f t="shared" si="0"/>
        <v>2</v>
      </c>
    </row>
    <row r="47" spans="1:5" ht="15" customHeight="1">
      <c r="A47" s="43" t="s">
        <v>104</v>
      </c>
      <c r="B47" s="26" t="s">
        <v>66</v>
      </c>
      <c r="C47" s="47" t="s">
        <v>105</v>
      </c>
      <c r="D47" s="39">
        <v>500</v>
      </c>
      <c r="E47" s="68">
        <f t="shared" si="0"/>
        <v>3</v>
      </c>
    </row>
    <row r="48" spans="1:5" ht="15" customHeight="1">
      <c r="A48" s="43" t="s">
        <v>106</v>
      </c>
      <c r="B48" s="26" t="s">
        <v>66</v>
      </c>
      <c r="C48" s="47" t="s">
        <v>107</v>
      </c>
      <c r="D48" s="39">
        <v>320</v>
      </c>
      <c r="E48" s="68">
        <f t="shared" si="0"/>
        <v>3</v>
      </c>
    </row>
    <row r="49" spans="1:5" ht="15" customHeight="1">
      <c r="A49" s="43" t="s">
        <v>108</v>
      </c>
      <c r="B49" s="26" t="s">
        <v>66</v>
      </c>
      <c r="C49" s="47" t="s">
        <v>105</v>
      </c>
      <c r="D49" s="39">
        <v>409</v>
      </c>
      <c r="E49" s="68">
        <f t="shared" si="0"/>
        <v>3</v>
      </c>
    </row>
    <row r="50" spans="1:5" ht="15" customHeight="1">
      <c r="A50" s="43" t="s">
        <v>109</v>
      </c>
      <c r="B50" s="26" t="s">
        <v>66</v>
      </c>
      <c r="C50" s="47" t="s">
        <v>105</v>
      </c>
      <c r="D50" s="39">
        <v>7</v>
      </c>
      <c r="E50" s="68">
        <f t="shared" si="0"/>
        <v>0</v>
      </c>
    </row>
    <row r="51" spans="1:5" ht="15" customHeight="1">
      <c r="A51" s="174" t="s">
        <v>110</v>
      </c>
      <c r="B51" s="174"/>
      <c r="C51" s="174"/>
      <c r="D51" s="39">
        <v>30</v>
      </c>
      <c r="E51" s="68">
        <f t="shared" si="0"/>
        <v>0</v>
      </c>
    </row>
    <row r="52" spans="1:5" ht="15" customHeight="1">
      <c r="A52" s="76" t="s">
        <v>111</v>
      </c>
      <c r="B52" s="76"/>
      <c r="C52" s="76"/>
      <c r="D52" s="77">
        <f>SUM(D10:D51)</f>
        <v>8493</v>
      </c>
      <c r="E52" s="77">
        <f>SUM(E10:E51)</f>
        <v>66</v>
      </c>
    </row>
  </sheetData>
  <autoFilter ref="A9:E52" xr:uid="{5F45FBE7-3C30-46D4-AF88-360222F3F258}"/>
  <mergeCells count="4">
    <mergeCell ref="A51:C51"/>
    <mergeCell ref="C2:D2"/>
    <mergeCell ref="F2:G2"/>
    <mergeCell ref="J5:K5"/>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B1DC8-C9E9-4C80-A004-438781B07F04}">
  <sheetPr>
    <tabColor theme="9" tint="0.39997558519241921"/>
  </sheetPr>
  <dimension ref="A2:K38"/>
  <sheetViews>
    <sheetView zoomScale="90" zoomScaleNormal="90" workbookViewId="0">
      <selection activeCell="E11" sqref="E11"/>
    </sheetView>
  </sheetViews>
  <sheetFormatPr baseColWidth="10" defaultColWidth="11.42578125" defaultRowHeight="15" customHeight="1"/>
  <cols>
    <col min="1" max="1" width="44.140625" style="6" customWidth="1"/>
    <col min="2" max="2" width="22.5703125" style="6" customWidth="1"/>
    <col min="3" max="3" width="22.28515625" style="6" customWidth="1"/>
    <col min="4" max="4" width="13.42578125" style="6" customWidth="1"/>
    <col min="5" max="5" width="11.42578125" style="6"/>
    <col min="6" max="6" width="20" style="6" customWidth="1"/>
    <col min="7" max="7" width="8.5703125" style="6" customWidth="1"/>
    <col min="8" max="8" width="11.42578125" style="6"/>
    <col min="9" max="9" width="20.7109375" style="6" customWidth="1"/>
    <col min="10" max="10" width="14.140625" style="6" customWidth="1"/>
    <col min="11" max="16384" width="11.42578125" style="6"/>
  </cols>
  <sheetData>
    <row r="2" spans="1:11" ht="15" customHeight="1">
      <c r="C2" s="181" t="s">
        <v>49</v>
      </c>
      <c r="D2" s="182"/>
      <c r="E2" s="99"/>
      <c r="F2" s="137" t="s">
        <v>50</v>
      </c>
      <c r="G2" s="137"/>
      <c r="I2" s="35" t="s">
        <v>51</v>
      </c>
      <c r="J2" s="35" t="s">
        <v>49</v>
      </c>
      <c r="K2" s="35" t="s">
        <v>14</v>
      </c>
    </row>
    <row r="3" spans="1:11" ht="15" customHeight="1">
      <c r="C3" s="71" t="s">
        <v>52</v>
      </c>
      <c r="D3" s="72">
        <f>+D38</f>
        <v>3983</v>
      </c>
      <c r="E3" s="100"/>
      <c r="F3" s="137" t="s">
        <v>53</v>
      </c>
      <c r="G3" s="137">
        <f>'GI-RI Cupos'!G3</f>
        <v>21</v>
      </c>
      <c r="I3" s="35" t="s">
        <v>112</v>
      </c>
      <c r="J3" s="101">
        <f>D38-J4</f>
        <v>2288</v>
      </c>
      <c r="K3" s="61">
        <f>F38-K4</f>
        <v>40</v>
      </c>
    </row>
    <row r="4" spans="1:11" ht="15" customHeight="1">
      <c r="C4" s="71" t="s">
        <v>55</v>
      </c>
      <c r="D4" s="73">
        <f>+D3*G3</f>
        <v>83643</v>
      </c>
      <c r="E4" s="102"/>
      <c r="F4" s="137" t="s">
        <v>56</v>
      </c>
      <c r="G4" s="137">
        <f>'GI-RI Cupos'!G4</f>
        <v>118</v>
      </c>
      <c r="I4" s="35" t="s">
        <v>113</v>
      </c>
      <c r="J4" s="89">
        <f>D9+D24+D29+D35-D24</f>
        <v>1695</v>
      </c>
      <c r="K4" s="61">
        <f>+F9+F29+F35</f>
        <v>13</v>
      </c>
    </row>
    <row r="5" spans="1:11" ht="15" customHeight="1">
      <c r="C5" s="71" t="s">
        <v>56</v>
      </c>
      <c r="D5" s="73">
        <f>+D3*G4</f>
        <v>469994</v>
      </c>
      <c r="E5" s="102"/>
      <c r="I5" s="35" t="s">
        <v>57</v>
      </c>
      <c r="J5" s="101">
        <f>J3</f>
        <v>2288</v>
      </c>
      <c r="K5" s="62">
        <f>ROUND((6/1500)*J5,0)</f>
        <v>9</v>
      </c>
    </row>
    <row r="6" spans="1:11" ht="15" customHeight="1">
      <c r="I6" s="35" t="s">
        <v>58</v>
      </c>
      <c r="J6" s="180">
        <f>+K5+K3+K4</f>
        <v>62</v>
      </c>
      <c r="K6" s="180"/>
    </row>
    <row r="8" spans="1:11" ht="15" customHeight="1">
      <c r="A8" s="22" t="s">
        <v>60</v>
      </c>
      <c r="B8" s="23" t="s">
        <v>61</v>
      </c>
      <c r="C8" s="24" t="s">
        <v>62</v>
      </c>
      <c r="D8" s="23" t="s">
        <v>114</v>
      </c>
      <c r="E8" s="23" t="s">
        <v>115</v>
      </c>
      <c r="F8" s="23" t="s">
        <v>64</v>
      </c>
      <c r="I8" s="88" t="s">
        <v>59</v>
      </c>
      <c r="J8" s="88">
        <f>COUNTA(A9:A37)</f>
        <v>29</v>
      </c>
    </row>
    <row r="9" spans="1:11" ht="15" customHeight="1">
      <c r="A9" s="38" t="s">
        <v>116</v>
      </c>
      <c r="B9" s="49" t="s">
        <v>117</v>
      </c>
      <c r="C9" s="26" t="s">
        <v>105</v>
      </c>
      <c r="D9" s="39">
        <v>650</v>
      </c>
      <c r="E9" s="45"/>
      <c r="F9" s="68">
        <f t="shared" ref="F9:F37" si="0">IF(D9=0,0,IF(D9&lt;=75,1,IF(D9&lt;=150,2,IF(D9&lt;=300,3,IF(D9&lt;=500,4,IF(D9&lt;=750,5,IF(D9&lt;=1000,6,IF(D9&gt;=1001,7))))))))</f>
        <v>5</v>
      </c>
    </row>
    <row r="10" spans="1:11" ht="15" customHeight="1">
      <c r="A10" s="38" t="s">
        <v>118</v>
      </c>
      <c r="B10" s="49" t="s">
        <v>119</v>
      </c>
      <c r="C10" s="41" t="s">
        <v>67</v>
      </c>
      <c r="D10" s="39">
        <v>240</v>
      </c>
      <c r="E10" s="45"/>
      <c r="F10" s="68">
        <f t="shared" si="0"/>
        <v>3</v>
      </c>
    </row>
    <row r="11" spans="1:11" ht="15" customHeight="1">
      <c r="A11" s="38" t="s">
        <v>120</v>
      </c>
      <c r="B11" s="49" t="s">
        <v>119</v>
      </c>
      <c r="C11" s="41" t="s">
        <v>105</v>
      </c>
      <c r="D11" s="39">
        <v>13</v>
      </c>
      <c r="E11" s="45" t="s">
        <v>121</v>
      </c>
      <c r="F11" s="68">
        <v>0</v>
      </c>
    </row>
    <row r="12" spans="1:11" ht="15" customHeight="1">
      <c r="A12" s="38" t="s">
        <v>122</v>
      </c>
      <c r="B12" s="49" t="s">
        <v>119</v>
      </c>
      <c r="C12" s="41" t="s">
        <v>105</v>
      </c>
      <c r="D12" s="39">
        <v>10</v>
      </c>
      <c r="E12" s="45" t="s">
        <v>121</v>
      </c>
      <c r="F12" s="68">
        <v>0</v>
      </c>
    </row>
    <row r="13" spans="1:11" ht="15" customHeight="1">
      <c r="A13" s="38" t="s">
        <v>123</v>
      </c>
      <c r="B13" s="49" t="s">
        <v>119</v>
      </c>
      <c r="C13" s="41" t="s">
        <v>105</v>
      </c>
      <c r="D13" s="39">
        <v>45</v>
      </c>
      <c r="E13" s="139"/>
      <c r="F13" s="68">
        <f t="shared" si="0"/>
        <v>1</v>
      </c>
    </row>
    <row r="14" spans="1:11" ht="15" customHeight="1">
      <c r="A14" s="38" t="s">
        <v>124</v>
      </c>
      <c r="B14" s="49" t="s">
        <v>119</v>
      </c>
      <c r="C14" s="41" t="s">
        <v>105</v>
      </c>
      <c r="D14" s="39">
        <v>24</v>
      </c>
      <c r="E14" s="45"/>
      <c r="F14" s="68">
        <f t="shared" si="0"/>
        <v>1</v>
      </c>
    </row>
    <row r="15" spans="1:11" ht="15" customHeight="1">
      <c r="A15" s="38" t="s">
        <v>125</v>
      </c>
      <c r="B15" s="49" t="s">
        <v>119</v>
      </c>
      <c r="C15" s="41" t="s">
        <v>105</v>
      </c>
      <c r="D15" s="39">
        <v>16</v>
      </c>
      <c r="E15" s="45"/>
      <c r="F15" s="68">
        <f t="shared" si="0"/>
        <v>1</v>
      </c>
    </row>
    <row r="16" spans="1:11" ht="15" customHeight="1">
      <c r="A16" s="38" t="s">
        <v>126</v>
      </c>
      <c r="B16" s="49" t="s">
        <v>119</v>
      </c>
      <c r="C16" s="41" t="s">
        <v>105</v>
      </c>
      <c r="D16" s="39">
        <v>16</v>
      </c>
      <c r="E16" s="45"/>
      <c r="F16" s="68">
        <f t="shared" si="0"/>
        <v>1</v>
      </c>
    </row>
    <row r="17" spans="1:6" ht="15" customHeight="1">
      <c r="A17" s="38" t="s">
        <v>127</v>
      </c>
      <c r="B17" s="49" t="s">
        <v>119</v>
      </c>
      <c r="C17" s="41" t="s">
        <v>105</v>
      </c>
      <c r="D17" s="39">
        <v>14</v>
      </c>
      <c r="E17" s="45"/>
      <c r="F17" s="68">
        <f t="shared" si="0"/>
        <v>1</v>
      </c>
    </row>
    <row r="18" spans="1:6" ht="15" customHeight="1">
      <c r="A18" s="38" t="s">
        <v>128</v>
      </c>
      <c r="B18" s="49" t="s">
        <v>119</v>
      </c>
      <c r="C18" s="41" t="s">
        <v>67</v>
      </c>
      <c r="D18" s="39">
        <v>16</v>
      </c>
      <c r="E18" s="45"/>
      <c r="F18" s="68">
        <f t="shared" si="0"/>
        <v>1</v>
      </c>
    </row>
    <row r="19" spans="1:6" ht="15" customHeight="1">
      <c r="A19" s="38" t="s">
        <v>129</v>
      </c>
      <c r="B19" s="49" t="s">
        <v>119</v>
      </c>
      <c r="C19" s="41" t="s">
        <v>67</v>
      </c>
      <c r="D19" s="39">
        <v>150</v>
      </c>
      <c r="E19" s="45"/>
      <c r="F19" s="68">
        <f t="shared" si="0"/>
        <v>2</v>
      </c>
    </row>
    <row r="20" spans="1:6" ht="15" customHeight="1">
      <c r="A20" s="38" t="s">
        <v>130</v>
      </c>
      <c r="B20" s="49" t="s">
        <v>119</v>
      </c>
      <c r="C20" s="41" t="s">
        <v>105</v>
      </c>
      <c r="D20" s="39">
        <v>180</v>
      </c>
      <c r="E20" s="45"/>
      <c r="F20" s="68">
        <f t="shared" si="0"/>
        <v>3</v>
      </c>
    </row>
    <row r="21" spans="1:6" ht="15" customHeight="1">
      <c r="A21" s="38" t="s">
        <v>131</v>
      </c>
      <c r="B21" s="49" t="s">
        <v>119</v>
      </c>
      <c r="C21" s="41" t="s">
        <v>105</v>
      </c>
      <c r="D21" s="39">
        <v>27</v>
      </c>
      <c r="E21" s="45"/>
      <c r="F21" s="68">
        <f t="shared" si="0"/>
        <v>1</v>
      </c>
    </row>
    <row r="22" spans="1:6" ht="15" customHeight="1">
      <c r="A22" s="38" t="s">
        <v>132</v>
      </c>
      <c r="B22" s="49" t="s">
        <v>119</v>
      </c>
      <c r="C22" s="41" t="s">
        <v>105</v>
      </c>
      <c r="D22" s="39">
        <v>16</v>
      </c>
      <c r="E22" s="45"/>
      <c r="F22" s="68">
        <f t="shared" si="0"/>
        <v>1</v>
      </c>
    </row>
    <row r="23" spans="1:6" ht="15" customHeight="1">
      <c r="A23" s="38" t="s">
        <v>133</v>
      </c>
      <c r="B23" s="49" t="s">
        <v>119</v>
      </c>
      <c r="C23" s="41" t="s">
        <v>105</v>
      </c>
      <c r="D23" s="39">
        <v>15</v>
      </c>
      <c r="E23" s="45"/>
      <c r="F23" s="68">
        <f t="shared" si="0"/>
        <v>1</v>
      </c>
    </row>
    <row r="24" spans="1:6" ht="15" customHeight="1">
      <c r="A24" s="38" t="s">
        <v>134</v>
      </c>
      <c r="B24" s="49" t="s">
        <v>117</v>
      </c>
      <c r="C24" s="41" t="s">
        <v>105</v>
      </c>
      <c r="D24" s="39">
        <v>4</v>
      </c>
      <c r="E24" s="45"/>
      <c r="F24" s="68">
        <f t="shared" si="0"/>
        <v>1</v>
      </c>
    </row>
    <row r="25" spans="1:6" ht="15" customHeight="1">
      <c r="A25" s="38" t="s">
        <v>135</v>
      </c>
      <c r="B25" s="49" t="s">
        <v>119</v>
      </c>
      <c r="C25" s="41" t="s">
        <v>105</v>
      </c>
      <c r="D25" s="39">
        <v>140</v>
      </c>
      <c r="E25" s="45"/>
      <c r="F25" s="68">
        <f t="shared" si="0"/>
        <v>2</v>
      </c>
    </row>
    <row r="26" spans="1:6" ht="15" customHeight="1">
      <c r="A26" s="38" t="s">
        <v>136</v>
      </c>
      <c r="B26" s="49" t="s">
        <v>119</v>
      </c>
      <c r="C26" s="41" t="s">
        <v>105</v>
      </c>
      <c r="D26" s="39">
        <v>150</v>
      </c>
      <c r="E26" s="45"/>
      <c r="F26" s="68">
        <f t="shared" si="0"/>
        <v>2</v>
      </c>
    </row>
    <row r="27" spans="1:6" ht="15" customHeight="1">
      <c r="A27" s="38" t="s">
        <v>137</v>
      </c>
      <c r="B27" s="49" t="s">
        <v>119</v>
      </c>
      <c r="C27" s="41" t="s">
        <v>67</v>
      </c>
      <c r="D27" s="39">
        <v>50</v>
      </c>
      <c r="E27" s="45"/>
      <c r="F27" s="68">
        <f t="shared" si="0"/>
        <v>1</v>
      </c>
    </row>
    <row r="28" spans="1:6" ht="15" customHeight="1">
      <c r="A28" s="42" t="s">
        <v>138</v>
      </c>
      <c r="B28" s="49" t="s">
        <v>119</v>
      </c>
      <c r="C28" s="41" t="s">
        <v>67</v>
      </c>
      <c r="D28" s="39">
        <v>16</v>
      </c>
      <c r="E28" s="139"/>
      <c r="F28" s="68">
        <f t="shared" si="0"/>
        <v>1</v>
      </c>
    </row>
    <row r="29" spans="1:6" ht="15" customHeight="1">
      <c r="A29" s="42" t="s">
        <v>139</v>
      </c>
      <c r="B29" s="49" t="s">
        <v>140</v>
      </c>
      <c r="C29" s="41" t="s">
        <v>67</v>
      </c>
      <c r="D29" s="39">
        <v>5</v>
      </c>
      <c r="E29" s="45"/>
      <c r="F29" s="68">
        <f t="shared" si="0"/>
        <v>1</v>
      </c>
    </row>
    <row r="30" spans="1:6" ht="15" customHeight="1">
      <c r="A30" s="42" t="s">
        <v>141</v>
      </c>
      <c r="B30" s="49" t="s">
        <v>119</v>
      </c>
      <c r="C30" s="41" t="s">
        <v>67</v>
      </c>
      <c r="D30" s="39">
        <v>19</v>
      </c>
      <c r="E30" s="45"/>
      <c r="F30" s="68">
        <f t="shared" si="0"/>
        <v>1</v>
      </c>
    </row>
    <row r="31" spans="1:6" ht="15" customHeight="1">
      <c r="A31" s="42" t="s">
        <v>142</v>
      </c>
      <c r="B31" s="49" t="s">
        <v>119</v>
      </c>
      <c r="C31" s="41" t="s">
        <v>67</v>
      </c>
      <c r="D31" s="39">
        <v>17</v>
      </c>
      <c r="E31" s="45"/>
      <c r="F31" s="68">
        <f t="shared" si="0"/>
        <v>1</v>
      </c>
    </row>
    <row r="32" spans="1:6" ht="15" customHeight="1">
      <c r="A32" s="38" t="s">
        <v>143</v>
      </c>
      <c r="B32" s="49" t="s">
        <v>119</v>
      </c>
      <c r="C32" s="41" t="s">
        <v>67</v>
      </c>
      <c r="D32" s="39">
        <v>13</v>
      </c>
      <c r="E32" s="45" t="s">
        <v>121</v>
      </c>
      <c r="F32" s="68">
        <v>0</v>
      </c>
    </row>
    <row r="33" spans="1:6" ht="15" customHeight="1">
      <c r="A33" s="38" t="s">
        <v>144</v>
      </c>
      <c r="B33" s="49" t="s">
        <v>119</v>
      </c>
      <c r="C33" s="41" t="s">
        <v>105</v>
      </c>
      <c r="D33" s="39">
        <v>190</v>
      </c>
      <c r="E33" s="45"/>
      <c r="F33" s="68">
        <f t="shared" si="0"/>
        <v>3</v>
      </c>
    </row>
    <row r="34" spans="1:6" ht="15" customHeight="1">
      <c r="A34" s="38" t="s">
        <v>145</v>
      </c>
      <c r="B34" s="49" t="s">
        <v>119</v>
      </c>
      <c r="C34" s="41" t="s">
        <v>105</v>
      </c>
      <c r="D34" s="39">
        <v>307</v>
      </c>
      <c r="E34" s="45"/>
      <c r="F34" s="68">
        <f t="shared" si="0"/>
        <v>4</v>
      </c>
    </row>
    <row r="35" spans="1:6" ht="15" customHeight="1">
      <c r="A35" s="43" t="s">
        <v>146</v>
      </c>
      <c r="B35" s="49" t="s">
        <v>140</v>
      </c>
      <c r="C35" s="47" t="s">
        <v>105</v>
      </c>
      <c r="D35" s="39">
        <v>1040</v>
      </c>
      <c r="E35" s="77"/>
      <c r="F35" s="68">
        <f t="shared" si="0"/>
        <v>7</v>
      </c>
    </row>
    <row r="36" spans="1:6" ht="15" customHeight="1">
      <c r="A36" s="43" t="s">
        <v>147</v>
      </c>
      <c r="B36" s="49" t="s">
        <v>119</v>
      </c>
      <c r="C36" s="39" t="s">
        <v>105</v>
      </c>
      <c r="D36" s="39">
        <v>280</v>
      </c>
      <c r="E36" s="103"/>
      <c r="F36" s="68">
        <f t="shared" si="0"/>
        <v>3</v>
      </c>
    </row>
    <row r="37" spans="1:6" ht="15" customHeight="1">
      <c r="A37" s="43" t="s">
        <v>148</v>
      </c>
      <c r="B37" s="49" t="s">
        <v>119</v>
      </c>
      <c r="C37" s="39" t="s">
        <v>67</v>
      </c>
      <c r="D37" s="39">
        <v>320</v>
      </c>
      <c r="E37" s="103"/>
      <c r="F37" s="68">
        <f t="shared" si="0"/>
        <v>4</v>
      </c>
    </row>
    <row r="38" spans="1:6" ht="15" customHeight="1">
      <c r="A38" s="104"/>
      <c r="B38" s="104"/>
      <c r="C38" s="105" t="s">
        <v>149</v>
      </c>
      <c r="D38" s="106">
        <f>SUM(D9:D37)</f>
        <v>3983</v>
      </c>
      <c r="E38" s="104"/>
      <c r="F38" s="104">
        <f>SUM(F9:F37)</f>
        <v>53</v>
      </c>
    </row>
  </sheetData>
  <mergeCells count="2">
    <mergeCell ref="J6:K6"/>
    <mergeCell ref="C2:D2"/>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CCEA6-DCF3-49E7-9262-66ED15AF1C80}">
  <sheetPr>
    <tabColor theme="8"/>
  </sheetPr>
  <dimension ref="A2:K23"/>
  <sheetViews>
    <sheetView zoomScale="90" zoomScaleNormal="90" workbookViewId="0">
      <selection activeCell="B20" sqref="B20"/>
    </sheetView>
  </sheetViews>
  <sheetFormatPr baseColWidth="10" defaultColWidth="11.42578125" defaultRowHeight="15" customHeight="1"/>
  <cols>
    <col min="1" max="1" width="53.85546875" style="6" customWidth="1"/>
    <col min="2" max="2" width="18.5703125" style="1" customWidth="1"/>
    <col min="3" max="3" width="21.7109375" style="6" customWidth="1"/>
    <col min="4" max="4" width="19.7109375" style="6" customWidth="1"/>
    <col min="5" max="5" width="14.85546875" style="6" bestFit="1" customWidth="1"/>
    <col min="6" max="6" width="17.85546875" style="6" customWidth="1"/>
    <col min="7" max="8" width="11.42578125" style="6"/>
    <col min="9" max="9" width="21.28515625" style="6" customWidth="1"/>
    <col min="10" max="16384" width="11.42578125" style="6"/>
  </cols>
  <sheetData>
    <row r="2" spans="1:11" ht="15" customHeight="1">
      <c r="C2" s="183" t="s">
        <v>49</v>
      </c>
      <c r="D2" s="183"/>
      <c r="F2" s="184" t="s">
        <v>50</v>
      </c>
      <c r="G2" s="184"/>
      <c r="I2" s="35" t="s">
        <v>51</v>
      </c>
      <c r="J2" s="35" t="s">
        <v>49</v>
      </c>
      <c r="K2" s="35" t="s">
        <v>14</v>
      </c>
    </row>
    <row r="3" spans="1:11" ht="15" customHeight="1">
      <c r="C3" s="71" t="s">
        <v>52</v>
      </c>
      <c r="D3" s="72">
        <f>+D23</f>
        <v>1500</v>
      </c>
      <c r="F3" s="137" t="s">
        <v>53</v>
      </c>
      <c r="G3" s="137">
        <f>'GI-RI Cupos'!G3</f>
        <v>21</v>
      </c>
      <c r="I3" s="35" t="s">
        <v>54</v>
      </c>
      <c r="J3" s="44">
        <f>+D3</f>
        <v>1500</v>
      </c>
      <c r="K3" s="37">
        <f>E23</f>
        <v>13</v>
      </c>
    </row>
    <row r="4" spans="1:11" ht="15" customHeight="1">
      <c r="C4" s="71" t="s">
        <v>55</v>
      </c>
      <c r="D4" s="73">
        <f>+D3*G3</f>
        <v>31500</v>
      </c>
      <c r="F4" s="137" t="s">
        <v>56</v>
      </c>
      <c r="G4" s="137">
        <f>'GI-RI Cupos'!G4</f>
        <v>118</v>
      </c>
      <c r="I4" s="35" t="s">
        <v>57</v>
      </c>
      <c r="J4" s="36">
        <f>D3</f>
        <v>1500</v>
      </c>
      <c r="K4" s="37">
        <f>ROUND((1/440)*J4,0)</f>
        <v>3</v>
      </c>
    </row>
    <row r="5" spans="1:11" ht="15" customHeight="1">
      <c r="C5" s="71" t="s">
        <v>56</v>
      </c>
      <c r="D5" s="73">
        <f>+D3*G4</f>
        <v>177000</v>
      </c>
      <c r="I5" s="35" t="s">
        <v>58</v>
      </c>
      <c r="J5" s="185">
        <f>K3+K4</f>
        <v>16</v>
      </c>
      <c r="K5" s="186"/>
    </row>
    <row r="8" spans="1:11" ht="15" customHeight="1">
      <c r="A8" s="22" t="s">
        <v>60</v>
      </c>
      <c r="B8" s="23" t="s">
        <v>61</v>
      </c>
      <c r="C8" s="24" t="s">
        <v>62</v>
      </c>
      <c r="D8" s="23" t="s">
        <v>63</v>
      </c>
      <c r="E8" s="23" t="s">
        <v>64</v>
      </c>
      <c r="I8" s="88" t="s">
        <v>59</v>
      </c>
      <c r="J8" s="88">
        <f>COUNTA(A9:A22)</f>
        <v>14</v>
      </c>
    </row>
    <row r="9" spans="1:11" ht="15" customHeight="1">
      <c r="A9" s="69" t="s">
        <v>150</v>
      </c>
      <c r="B9" s="49" t="s">
        <v>151</v>
      </c>
      <c r="C9" s="47" t="s">
        <v>105</v>
      </c>
      <c r="D9" s="39">
        <v>287</v>
      </c>
      <c r="E9" s="39">
        <f t="shared" ref="E9:E22" si="0">IF(D9=0,0,IF(D9&lt;=50,0,IF(D9&lt;=150,1,IF(D9&lt;=300,2,IF(D9&lt;=501,3)))))</f>
        <v>2</v>
      </c>
      <c r="H9" s="75"/>
      <c r="I9" s="98"/>
      <c r="J9" s="98"/>
      <c r="K9" s="98"/>
    </row>
    <row r="10" spans="1:11" ht="15" customHeight="1">
      <c r="A10" s="55" t="s">
        <v>152</v>
      </c>
      <c r="B10" s="49" t="s">
        <v>151</v>
      </c>
      <c r="C10" s="47" t="s">
        <v>105</v>
      </c>
      <c r="D10" s="39">
        <v>267</v>
      </c>
      <c r="E10" s="39">
        <f t="shared" si="0"/>
        <v>2</v>
      </c>
      <c r="H10" s="75"/>
      <c r="I10" s="98"/>
      <c r="J10" s="98"/>
      <c r="K10" s="98"/>
    </row>
    <row r="11" spans="1:11" ht="15" customHeight="1">
      <c r="A11" s="55" t="s">
        <v>153</v>
      </c>
      <c r="B11" s="49" t="s">
        <v>151</v>
      </c>
      <c r="C11" s="47" t="s">
        <v>67</v>
      </c>
      <c r="D11" s="39">
        <v>180</v>
      </c>
      <c r="E11" s="39">
        <f t="shared" si="0"/>
        <v>2</v>
      </c>
      <c r="H11" s="75"/>
      <c r="I11" s="98"/>
      <c r="J11" s="98"/>
      <c r="K11" s="98"/>
    </row>
    <row r="12" spans="1:11" ht="15" customHeight="1">
      <c r="A12" s="55" t="s">
        <v>154</v>
      </c>
      <c r="B12" s="49" t="s">
        <v>151</v>
      </c>
      <c r="C12" s="47" t="s">
        <v>105</v>
      </c>
      <c r="D12" s="39">
        <v>136</v>
      </c>
      <c r="E12" s="39">
        <f t="shared" si="0"/>
        <v>1</v>
      </c>
      <c r="H12" s="75"/>
      <c r="I12" s="98"/>
      <c r="J12" s="98"/>
      <c r="K12" s="98"/>
    </row>
    <row r="13" spans="1:11" ht="15" customHeight="1">
      <c r="A13" s="55" t="s">
        <v>155</v>
      </c>
      <c r="B13" s="49" t="s">
        <v>151</v>
      </c>
      <c r="C13" s="47" t="s">
        <v>105</v>
      </c>
      <c r="D13" s="39">
        <v>107</v>
      </c>
      <c r="E13" s="39">
        <f t="shared" si="0"/>
        <v>1</v>
      </c>
      <c r="H13" s="75"/>
      <c r="I13" s="98"/>
      <c r="J13" s="98"/>
      <c r="K13" s="98"/>
    </row>
    <row r="14" spans="1:11" ht="15" customHeight="1">
      <c r="A14" s="55" t="s">
        <v>156</v>
      </c>
      <c r="B14" s="49" t="s">
        <v>151</v>
      </c>
      <c r="C14" s="47" t="s">
        <v>105</v>
      </c>
      <c r="D14" s="39">
        <v>99</v>
      </c>
      <c r="E14" s="39">
        <f t="shared" si="0"/>
        <v>1</v>
      </c>
      <c r="H14" s="75"/>
      <c r="I14" s="98"/>
      <c r="J14" s="98"/>
      <c r="K14" s="98"/>
    </row>
    <row r="15" spans="1:11" ht="15" customHeight="1">
      <c r="A15" s="55" t="s">
        <v>157</v>
      </c>
      <c r="B15" s="49" t="s">
        <v>151</v>
      </c>
      <c r="C15" s="47" t="s">
        <v>105</v>
      </c>
      <c r="D15" s="39">
        <v>78</v>
      </c>
      <c r="E15" s="39">
        <f t="shared" si="0"/>
        <v>1</v>
      </c>
      <c r="H15" s="75"/>
      <c r="I15" s="98"/>
      <c r="J15" s="98"/>
      <c r="K15" s="98"/>
    </row>
    <row r="16" spans="1:11" ht="15" customHeight="1">
      <c r="A16" s="55" t="s">
        <v>158</v>
      </c>
      <c r="B16" s="49" t="s">
        <v>151</v>
      </c>
      <c r="C16" s="47" t="s">
        <v>105</v>
      </c>
      <c r="D16" s="39">
        <v>64</v>
      </c>
      <c r="E16" s="39">
        <f t="shared" si="0"/>
        <v>1</v>
      </c>
      <c r="H16" s="75"/>
      <c r="I16" s="98"/>
      <c r="J16" s="98"/>
      <c r="K16" s="98"/>
    </row>
    <row r="17" spans="1:11" ht="15" customHeight="1">
      <c r="A17" s="55" t="s">
        <v>159</v>
      </c>
      <c r="B17" s="49" t="s">
        <v>151</v>
      </c>
      <c r="C17" s="47" t="s">
        <v>105</v>
      </c>
      <c r="D17" s="39">
        <v>58</v>
      </c>
      <c r="E17" s="39">
        <f t="shared" si="0"/>
        <v>1</v>
      </c>
      <c r="H17" s="75"/>
      <c r="I17" s="98"/>
      <c r="J17" s="98"/>
      <c r="K17" s="98"/>
    </row>
    <row r="18" spans="1:11" ht="15" customHeight="1">
      <c r="A18" s="55" t="s">
        <v>160</v>
      </c>
      <c r="B18" s="49" t="s">
        <v>151</v>
      </c>
      <c r="C18" s="47" t="s">
        <v>105</v>
      </c>
      <c r="D18" s="39">
        <v>52</v>
      </c>
      <c r="E18" s="39">
        <f t="shared" si="0"/>
        <v>1</v>
      </c>
      <c r="H18" s="75"/>
      <c r="I18" s="98"/>
      <c r="J18" s="98"/>
      <c r="K18" s="98"/>
    </row>
    <row r="19" spans="1:11" ht="15" customHeight="1">
      <c r="A19" s="55" t="s">
        <v>161</v>
      </c>
      <c r="B19" s="49" t="s">
        <v>151</v>
      </c>
      <c r="C19" s="47" t="s">
        <v>105</v>
      </c>
      <c r="D19" s="39">
        <v>47</v>
      </c>
      <c r="E19" s="39">
        <f t="shared" si="0"/>
        <v>0</v>
      </c>
      <c r="H19" s="75"/>
      <c r="I19" s="98"/>
      <c r="J19" s="98"/>
      <c r="K19" s="98"/>
    </row>
    <row r="20" spans="1:11" ht="15" customHeight="1">
      <c r="A20" s="55" t="s">
        <v>162</v>
      </c>
      <c r="B20" s="49" t="s">
        <v>151</v>
      </c>
      <c r="C20" s="47" t="s">
        <v>105</v>
      </c>
      <c r="D20" s="39">
        <v>44</v>
      </c>
      <c r="E20" s="39">
        <f t="shared" si="0"/>
        <v>0</v>
      </c>
      <c r="H20" s="75"/>
      <c r="I20" s="98"/>
      <c r="J20" s="98"/>
      <c r="K20" s="98"/>
    </row>
    <row r="21" spans="1:11" ht="15" customHeight="1">
      <c r="A21" s="55" t="s">
        <v>163</v>
      </c>
      <c r="B21" s="49" t="s">
        <v>151</v>
      </c>
      <c r="C21" s="47" t="s">
        <v>105</v>
      </c>
      <c r="D21" s="39">
        <v>44</v>
      </c>
      <c r="E21" s="39">
        <f t="shared" si="0"/>
        <v>0</v>
      </c>
      <c r="H21" s="75"/>
      <c r="I21" s="98"/>
      <c r="J21" s="98"/>
      <c r="K21" s="98"/>
    </row>
    <row r="22" spans="1:11" ht="15" customHeight="1">
      <c r="A22" s="55" t="s">
        <v>164</v>
      </c>
      <c r="B22" s="49" t="s">
        <v>151</v>
      </c>
      <c r="C22" s="47" t="s">
        <v>105</v>
      </c>
      <c r="D22" s="39">
        <v>37</v>
      </c>
      <c r="E22" s="39">
        <f t="shared" si="0"/>
        <v>0</v>
      </c>
      <c r="H22" s="75"/>
      <c r="I22" s="98"/>
      <c r="J22" s="98"/>
      <c r="K22" s="98"/>
    </row>
    <row r="23" spans="1:11" ht="15" customHeight="1">
      <c r="A23" s="76" t="s">
        <v>14</v>
      </c>
      <c r="B23" s="76"/>
      <c r="C23" s="76"/>
      <c r="D23" s="77">
        <f>SUM(D9:D22)</f>
        <v>1500</v>
      </c>
      <c r="E23" s="77">
        <f>SUM(E9:E22)</f>
        <v>13</v>
      </c>
      <c r="H23" s="79"/>
      <c r="I23" s="80"/>
    </row>
  </sheetData>
  <autoFilter ref="A8:E23" xr:uid="{5D3CCEA6-DCF3-49E7-9262-66ED15AF1C80}"/>
  <mergeCells count="3">
    <mergeCell ref="C2:D2"/>
    <mergeCell ref="F2:G2"/>
    <mergeCell ref="J5:K5"/>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E096B-888C-49D0-ACB3-FC7DEA3E5CAB}">
  <sheetPr>
    <tabColor theme="9" tint="0.39997558519241921"/>
  </sheetPr>
  <dimension ref="A2:K32"/>
  <sheetViews>
    <sheetView zoomScale="95" zoomScaleNormal="95" workbookViewId="0">
      <selection activeCell="E25" sqref="E25"/>
    </sheetView>
  </sheetViews>
  <sheetFormatPr baseColWidth="10" defaultColWidth="11.42578125" defaultRowHeight="15" customHeight="1"/>
  <cols>
    <col min="1" max="1" width="59.7109375" style="6" customWidth="1"/>
    <col min="2" max="2" width="21.7109375" style="1" customWidth="1"/>
    <col min="3" max="3" width="22.7109375" style="6" customWidth="1"/>
    <col min="4" max="4" width="19.7109375" style="6" customWidth="1"/>
    <col min="5" max="5" width="11.42578125" style="6"/>
    <col min="6" max="6" width="17.85546875" style="6" customWidth="1"/>
    <col min="7" max="8" width="11.42578125" style="6"/>
    <col min="9" max="9" width="18.28515625" style="6" customWidth="1"/>
    <col min="10" max="10" width="11.42578125" style="6"/>
    <col min="11" max="11" width="11.42578125" style="1"/>
    <col min="12" max="16384" width="11.42578125" style="6"/>
  </cols>
  <sheetData>
    <row r="2" spans="1:11" ht="15" customHeight="1">
      <c r="C2" s="183" t="s">
        <v>49</v>
      </c>
      <c r="D2" s="183"/>
      <c r="F2" s="184" t="s">
        <v>50</v>
      </c>
      <c r="G2" s="184"/>
      <c r="I2" s="35" t="s">
        <v>51</v>
      </c>
      <c r="J2" s="35" t="s">
        <v>49</v>
      </c>
      <c r="K2" s="35" t="s">
        <v>14</v>
      </c>
    </row>
    <row r="3" spans="1:11" ht="15" customHeight="1">
      <c r="C3" s="71" t="s">
        <v>52</v>
      </c>
      <c r="D3" s="72">
        <f>+D32</f>
        <v>5178</v>
      </c>
      <c r="F3" s="137" t="s">
        <v>53</v>
      </c>
      <c r="G3" s="137">
        <f>'GI-RI Cupos'!G3</f>
        <v>21</v>
      </c>
      <c r="I3" s="35" t="s">
        <v>112</v>
      </c>
      <c r="J3" s="44">
        <f>+D32-J4</f>
        <v>2617</v>
      </c>
      <c r="K3" s="37">
        <f>F32-K4</f>
        <v>36</v>
      </c>
    </row>
    <row r="4" spans="1:11" ht="15" customHeight="1">
      <c r="C4" s="71" t="s">
        <v>55</v>
      </c>
      <c r="D4" s="73">
        <f>+D3*G3</f>
        <v>108738</v>
      </c>
      <c r="F4" s="137" t="s">
        <v>56</v>
      </c>
      <c r="G4" s="137">
        <f>'GI-RI Cupos'!G4</f>
        <v>118</v>
      </c>
      <c r="I4" s="35" t="s">
        <v>113</v>
      </c>
      <c r="J4" s="44">
        <f>+D17+D18+D23+D30+D31</f>
        <v>2561</v>
      </c>
      <c r="K4" s="37">
        <f>+F17+F18+F23+F30+F31</f>
        <v>21</v>
      </c>
    </row>
    <row r="5" spans="1:11" ht="15" customHeight="1">
      <c r="C5" s="71" t="s">
        <v>56</v>
      </c>
      <c r="D5" s="73">
        <f>+D3*G4</f>
        <v>611004</v>
      </c>
      <c r="I5" s="35" t="s">
        <v>57</v>
      </c>
      <c r="J5" s="44">
        <f>J3</f>
        <v>2617</v>
      </c>
      <c r="K5" s="37">
        <f>ROUND((6/1500)*J5,0)</f>
        <v>10</v>
      </c>
    </row>
    <row r="6" spans="1:11" ht="15" customHeight="1">
      <c r="I6" s="35" t="s">
        <v>58</v>
      </c>
      <c r="J6" s="178">
        <f>SUM(K3:K5)</f>
        <v>67</v>
      </c>
      <c r="K6" s="186"/>
    </row>
    <row r="8" spans="1:11" ht="15" customHeight="1">
      <c r="A8" s="22" t="s">
        <v>60</v>
      </c>
      <c r="B8" s="23" t="s">
        <v>61</v>
      </c>
      <c r="C8" s="24" t="s">
        <v>62</v>
      </c>
      <c r="D8" s="23" t="s">
        <v>114</v>
      </c>
      <c r="E8" s="23" t="s">
        <v>115</v>
      </c>
      <c r="F8" s="23" t="s">
        <v>64</v>
      </c>
      <c r="I8" s="88" t="s">
        <v>59</v>
      </c>
      <c r="J8" s="88">
        <f>COUNTA(A9:A31)</f>
        <v>23</v>
      </c>
    </row>
    <row r="9" spans="1:11" ht="15" customHeight="1">
      <c r="A9" s="97" t="s">
        <v>156</v>
      </c>
      <c r="B9" s="49" t="s">
        <v>267</v>
      </c>
      <c r="C9" s="47" t="s">
        <v>105</v>
      </c>
      <c r="D9" s="39">
        <v>320</v>
      </c>
      <c r="E9" s="45"/>
      <c r="F9" s="68">
        <f t="shared" ref="F9:F31" si="0">IF(D9=0,0,IF(D9&lt;=75,1,IF(D9&lt;=150,2,IF(D9&lt;=300,3,IF(D9&lt;=500,4,IF(D9&lt;=750,5,IF(D9&lt;=1000,6,IF(D9&gt;=1001,7))))))))</f>
        <v>4</v>
      </c>
      <c r="H9" s="75"/>
      <c r="I9" s="98"/>
    </row>
    <row r="10" spans="1:11" ht="15" customHeight="1">
      <c r="A10" s="46" t="s">
        <v>162</v>
      </c>
      <c r="B10" s="49" t="s">
        <v>267</v>
      </c>
      <c r="C10" s="47" t="s">
        <v>105</v>
      </c>
      <c r="D10" s="39">
        <v>120</v>
      </c>
      <c r="E10" s="45"/>
      <c r="F10" s="68">
        <f t="shared" si="0"/>
        <v>2</v>
      </c>
      <c r="H10" s="75"/>
      <c r="I10" s="98"/>
    </row>
    <row r="11" spans="1:11" ht="15" customHeight="1">
      <c r="A11" s="46" t="s">
        <v>165</v>
      </c>
      <c r="B11" s="49" t="s">
        <v>267</v>
      </c>
      <c r="C11" s="47" t="s">
        <v>67</v>
      </c>
      <c r="D11" s="39">
        <v>45</v>
      </c>
      <c r="E11" s="45"/>
      <c r="F11" s="68">
        <f t="shared" si="0"/>
        <v>1</v>
      </c>
      <c r="H11" s="75"/>
      <c r="I11" s="98"/>
    </row>
    <row r="12" spans="1:11" ht="15" customHeight="1">
      <c r="A12" s="46" t="s">
        <v>166</v>
      </c>
      <c r="B12" s="49" t="s">
        <v>267</v>
      </c>
      <c r="C12" s="47" t="s">
        <v>105</v>
      </c>
      <c r="D12" s="39">
        <v>51</v>
      </c>
      <c r="E12" s="45"/>
      <c r="F12" s="68">
        <f t="shared" si="0"/>
        <v>1</v>
      </c>
      <c r="H12" s="75"/>
      <c r="I12" s="98"/>
    </row>
    <row r="13" spans="1:11" ht="24.75" customHeight="1">
      <c r="A13" s="46" t="s">
        <v>167</v>
      </c>
      <c r="B13" s="49" t="s">
        <v>267</v>
      </c>
      <c r="C13" s="47" t="s">
        <v>105</v>
      </c>
      <c r="D13" s="39">
        <v>21</v>
      </c>
      <c r="E13" s="45"/>
      <c r="F13" s="68">
        <f t="shared" si="0"/>
        <v>1</v>
      </c>
      <c r="H13" s="75"/>
      <c r="I13" s="98"/>
    </row>
    <row r="14" spans="1:11" ht="15" customHeight="1">
      <c r="A14" s="46" t="s">
        <v>153</v>
      </c>
      <c r="B14" s="49" t="s">
        <v>267</v>
      </c>
      <c r="C14" s="47" t="s">
        <v>105</v>
      </c>
      <c r="D14" s="39">
        <v>600</v>
      </c>
      <c r="E14" s="45"/>
      <c r="F14" s="68">
        <f t="shared" si="0"/>
        <v>5</v>
      </c>
      <c r="H14" s="75"/>
      <c r="I14" s="98"/>
    </row>
    <row r="15" spans="1:11" ht="15" customHeight="1">
      <c r="A15" s="46" t="s">
        <v>157</v>
      </c>
      <c r="B15" s="49" t="s">
        <v>267</v>
      </c>
      <c r="C15" s="47" t="s">
        <v>105</v>
      </c>
      <c r="D15" s="39">
        <v>250</v>
      </c>
      <c r="E15" s="45"/>
      <c r="F15" s="68">
        <f t="shared" si="0"/>
        <v>3</v>
      </c>
      <c r="H15" s="75"/>
      <c r="I15" s="98"/>
    </row>
    <row r="16" spans="1:11" ht="20.25" customHeight="1">
      <c r="A16" s="46" t="s">
        <v>168</v>
      </c>
      <c r="B16" s="49" t="s">
        <v>267</v>
      </c>
      <c r="C16" s="47" t="s">
        <v>105</v>
      </c>
      <c r="D16" s="39">
        <v>20</v>
      </c>
      <c r="E16" s="139"/>
      <c r="F16" s="68">
        <f t="shared" si="0"/>
        <v>1</v>
      </c>
      <c r="H16" s="75"/>
      <c r="I16" s="98"/>
    </row>
    <row r="17" spans="1:9" ht="21.75" customHeight="1">
      <c r="A17" s="46" t="s">
        <v>155</v>
      </c>
      <c r="B17" s="49" t="s">
        <v>265</v>
      </c>
      <c r="C17" s="47" t="s">
        <v>105</v>
      </c>
      <c r="D17" s="39">
        <v>350</v>
      </c>
      <c r="E17" s="45"/>
      <c r="F17" s="68">
        <f t="shared" si="0"/>
        <v>4</v>
      </c>
      <c r="H17" s="75"/>
      <c r="I17" s="98"/>
    </row>
    <row r="18" spans="1:9" ht="21" customHeight="1">
      <c r="A18" s="46" t="s">
        <v>161</v>
      </c>
      <c r="B18" s="49" t="s">
        <v>265</v>
      </c>
      <c r="C18" s="47" t="s">
        <v>105</v>
      </c>
      <c r="D18" s="39">
        <v>140</v>
      </c>
      <c r="E18" s="45"/>
      <c r="F18" s="68">
        <f t="shared" si="0"/>
        <v>2</v>
      </c>
      <c r="H18" s="75"/>
      <c r="I18" s="98"/>
    </row>
    <row r="19" spans="1:9" ht="15" customHeight="1">
      <c r="A19" s="46" t="s">
        <v>154</v>
      </c>
      <c r="B19" s="49" t="s">
        <v>267</v>
      </c>
      <c r="C19" s="47" t="s">
        <v>105</v>
      </c>
      <c r="D19" s="39">
        <v>450</v>
      </c>
      <c r="E19" s="45"/>
      <c r="F19" s="68">
        <f t="shared" si="0"/>
        <v>4</v>
      </c>
      <c r="H19" s="75"/>
      <c r="I19" s="98"/>
    </row>
    <row r="20" spans="1:9" ht="15" customHeight="1">
      <c r="A20" s="46" t="s">
        <v>164</v>
      </c>
      <c r="B20" s="49" t="s">
        <v>267</v>
      </c>
      <c r="C20" s="47" t="s">
        <v>105</v>
      </c>
      <c r="D20" s="39">
        <v>108</v>
      </c>
      <c r="E20" s="45"/>
      <c r="F20" s="68">
        <f t="shared" si="0"/>
        <v>2</v>
      </c>
      <c r="H20" s="75"/>
      <c r="I20" s="98"/>
    </row>
    <row r="21" spans="1:9" ht="15" customHeight="1">
      <c r="A21" s="46" t="s">
        <v>169</v>
      </c>
      <c r="B21" s="49" t="s">
        <v>267</v>
      </c>
      <c r="C21" s="47" t="s">
        <v>105</v>
      </c>
      <c r="D21" s="39">
        <v>51</v>
      </c>
      <c r="E21" s="45"/>
      <c r="F21" s="68">
        <f t="shared" si="0"/>
        <v>1</v>
      </c>
      <c r="H21" s="75"/>
      <c r="I21" s="98"/>
    </row>
    <row r="22" spans="1:9" ht="15" customHeight="1">
      <c r="A22" s="46" t="s">
        <v>170</v>
      </c>
      <c r="B22" s="49" t="s">
        <v>267</v>
      </c>
      <c r="C22" s="47" t="s">
        <v>105</v>
      </c>
      <c r="D22" s="39">
        <v>15</v>
      </c>
      <c r="E22" s="139"/>
      <c r="F22" s="68">
        <f t="shared" si="0"/>
        <v>1</v>
      </c>
      <c r="H22" s="75"/>
      <c r="I22" s="98"/>
    </row>
    <row r="23" spans="1:9" ht="15" customHeight="1">
      <c r="A23" s="46" t="s">
        <v>158</v>
      </c>
      <c r="B23" s="49" t="s">
        <v>265</v>
      </c>
      <c r="C23" s="47" t="s">
        <v>105</v>
      </c>
      <c r="D23" s="39">
        <v>200</v>
      </c>
      <c r="E23" s="45"/>
      <c r="F23" s="68">
        <f t="shared" si="0"/>
        <v>3</v>
      </c>
      <c r="H23" s="75"/>
      <c r="I23" s="98"/>
    </row>
    <row r="24" spans="1:9" ht="15" customHeight="1">
      <c r="A24" s="46" t="s">
        <v>171</v>
      </c>
      <c r="B24" s="49" t="s">
        <v>267</v>
      </c>
      <c r="C24" s="47" t="s">
        <v>105</v>
      </c>
      <c r="D24" s="39">
        <v>52</v>
      </c>
      <c r="E24" s="45"/>
      <c r="F24" s="68">
        <f t="shared" si="0"/>
        <v>1</v>
      </c>
      <c r="H24" s="75"/>
      <c r="I24" s="98"/>
    </row>
    <row r="25" spans="1:9" ht="15" customHeight="1">
      <c r="A25" s="46" t="s">
        <v>172</v>
      </c>
      <c r="B25" s="49" t="s">
        <v>267</v>
      </c>
      <c r="C25" s="47" t="s">
        <v>105</v>
      </c>
      <c r="D25" s="39">
        <v>4</v>
      </c>
      <c r="E25" s="45" t="s">
        <v>121</v>
      </c>
      <c r="F25" s="68">
        <v>0</v>
      </c>
      <c r="H25" s="75"/>
      <c r="I25" s="98"/>
    </row>
    <row r="26" spans="1:9" ht="15" customHeight="1">
      <c r="A26" s="46" t="s">
        <v>160</v>
      </c>
      <c r="B26" s="49" t="s">
        <v>267</v>
      </c>
      <c r="C26" s="47" t="s">
        <v>67</v>
      </c>
      <c r="D26" s="39">
        <v>160</v>
      </c>
      <c r="E26" s="45"/>
      <c r="F26" s="68">
        <f t="shared" si="0"/>
        <v>3</v>
      </c>
      <c r="H26" s="75"/>
      <c r="I26" s="98"/>
    </row>
    <row r="27" spans="1:9" ht="22.5" customHeight="1">
      <c r="A27" s="46" t="s">
        <v>163</v>
      </c>
      <c r="B27" s="49" t="s">
        <v>267</v>
      </c>
      <c r="C27" s="47" t="s">
        <v>105</v>
      </c>
      <c r="D27" s="39">
        <v>120</v>
      </c>
      <c r="E27" s="45"/>
      <c r="F27" s="68">
        <f t="shared" si="0"/>
        <v>2</v>
      </c>
      <c r="H27" s="75"/>
      <c r="I27" s="98"/>
    </row>
    <row r="28" spans="1:9" ht="18.75" customHeight="1">
      <c r="A28" s="46" t="s">
        <v>159</v>
      </c>
      <c r="B28" s="49" t="s">
        <v>267</v>
      </c>
      <c r="C28" s="47" t="s">
        <v>105</v>
      </c>
      <c r="D28" s="39">
        <v>180</v>
      </c>
      <c r="E28" s="45"/>
      <c r="F28" s="68">
        <f t="shared" si="0"/>
        <v>3</v>
      </c>
      <c r="H28" s="75"/>
      <c r="I28" s="98"/>
    </row>
    <row r="29" spans="1:9" ht="15" customHeight="1">
      <c r="A29" s="46" t="s">
        <v>173</v>
      </c>
      <c r="B29" s="49" t="s">
        <v>267</v>
      </c>
      <c r="C29" s="47" t="s">
        <v>105</v>
      </c>
      <c r="D29" s="39">
        <v>50</v>
      </c>
      <c r="E29" s="45"/>
      <c r="F29" s="68">
        <f t="shared" si="0"/>
        <v>1</v>
      </c>
      <c r="H29" s="75"/>
      <c r="I29" s="98"/>
    </row>
    <row r="30" spans="1:9" ht="15" customHeight="1">
      <c r="A30" s="46" t="s">
        <v>152</v>
      </c>
      <c r="B30" s="49" t="s">
        <v>265</v>
      </c>
      <c r="C30" s="47" t="s">
        <v>105</v>
      </c>
      <c r="D30" s="39">
        <v>900</v>
      </c>
      <c r="E30" s="45"/>
      <c r="F30" s="68">
        <f t="shared" si="0"/>
        <v>6</v>
      </c>
      <c r="H30" s="75"/>
      <c r="I30" s="98"/>
    </row>
    <row r="31" spans="1:9" ht="15" customHeight="1">
      <c r="A31" s="46" t="s">
        <v>150</v>
      </c>
      <c r="B31" s="49" t="s">
        <v>265</v>
      </c>
      <c r="C31" s="47" t="s">
        <v>105</v>
      </c>
      <c r="D31" s="39">
        <v>971</v>
      </c>
      <c r="E31" s="45"/>
      <c r="F31" s="68">
        <f t="shared" si="0"/>
        <v>6</v>
      </c>
      <c r="H31" s="75"/>
      <c r="I31" s="98"/>
    </row>
    <row r="32" spans="1:9" ht="15" customHeight="1">
      <c r="A32" s="76" t="s">
        <v>14</v>
      </c>
      <c r="B32" s="76"/>
      <c r="C32" s="76"/>
      <c r="D32" s="77">
        <f>SUM(D9:D31)</f>
        <v>5178</v>
      </c>
      <c r="E32" s="77"/>
      <c r="F32" s="78">
        <f>SUM(F9:F31)</f>
        <v>57</v>
      </c>
      <c r="H32" s="79"/>
      <c r="I32" s="80"/>
    </row>
  </sheetData>
  <mergeCells count="3">
    <mergeCell ref="C2:D2"/>
    <mergeCell ref="F2:G2"/>
    <mergeCell ref="J6:K6"/>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3162A-71FE-48FA-AAEF-B62F5EB98A20}">
  <sheetPr>
    <tabColor theme="8"/>
  </sheetPr>
  <dimension ref="A2:K29"/>
  <sheetViews>
    <sheetView zoomScale="90" zoomScaleNormal="90" workbookViewId="0">
      <selection activeCell="A8" sqref="A8"/>
    </sheetView>
  </sheetViews>
  <sheetFormatPr baseColWidth="10" defaultColWidth="11.42578125" defaultRowHeight="15" customHeight="1"/>
  <cols>
    <col min="1" max="1" width="43.85546875" style="6" customWidth="1"/>
    <col min="2" max="2" width="19.7109375" style="6" customWidth="1"/>
    <col min="3" max="3" width="23.140625" style="6" customWidth="1"/>
    <col min="4" max="4" width="13.85546875" style="6" customWidth="1"/>
    <col min="5" max="5" width="7.5703125" style="6" customWidth="1"/>
    <col min="6" max="6" width="21" style="6" customWidth="1"/>
    <col min="7" max="7" width="11.42578125" style="6"/>
    <col min="8" max="8" width="7.7109375" style="6" customWidth="1"/>
    <col min="9" max="9" width="18.42578125" style="6" customWidth="1"/>
    <col min="10" max="16384" width="11.42578125" style="6"/>
  </cols>
  <sheetData>
    <row r="2" spans="1:11" ht="15" customHeight="1">
      <c r="C2" s="187" t="s">
        <v>49</v>
      </c>
      <c r="D2" s="188"/>
      <c r="F2" s="184" t="s">
        <v>50</v>
      </c>
      <c r="G2" s="184"/>
      <c r="I2" s="35" t="s">
        <v>51</v>
      </c>
      <c r="J2" s="35" t="s">
        <v>49</v>
      </c>
      <c r="K2" s="35" t="s">
        <v>14</v>
      </c>
    </row>
    <row r="3" spans="1:11" ht="15" customHeight="1">
      <c r="C3" s="71" t="s">
        <v>52</v>
      </c>
      <c r="D3" s="72">
        <f>+D29</f>
        <v>1500</v>
      </c>
      <c r="F3" s="137" t="s">
        <v>53</v>
      </c>
      <c r="G3" s="137">
        <f>'GI-RI Cupos'!G3</f>
        <v>21</v>
      </c>
      <c r="I3" s="35" t="s">
        <v>54</v>
      </c>
      <c r="J3" s="44">
        <f>D3</f>
        <v>1500</v>
      </c>
      <c r="K3" s="37">
        <f>E29</f>
        <v>18</v>
      </c>
    </row>
    <row r="4" spans="1:11" ht="15" customHeight="1">
      <c r="C4" s="71" t="s">
        <v>55</v>
      </c>
      <c r="D4" s="73">
        <f>+D3*G3</f>
        <v>31500</v>
      </c>
      <c r="F4" s="137" t="s">
        <v>56</v>
      </c>
      <c r="G4" s="137">
        <f>'GI-RI Cupos'!G4</f>
        <v>118</v>
      </c>
      <c r="I4" s="35" t="s">
        <v>57</v>
      </c>
      <c r="J4" s="36">
        <f>D3</f>
        <v>1500</v>
      </c>
      <c r="K4" s="37">
        <f>ROUND((1/440)*J4,0)</f>
        <v>3</v>
      </c>
    </row>
    <row r="5" spans="1:11" ht="15" customHeight="1">
      <c r="C5" s="71" t="s">
        <v>56</v>
      </c>
      <c r="D5" s="73">
        <f>+D3*G4</f>
        <v>177000</v>
      </c>
      <c r="I5" s="35" t="s">
        <v>58</v>
      </c>
      <c r="J5" s="178">
        <f>K3+K4</f>
        <v>21</v>
      </c>
      <c r="K5" s="179"/>
    </row>
    <row r="7" spans="1:11" ht="15" customHeight="1">
      <c r="I7" s="88" t="s">
        <v>59</v>
      </c>
      <c r="J7" s="88">
        <f>COUNTA(A9:A28)</f>
        <v>20</v>
      </c>
    </row>
    <row r="8" spans="1:11" ht="15" customHeight="1">
      <c r="A8" s="22" t="s">
        <v>60</v>
      </c>
      <c r="B8" s="23" t="s">
        <v>61</v>
      </c>
      <c r="C8" s="24" t="s">
        <v>62</v>
      </c>
      <c r="D8" s="23" t="s">
        <v>63</v>
      </c>
      <c r="E8" s="23" t="s">
        <v>64</v>
      </c>
    </row>
    <row r="9" spans="1:11" ht="15" customHeight="1">
      <c r="A9" s="43" t="s">
        <v>174</v>
      </c>
      <c r="B9" s="49" t="s">
        <v>151</v>
      </c>
      <c r="C9" s="39" t="s">
        <v>105</v>
      </c>
      <c r="D9" s="74">
        <v>147</v>
      </c>
      <c r="E9" s="74">
        <f t="shared" ref="E9:E28" si="0">IF(D9=0,0,IF(D9&lt;=50,0,IF(D9&lt;=150,1,IF(D9&lt;=300,2,IF(D9&lt;=501,3)))))</f>
        <v>1</v>
      </c>
      <c r="G9" s="75"/>
    </row>
    <row r="10" spans="1:11" ht="15" customHeight="1">
      <c r="A10" s="43" t="s">
        <v>175</v>
      </c>
      <c r="B10" s="49" t="s">
        <v>151</v>
      </c>
      <c r="C10" s="39" t="s">
        <v>67</v>
      </c>
      <c r="D10" s="74">
        <v>114</v>
      </c>
      <c r="E10" s="74">
        <f t="shared" si="0"/>
        <v>1</v>
      </c>
      <c r="G10" s="75"/>
    </row>
    <row r="11" spans="1:11" ht="15" customHeight="1">
      <c r="A11" s="43" t="s">
        <v>176</v>
      </c>
      <c r="B11" s="49" t="s">
        <v>151</v>
      </c>
      <c r="C11" s="39" t="s">
        <v>105</v>
      </c>
      <c r="D11" s="74">
        <v>103</v>
      </c>
      <c r="E11" s="74">
        <f t="shared" si="0"/>
        <v>1</v>
      </c>
      <c r="G11" s="75"/>
    </row>
    <row r="12" spans="1:11" ht="15" customHeight="1">
      <c r="A12" s="43" t="s">
        <v>177</v>
      </c>
      <c r="B12" s="49" t="s">
        <v>151</v>
      </c>
      <c r="C12" s="39" t="s">
        <v>67</v>
      </c>
      <c r="D12" s="74">
        <v>103</v>
      </c>
      <c r="E12" s="74">
        <f t="shared" si="0"/>
        <v>1</v>
      </c>
      <c r="G12" s="75"/>
    </row>
    <row r="13" spans="1:11" ht="15" customHeight="1">
      <c r="A13" s="46" t="s">
        <v>178</v>
      </c>
      <c r="B13" s="49" t="s">
        <v>151</v>
      </c>
      <c r="C13" s="47" t="s">
        <v>105</v>
      </c>
      <c r="D13" s="74">
        <v>103</v>
      </c>
      <c r="E13" s="74">
        <f t="shared" si="0"/>
        <v>1</v>
      </c>
      <c r="G13" s="75"/>
    </row>
    <row r="14" spans="1:11" ht="15" customHeight="1">
      <c r="A14" s="43" t="s">
        <v>179</v>
      </c>
      <c r="B14" s="49" t="s">
        <v>151</v>
      </c>
      <c r="C14" s="39" t="s">
        <v>105</v>
      </c>
      <c r="D14" s="74">
        <v>92</v>
      </c>
      <c r="E14" s="74">
        <f t="shared" si="0"/>
        <v>1</v>
      </c>
      <c r="G14" s="75"/>
    </row>
    <row r="15" spans="1:11" ht="15" customHeight="1">
      <c r="A15" s="43" t="s">
        <v>180</v>
      </c>
      <c r="B15" s="49" t="s">
        <v>151</v>
      </c>
      <c r="C15" s="39" t="s">
        <v>105</v>
      </c>
      <c r="D15" s="74">
        <v>80</v>
      </c>
      <c r="E15" s="74">
        <f t="shared" si="0"/>
        <v>1</v>
      </c>
      <c r="G15" s="75"/>
    </row>
    <row r="16" spans="1:11" ht="15" customHeight="1">
      <c r="A16" s="54" t="s">
        <v>181</v>
      </c>
      <c r="B16" s="49" t="s">
        <v>151</v>
      </c>
      <c r="C16" s="39" t="s">
        <v>105</v>
      </c>
      <c r="D16" s="74">
        <v>76</v>
      </c>
      <c r="E16" s="74">
        <f t="shared" si="0"/>
        <v>1</v>
      </c>
      <c r="G16" s="75"/>
    </row>
    <row r="17" spans="1:7" ht="15" customHeight="1">
      <c r="A17" s="43" t="s">
        <v>182</v>
      </c>
      <c r="B17" s="49" t="s">
        <v>151</v>
      </c>
      <c r="C17" s="39" t="s">
        <v>67</v>
      </c>
      <c r="D17" s="74">
        <v>72</v>
      </c>
      <c r="E17" s="74">
        <f t="shared" si="0"/>
        <v>1</v>
      </c>
      <c r="G17" s="75"/>
    </row>
    <row r="18" spans="1:7" ht="15" customHeight="1">
      <c r="A18" s="43" t="s">
        <v>183</v>
      </c>
      <c r="B18" s="49" t="s">
        <v>151</v>
      </c>
      <c r="C18" s="39" t="s">
        <v>105</v>
      </c>
      <c r="D18" s="74">
        <v>72</v>
      </c>
      <c r="E18" s="74">
        <f t="shared" si="0"/>
        <v>1</v>
      </c>
      <c r="G18" s="75"/>
    </row>
    <row r="19" spans="1:7" ht="15" customHeight="1">
      <c r="A19" s="43" t="s">
        <v>184</v>
      </c>
      <c r="B19" s="49" t="s">
        <v>151</v>
      </c>
      <c r="C19" s="39" t="s">
        <v>105</v>
      </c>
      <c r="D19" s="74">
        <v>68</v>
      </c>
      <c r="E19" s="74">
        <f t="shared" si="0"/>
        <v>1</v>
      </c>
      <c r="G19" s="75"/>
    </row>
    <row r="20" spans="1:7" ht="15" customHeight="1">
      <c r="A20" s="46" t="s">
        <v>185</v>
      </c>
      <c r="B20" s="49" t="s">
        <v>151</v>
      </c>
      <c r="C20" s="47" t="s">
        <v>105</v>
      </c>
      <c r="D20" s="74">
        <v>67</v>
      </c>
      <c r="E20" s="74">
        <f t="shared" si="0"/>
        <v>1</v>
      </c>
      <c r="G20" s="75"/>
    </row>
    <row r="21" spans="1:7" ht="15" customHeight="1">
      <c r="A21" s="43" t="s">
        <v>186</v>
      </c>
      <c r="B21" s="49" t="s">
        <v>151</v>
      </c>
      <c r="C21" s="39" t="s">
        <v>105</v>
      </c>
      <c r="D21" s="74">
        <v>61</v>
      </c>
      <c r="E21" s="74">
        <f t="shared" si="0"/>
        <v>1</v>
      </c>
      <c r="G21" s="75"/>
    </row>
    <row r="22" spans="1:7" ht="15" customHeight="1">
      <c r="A22" s="43" t="s">
        <v>187</v>
      </c>
      <c r="B22" s="49" t="s">
        <v>151</v>
      </c>
      <c r="C22" s="39" t="s">
        <v>105</v>
      </c>
      <c r="D22" s="74">
        <v>59</v>
      </c>
      <c r="E22" s="74">
        <f t="shared" si="0"/>
        <v>1</v>
      </c>
      <c r="G22" s="75"/>
    </row>
    <row r="23" spans="1:7" ht="15" customHeight="1">
      <c r="A23" s="43" t="s">
        <v>188</v>
      </c>
      <c r="B23" s="49" t="s">
        <v>151</v>
      </c>
      <c r="C23" s="39" t="s">
        <v>105</v>
      </c>
      <c r="D23" s="74">
        <v>59</v>
      </c>
      <c r="E23" s="74">
        <f t="shared" si="0"/>
        <v>1</v>
      </c>
      <c r="G23" s="75"/>
    </row>
    <row r="24" spans="1:7" ht="15" customHeight="1">
      <c r="A24" s="46" t="s">
        <v>189</v>
      </c>
      <c r="B24" s="49" t="s">
        <v>151</v>
      </c>
      <c r="C24" s="47" t="s">
        <v>105</v>
      </c>
      <c r="D24" s="74">
        <v>59</v>
      </c>
      <c r="E24" s="74">
        <f t="shared" si="0"/>
        <v>1</v>
      </c>
      <c r="G24" s="75"/>
    </row>
    <row r="25" spans="1:7" ht="15" customHeight="1">
      <c r="A25" s="43" t="s">
        <v>190</v>
      </c>
      <c r="B25" s="49" t="s">
        <v>151</v>
      </c>
      <c r="C25" s="39" t="s">
        <v>67</v>
      </c>
      <c r="D25" s="74">
        <v>54</v>
      </c>
      <c r="E25" s="74">
        <f t="shared" si="0"/>
        <v>1</v>
      </c>
      <c r="G25" s="75"/>
    </row>
    <row r="26" spans="1:7" ht="15" customHeight="1">
      <c r="A26" s="46" t="s">
        <v>191</v>
      </c>
      <c r="B26" s="49" t="s">
        <v>151</v>
      </c>
      <c r="C26" s="47" t="s">
        <v>105</v>
      </c>
      <c r="D26" s="74">
        <v>53</v>
      </c>
      <c r="E26" s="74">
        <f t="shared" si="0"/>
        <v>1</v>
      </c>
      <c r="G26" s="75"/>
    </row>
    <row r="27" spans="1:7" ht="15" customHeight="1">
      <c r="A27" s="43" t="s">
        <v>192</v>
      </c>
      <c r="B27" s="49" t="s">
        <v>151</v>
      </c>
      <c r="C27" s="39" t="s">
        <v>67</v>
      </c>
      <c r="D27" s="74">
        <v>48</v>
      </c>
      <c r="E27" s="74">
        <f t="shared" si="0"/>
        <v>0</v>
      </c>
      <c r="G27" s="75"/>
    </row>
    <row r="28" spans="1:7" ht="15" customHeight="1">
      <c r="A28" s="43" t="s">
        <v>193</v>
      </c>
      <c r="B28" s="49" t="s">
        <v>151</v>
      </c>
      <c r="C28" s="39" t="s">
        <v>67</v>
      </c>
      <c r="D28" s="74">
        <v>10</v>
      </c>
      <c r="E28" s="74">
        <f t="shared" si="0"/>
        <v>0</v>
      </c>
      <c r="G28" s="75"/>
    </row>
    <row r="29" spans="1:7" ht="15" customHeight="1">
      <c r="A29" s="76" t="s">
        <v>14</v>
      </c>
      <c r="B29" s="76"/>
      <c r="C29" s="76"/>
      <c r="D29" s="77">
        <f>SUM(D9:D28)</f>
        <v>1500</v>
      </c>
      <c r="E29" s="77">
        <f>SUM(E9:E28)</f>
        <v>18</v>
      </c>
      <c r="G29" s="79"/>
    </row>
  </sheetData>
  <autoFilter ref="A8:E29" xr:uid="{A233162A-71FE-48FA-AAEF-B62F5EB98A20}"/>
  <mergeCells count="3">
    <mergeCell ref="F2:G2"/>
    <mergeCell ref="J5:K5"/>
    <mergeCell ref="C2:D2"/>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3F5EF-2268-4077-A0BE-8E793FC1C26C}">
  <sheetPr>
    <tabColor theme="9" tint="0.39997558519241921"/>
  </sheetPr>
  <dimension ref="A1:K63"/>
  <sheetViews>
    <sheetView zoomScale="90" zoomScaleNormal="90" workbookViewId="0">
      <selection activeCell="I55" sqref="I55"/>
    </sheetView>
  </sheetViews>
  <sheetFormatPr baseColWidth="10" defaultColWidth="11.42578125" defaultRowHeight="15" customHeight="1"/>
  <cols>
    <col min="1" max="1" width="62.7109375" customWidth="1"/>
    <col min="2" max="2" width="19.7109375" customWidth="1"/>
    <col min="3" max="3" width="25.85546875" customWidth="1"/>
    <col min="4" max="4" width="13.7109375" customWidth="1"/>
    <col min="5" max="5" width="11.42578125" customWidth="1"/>
    <col min="6" max="6" width="17.85546875" customWidth="1"/>
    <col min="9" max="9" width="19.5703125" customWidth="1"/>
    <col min="11" max="11" width="10.28515625" customWidth="1"/>
  </cols>
  <sheetData>
    <row r="1" spans="1:11" ht="15" customHeight="1">
      <c r="C1" s="107"/>
      <c r="D1" s="107"/>
    </row>
    <row r="2" spans="1:11" ht="15" customHeight="1">
      <c r="C2" s="191" t="s">
        <v>49</v>
      </c>
      <c r="D2" s="192"/>
      <c r="F2" s="189" t="s">
        <v>50</v>
      </c>
      <c r="G2" s="190"/>
      <c r="I2" s="35" t="s">
        <v>51</v>
      </c>
      <c r="J2" s="35" t="s">
        <v>49</v>
      </c>
      <c r="K2" s="35" t="s">
        <v>14</v>
      </c>
    </row>
    <row r="3" spans="1:11" ht="15" customHeight="1">
      <c r="C3" s="32" t="s">
        <v>52</v>
      </c>
      <c r="D3" s="33">
        <f>+D63</f>
        <v>6813</v>
      </c>
      <c r="F3" s="63" t="s">
        <v>53</v>
      </c>
      <c r="G3" s="63">
        <f>'GI-RI Cupos'!G3</f>
        <v>21</v>
      </c>
      <c r="I3" s="35" t="s">
        <v>112</v>
      </c>
      <c r="J3" s="44">
        <f>+D63-J4</f>
        <v>5193</v>
      </c>
      <c r="K3" s="37">
        <f>F63-K4</f>
        <v>77</v>
      </c>
    </row>
    <row r="4" spans="1:11" ht="15" customHeight="1">
      <c r="C4" s="32" t="s">
        <v>55</v>
      </c>
      <c r="D4" s="34">
        <f>+D3*G3</f>
        <v>143073</v>
      </c>
      <c r="F4" s="63" t="s">
        <v>56</v>
      </c>
      <c r="G4" s="63">
        <f>'GI-RI Cupos'!G4</f>
        <v>118</v>
      </c>
      <c r="I4" s="35" t="s">
        <v>113</v>
      </c>
      <c r="J4" s="44">
        <f>+D48+D49+D50+D51+D54</f>
        <v>1620</v>
      </c>
      <c r="K4" s="37">
        <f>+F48+F49+F50+F51+F54</f>
        <v>17</v>
      </c>
    </row>
    <row r="5" spans="1:11" ht="15" customHeight="1">
      <c r="C5" s="32" t="s">
        <v>56</v>
      </c>
      <c r="D5" s="34">
        <f>+D3*G4</f>
        <v>803934</v>
      </c>
      <c r="I5" s="35" t="s">
        <v>57</v>
      </c>
      <c r="J5" s="36">
        <f>+J3</f>
        <v>5193</v>
      </c>
      <c r="K5" s="37">
        <f>ROUND((6/1500)*J5,0)</f>
        <v>21</v>
      </c>
    </row>
    <row r="6" spans="1:11" ht="15" customHeight="1">
      <c r="I6" s="35" t="s">
        <v>58</v>
      </c>
      <c r="J6" s="178">
        <f>+K5+K3+K4</f>
        <v>115</v>
      </c>
      <c r="K6" s="179"/>
    </row>
    <row r="8" spans="1:11" ht="15" customHeight="1">
      <c r="A8" s="22" t="s">
        <v>60</v>
      </c>
      <c r="B8" s="23" t="s">
        <v>61</v>
      </c>
      <c r="C8" s="24" t="s">
        <v>62</v>
      </c>
      <c r="D8" s="23" t="s">
        <v>114</v>
      </c>
      <c r="E8" s="23" t="s">
        <v>115</v>
      </c>
      <c r="F8" s="23" t="s">
        <v>64</v>
      </c>
      <c r="I8" s="88" t="s">
        <v>59</v>
      </c>
      <c r="J8" s="88">
        <f>COUNTA(A9:A62)</f>
        <v>54</v>
      </c>
    </row>
    <row r="9" spans="1:11" ht="15" customHeight="1">
      <c r="A9" s="43" t="s">
        <v>187</v>
      </c>
      <c r="B9" s="49" t="s">
        <v>267</v>
      </c>
      <c r="C9" s="39" t="s">
        <v>105</v>
      </c>
      <c r="D9" s="50">
        <v>200</v>
      </c>
      <c r="E9" s="45"/>
      <c r="F9" s="29">
        <f>IF(D9=0,0,IF(D9&lt;=75,1,IF(D9&lt;=150,2,IF(D9&lt;=300,3,IF(D9&lt;=500,4,IF(D9&lt;=750,5,IF(D9&lt;=1000,6,IF(D9&gt;=1001,7))))))))</f>
        <v>3</v>
      </c>
    </row>
    <row r="10" spans="1:11" ht="15" customHeight="1">
      <c r="A10" s="43" t="s">
        <v>194</v>
      </c>
      <c r="B10" s="49" t="s">
        <v>267</v>
      </c>
      <c r="C10" s="39" t="s">
        <v>105</v>
      </c>
      <c r="D10" s="50">
        <v>70</v>
      </c>
      <c r="E10" s="40"/>
      <c r="F10" s="29">
        <f t="shared" ref="F10:F62" si="0">IF(D10=0,0,IF(D10&lt;=75,1,IF(D10&lt;=150,2,IF(D10&lt;=300,3,IF(D10&lt;=500,4,IF(D10&lt;=750,5,IF(D10&lt;=1000,6,IF(D10&gt;=1001,7))))))))</f>
        <v>1</v>
      </c>
    </row>
    <row r="11" spans="1:11" ht="15" customHeight="1">
      <c r="A11" s="43" t="s">
        <v>195</v>
      </c>
      <c r="B11" s="49" t="s">
        <v>267</v>
      </c>
      <c r="C11" s="39" t="s">
        <v>105</v>
      </c>
      <c r="D11" s="50">
        <v>10</v>
      </c>
      <c r="E11" s="45" t="s">
        <v>121</v>
      </c>
      <c r="F11" s="29">
        <v>0</v>
      </c>
    </row>
    <row r="12" spans="1:11" ht="15" customHeight="1">
      <c r="A12" s="43" t="s">
        <v>196</v>
      </c>
      <c r="B12" s="49" t="s">
        <v>267</v>
      </c>
      <c r="C12" s="39" t="s">
        <v>105</v>
      </c>
      <c r="D12" s="50">
        <v>10</v>
      </c>
      <c r="E12" s="45" t="s">
        <v>121</v>
      </c>
      <c r="F12" s="29">
        <v>0</v>
      </c>
    </row>
    <row r="13" spans="1:11" ht="15" customHeight="1">
      <c r="A13" s="43" t="s">
        <v>197</v>
      </c>
      <c r="B13" s="49" t="s">
        <v>267</v>
      </c>
      <c r="C13" s="39" t="s">
        <v>105</v>
      </c>
      <c r="D13" s="50">
        <v>25</v>
      </c>
      <c r="E13" s="40"/>
      <c r="F13" s="29">
        <f t="shared" si="0"/>
        <v>1</v>
      </c>
    </row>
    <row r="14" spans="1:11" ht="15" customHeight="1">
      <c r="A14" s="43" t="s">
        <v>198</v>
      </c>
      <c r="B14" s="49" t="s">
        <v>267</v>
      </c>
      <c r="C14" s="39" t="s">
        <v>105</v>
      </c>
      <c r="D14" s="50">
        <v>23</v>
      </c>
      <c r="E14" s="40"/>
      <c r="F14" s="29">
        <f t="shared" si="0"/>
        <v>1</v>
      </c>
    </row>
    <row r="15" spans="1:11" ht="15" customHeight="1">
      <c r="A15" s="43" t="s">
        <v>199</v>
      </c>
      <c r="B15" s="49" t="s">
        <v>267</v>
      </c>
      <c r="C15" s="39" t="s">
        <v>105</v>
      </c>
      <c r="D15" s="50">
        <v>9</v>
      </c>
      <c r="E15" s="45" t="s">
        <v>121</v>
      </c>
      <c r="F15" s="29">
        <v>0</v>
      </c>
    </row>
    <row r="16" spans="1:11" ht="15" customHeight="1">
      <c r="A16" s="43" t="s">
        <v>200</v>
      </c>
      <c r="B16" s="49" t="s">
        <v>267</v>
      </c>
      <c r="C16" s="39" t="s">
        <v>105</v>
      </c>
      <c r="D16" s="50">
        <v>40</v>
      </c>
      <c r="E16" s="40"/>
      <c r="F16" s="29">
        <f t="shared" si="0"/>
        <v>1</v>
      </c>
    </row>
    <row r="17" spans="1:6" ht="15" customHeight="1">
      <c r="A17" s="43" t="s">
        <v>201</v>
      </c>
      <c r="B17" s="49" t="s">
        <v>267</v>
      </c>
      <c r="C17" s="39" t="s">
        <v>105</v>
      </c>
      <c r="D17" s="50">
        <v>96</v>
      </c>
      <c r="E17" s="40"/>
      <c r="F17" s="29">
        <f t="shared" si="0"/>
        <v>2</v>
      </c>
    </row>
    <row r="18" spans="1:6" ht="15" customHeight="1">
      <c r="A18" s="43" t="s">
        <v>176</v>
      </c>
      <c r="B18" s="49" t="s">
        <v>267</v>
      </c>
      <c r="C18" s="39" t="s">
        <v>105</v>
      </c>
      <c r="D18" s="50">
        <f>370+30</f>
        <v>400</v>
      </c>
      <c r="E18" s="40"/>
      <c r="F18" s="29">
        <f t="shared" si="0"/>
        <v>4</v>
      </c>
    </row>
    <row r="19" spans="1:6" ht="15" customHeight="1">
      <c r="A19" s="43" t="s">
        <v>202</v>
      </c>
      <c r="B19" s="49" t="s">
        <v>267</v>
      </c>
      <c r="C19" s="39" t="s">
        <v>105</v>
      </c>
      <c r="D19" s="50">
        <v>88</v>
      </c>
      <c r="E19" s="40"/>
      <c r="F19" s="29">
        <f t="shared" si="0"/>
        <v>2</v>
      </c>
    </row>
    <row r="20" spans="1:6" ht="15" customHeight="1">
      <c r="A20" s="43" t="s">
        <v>203</v>
      </c>
      <c r="B20" s="49" t="s">
        <v>267</v>
      </c>
      <c r="C20" s="39" t="s">
        <v>105</v>
      </c>
      <c r="D20" s="50">
        <v>20</v>
      </c>
      <c r="E20" s="40"/>
      <c r="F20" s="29">
        <f t="shared" si="0"/>
        <v>1</v>
      </c>
    </row>
    <row r="21" spans="1:6" ht="15" customHeight="1">
      <c r="A21" s="43" t="s">
        <v>204</v>
      </c>
      <c r="B21" s="49" t="s">
        <v>267</v>
      </c>
      <c r="C21" s="39" t="s">
        <v>105</v>
      </c>
      <c r="D21" s="50">
        <v>37</v>
      </c>
      <c r="E21" s="40"/>
      <c r="F21" s="29">
        <f t="shared" si="0"/>
        <v>1</v>
      </c>
    </row>
    <row r="22" spans="1:6" ht="15" customHeight="1">
      <c r="A22" s="43" t="s">
        <v>205</v>
      </c>
      <c r="B22" s="49" t="s">
        <v>267</v>
      </c>
      <c r="C22" s="39" t="s">
        <v>105</v>
      </c>
      <c r="D22" s="50">
        <v>37</v>
      </c>
      <c r="E22" s="40"/>
      <c r="F22" s="29">
        <f t="shared" si="0"/>
        <v>1</v>
      </c>
    </row>
    <row r="23" spans="1:6" ht="15" customHeight="1">
      <c r="A23" s="43" t="s">
        <v>206</v>
      </c>
      <c r="B23" s="49" t="s">
        <v>267</v>
      </c>
      <c r="C23" s="39" t="s">
        <v>105</v>
      </c>
      <c r="D23" s="50">
        <v>14</v>
      </c>
      <c r="E23" s="140"/>
      <c r="F23" s="29">
        <f t="shared" si="0"/>
        <v>1</v>
      </c>
    </row>
    <row r="24" spans="1:6" ht="15" customHeight="1">
      <c r="A24" s="43" t="s">
        <v>207</v>
      </c>
      <c r="B24" s="49" t="s">
        <v>267</v>
      </c>
      <c r="C24" s="39" t="s">
        <v>105</v>
      </c>
      <c r="D24" s="50">
        <v>5</v>
      </c>
      <c r="E24" s="45" t="s">
        <v>121</v>
      </c>
      <c r="F24" s="29">
        <v>0</v>
      </c>
    </row>
    <row r="25" spans="1:6" ht="15" customHeight="1">
      <c r="A25" s="43" t="s">
        <v>208</v>
      </c>
      <c r="B25" s="49" t="s">
        <v>267</v>
      </c>
      <c r="C25" s="39" t="s">
        <v>105</v>
      </c>
      <c r="D25" s="50">
        <v>63</v>
      </c>
      <c r="E25" s="40"/>
      <c r="F25" s="29">
        <f t="shared" si="0"/>
        <v>1</v>
      </c>
    </row>
    <row r="26" spans="1:6" ht="15" customHeight="1">
      <c r="A26" s="43" t="s">
        <v>209</v>
      </c>
      <c r="B26" s="49" t="s">
        <v>267</v>
      </c>
      <c r="C26" s="39" t="s">
        <v>105</v>
      </c>
      <c r="D26" s="50">
        <v>15</v>
      </c>
      <c r="E26" s="140"/>
      <c r="F26" s="29">
        <f t="shared" si="0"/>
        <v>1</v>
      </c>
    </row>
    <row r="27" spans="1:6" ht="15" customHeight="1">
      <c r="A27" s="43" t="s">
        <v>210</v>
      </c>
      <c r="B27" s="49" t="s">
        <v>267</v>
      </c>
      <c r="C27" s="39" t="s">
        <v>105</v>
      </c>
      <c r="D27" s="50">
        <v>27</v>
      </c>
      <c r="E27" s="40"/>
      <c r="F27" s="29">
        <f t="shared" si="0"/>
        <v>1</v>
      </c>
    </row>
    <row r="28" spans="1:6" ht="15" customHeight="1">
      <c r="A28" s="43" t="s">
        <v>211</v>
      </c>
      <c r="B28" s="49" t="s">
        <v>267</v>
      </c>
      <c r="C28" s="39" t="s">
        <v>105</v>
      </c>
      <c r="D28" s="50">
        <v>15</v>
      </c>
      <c r="E28" s="40"/>
      <c r="F28" s="29">
        <f t="shared" si="0"/>
        <v>1</v>
      </c>
    </row>
    <row r="29" spans="1:6" ht="15" customHeight="1">
      <c r="A29" s="43" t="s">
        <v>212</v>
      </c>
      <c r="B29" s="49" t="s">
        <v>267</v>
      </c>
      <c r="C29" s="39" t="s">
        <v>105</v>
      </c>
      <c r="D29" s="50">
        <v>5</v>
      </c>
      <c r="E29" s="45" t="s">
        <v>121</v>
      </c>
      <c r="F29" s="29">
        <v>0</v>
      </c>
    </row>
    <row r="30" spans="1:6" ht="15" customHeight="1">
      <c r="A30" s="43" t="s">
        <v>213</v>
      </c>
      <c r="B30" s="49" t="s">
        <v>267</v>
      </c>
      <c r="C30" s="39" t="s">
        <v>105</v>
      </c>
      <c r="D30" s="50">
        <v>13</v>
      </c>
      <c r="E30" s="45" t="s">
        <v>121</v>
      </c>
      <c r="F30" s="29">
        <v>0</v>
      </c>
    </row>
    <row r="31" spans="1:6" ht="15" customHeight="1">
      <c r="A31" s="43" t="s">
        <v>214</v>
      </c>
      <c r="B31" s="49" t="s">
        <v>267</v>
      </c>
      <c r="C31" s="39" t="s">
        <v>105</v>
      </c>
      <c r="D31" s="50">
        <v>15</v>
      </c>
      <c r="E31" s="40"/>
      <c r="F31" s="29">
        <f t="shared" si="0"/>
        <v>1</v>
      </c>
    </row>
    <row r="32" spans="1:6" ht="15" customHeight="1">
      <c r="A32" s="43" t="s">
        <v>215</v>
      </c>
      <c r="B32" s="49" t="s">
        <v>267</v>
      </c>
      <c r="C32" s="39" t="s">
        <v>105</v>
      </c>
      <c r="D32" s="50">
        <v>10</v>
      </c>
      <c r="E32" s="45" t="s">
        <v>121</v>
      </c>
      <c r="F32" s="29">
        <v>0</v>
      </c>
    </row>
    <row r="33" spans="1:6" ht="15" customHeight="1">
      <c r="A33" s="43" t="s">
        <v>216</v>
      </c>
      <c r="B33" s="49" t="s">
        <v>267</v>
      </c>
      <c r="C33" s="39" t="s">
        <v>105</v>
      </c>
      <c r="D33" s="50">
        <v>11</v>
      </c>
      <c r="E33" s="45" t="s">
        <v>121</v>
      </c>
      <c r="F33" s="29">
        <v>0</v>
      </c>
    </row>
    <row r="34" spans="1:6" ht="15" customHeight="1">
      <c r="A34" s="43" t="s">
        <v>179</v>
      </c>
      <c r="B34" s="49" t="s">
        <v>267</v>
      </c>
      <c r="C34" s="39" t="s">
        <v>105</v>
      </c>
      <c r="D34" s="50">
        <f>301+50</f>
        <v>351</v>
      </c>
      <c r="E34" s="40"/>
      <c r="F34" s="29">
        <f t="shared" si="0"/>
        <v>4</v>
      </c>
    </row>
    <row r="35" spans="1:6" ht="15" customHeight="1">
      <c r="A35" s="43" t="s">
        <v>217</v>
      </c>
      <c r="B35" s="49" t="s">
        <v>267</v>
      </c>
      <c r="C35" s="39" t="s">
        <v>105</v>
      </c>
      <c r="D35" s="50">
        <v>17</v>
      </c>
      <c r="E35" s="40"/>
      <c r="F35" s="29">
        <f t="shared" si="0"/>
        <v>1</v>
      </c>
    </row>
    <row r="36" spans="1:6" ht="15" customHeight="1">
      <c r="A36" s="43" t="s">
        <v>218</v>
      </c>
      <c r="B36" s="49" t="s">
        <v>267</v>
      </c>
      <c r="C36" s="39" t="s">
        <v>105</v>
      </c>
      <c r="D36" s="50">
        <v>40</v>
      </c>
      <c r="E36" s="40"/>
      <c r="F36" s="29">
        <f t="shared" si="0"/>
        <v>1</v>
      </c>
    </row>
    <row r="37" spans="1:6" ht="15" customHeight="1">
      <c r="A37" s="43" t="s">
        <v>219</v>
      </c>
      <c r="B37" s="49" t="s">
        <v>267</v>
      </c>
      <c r="C37" s="39" t="s">
        <v>105</v>
      </c>
      <c r="D37" s="50">
        <v>11</v>
      </c>
      <c r="E37" s="45" t="s">
        <v>121</v>
      </c>
      <c r="F37" s="29">
        <v>0</v>
      </c>
    </row>
    <row r="38" spans="1:6" ht="15" customHeight="1">
      <c r="A38" s="43" t="s">
        <v>220</v>
      </c>
      <c r="B38" s="49" t="s">
        <v>267</v>
      </c>
      <c r="C38" s="39" t="s">
        <v>105</v>
      </c>
      <c r="D38" s="50">
        <v>19</v>
      </c>
      <c r="E38" s="40"/>
      <c r="F38" s="29">
        <f t="shared" si="0"/>
        <v>1</v>
      </c>
    </row>
    <row r="39" spans="1:6" ht="15" customHeight="1">
      <c r="A39" s="43" t="s">
        <v>221</v>
      </c>
      <c r="B39" s="49" t="s">
        <v>267</v>
      </c>
      <c r="C39" s="39" t="s">
        <v>105</v>
      </c>
      <c r="D39" s="50">
        <v>6</v>
      </c>
      <c r="E39" s="45" t="s">
        <v>121</v>
      </c>
      <c r="F39" s="29">
        <v>0</v>
      </c>
    </row>
    <row r="40" spans="1:6" ht="15" customHeight="1">
      <c r="A40" s="43" t="s">
        <v>186</v>
      </c>
      <c r="B40" s="49" t="s">
        <v>267</v>
      </c>
      <c r="C40" s="39" t="s">
        <v>105</v>
      </c>
      <c r="D40" s="50">
        <v>208</v>
      </c>
      <c r="E40" s="40"/>
      <c r="F40" s="29">
        <f t="shared" si="0"/>
        <v>3</v>
      </c>
    </row>
    <row r="41" spans="1:6" ht="15" customHeight="1">
      <c r="A41" s="43" t="s">
        <v>222</v>
      </c>
      <c r="B41" s="49" t="s">
        <v>267</v>
      </c>
      <c r="C41" s="39" t="s">
        <v>67</v>
      </c>
      <c r="D41" s="50">
        <v>78</v>
      </c>
      <c r="E41" s="40"/>
      <c r="F41" s="29">
        <f t="shared" si="0"/>
        <v>2</v>
      </c>
    </row>
    <row r="42" spans="1:6" ht="15" customHeight="1">
      <c r="A42" s="43" t="s">
        <v>223</v>
      </c>
      <c r="B42" s="49" t="s">
        <v>267</v>
      </c>
      <c r="C42" s="39" t="s">
        <v>105</v>
      </c>
      <c r="D42" s="50">
        <v>21</v>
      </c>
      <c r="E42" s="40"/>
      <c r="F42" s="29">
        <f t="shared" si="0"/>
        <v>1</v>
      </c>
    </row>
    <row r="43" spans="1:6" ht="15" customHeight="1">
      <c r="A43" s="43" t="s">
        <v>224</v>
      </c>
      <c r="B43" s="49" t="s">
        <v>267</v>
      </c>
      <c r="C43" s="39" t="s">
        <v>105</v>
      </c>
      <c r="D43" s="50">
        <v>18</v>
      </c>
      <c r="E43" s="45" t="s">
        <v>121</v>
      </c>
      <c r="F43" s="29">
        <v>0</v>
      </c>
    </row>
    <row r="44" spans="1:6" ht="15" customHeight="1">
      <c r="A44" s="25" t="s">
        <v>225</v>
      </c>
      <c r="B44" s="49" t="s">
        <v>267</v>
      </c>
      <c r="C44" s="28" t="s">
        <v>67</v>
      </c>
      <c r="D44" s="50">
        <v>102</v>
      </c>
      <c r="E44" s="40"/>
      <c r="F44" s="29">
        <f t="shared" si="0"/>
        <v>2</v>
      </c>
    </row>
    <row r="45" spans="1:6" ht="15" customHeight="1">
      <c r="A45" s="51" t="s">
        <v>192</v>
      </c>
      <c r="B45" s="49" t="s">
        <v>267</v>
      </c>
      <c r="C45" s="52" t="s">
        <v>67</v>
      </c>
      <c r="D45" s="50">
        <v>150</v>
      </c>
      <c r="E45" s="40"/>
      <c r="F45" s="29">
        <f t="shared" si="0"/>
        <v>2</v>
      </c>
    </row>
    <row r="46" spans="1:6" ht="15" customHeight="1">
      <c r="A46" s="43" t="s">
        <v>180</v>
      </c>
      <c r="B46" s="49" t="s">
        <v>267</v>
      </c>
      <c r="C46" s="39" t="s">
        <v>105</v>
      </c>
      <c r="D46" s="50">
        <v>295</v>
      </c>
      <c r="E46" s="40"/>
      <c r="F46" s="29">
        <f t="shared" si="0"/>
        <v>3</v>
      </c>
    </row>
    <row r="47" spans="1:6" ht="15" customHeight="1">
      <c r="A47" s="43" t="s">
        <v>190</v>
      </c>
      <c r="B47" s="49" t="s">
        <v>267</v>
      </c>
      <c r="C47" s="39" t="s">
        <v>67</v>
      </c>
      <c r="D47" s="50">
        <v>177</v>
      </c>
      <c r="E47" s="40"/>
      <c r="F47" s="29">
        <f t="shared" si="0"/>
        <v>3</v>
      </c>
    </row>
    <row r="48" spans="1:6" ht="20.25" customHeight="1">
      <c r="A48" s="43" t="s">
        <v>182</v>
      </c>
      <c r="B48" s="132" t="s">
        <v>140</v>
      </c>
      <c r="C48" s="39" t="s">
        <v>67</v>
      </c>
      <c r="D48" s="50">
        <v>260</v>
      </c>
      <c r="E48" s="40"/>
      <c r="F48" s="29">
        <f t="shared" si="0"/>
        <v>3</v>
      </c>
    </row>
    <row r="49" spans="1:6" ht="22.5" customHeight="1">
      <c r="A49" s="43" t="s">
        <v>177</v>
      </c>
      <c r="B49" s="132" t="s">
        <v>140</v>
      </c>
      <c r="C49" s="39" t="s">
        <v>67</v>
      </c>
      <c r="D49" s="50">
        <v>400</v>
      </c>
      <c r="E49" s="40"/>
      <c r="F49" s="29">
        <f t="shared" si="0"/>
        <v>4</v>
      </c>
    </row>
    <row r="50" spans="1:6" ht="21" customHeight="1">
      <c r="A50" s="43" t="s">
        <v>226</v>
      </c>
      <c r="B50" s="132" t="s">
        <v>140</v>
      </c>
      <c r="C50" s="39" t="s">
        <v>105</v>
      </c>
      <c r="D50" s="50">
        <v>120</v>
      </c>
      <c r="E50" s="40"/>
      <c r="F50" s="29">
        <f t="shared" si="0"/>
        <v>2</v>
      </c>
    </row>
    <row r="51" spans="1:6" ht="15" customHeight="1">
      <c r="A51" s="43" t="s">
        <v>184</v>
      </c>
      <c r="B51" s="132" t="s">
        <v>140</v>
      </c>
      <c r="C51" s="39" t="s">
        <v>105</v>
      </c>
      <c r="D51" s="50">
        <v>240</v>
      </c>
      <c r="E51" s="40"/>
      <c r="F51" s="29">
        <f t="shared" si="0"/>
        <v>3</v>
      </c>
    </row>
    <row r="52" spans="1:6" ht="15" customHeight="1">
      <c r="A52" s="43" t="s">
        <v>175</v>
      </c>
      <c r="B52" s="49" t="s">
        <v>267</v>
      </c>
      <c r="C52" s="39" t="s">
        <v>67</v>
      </c>
      <c r="D52" s="50">
        <v>450</v>
      </c>
      <c r="E52" s="40"/>
      <c r="F52" s="29">
        <f t="shared" si="0"/>
        <v>4</v>
      </c>
    </row>
    <row r="53" spans="1:6" ht="15" customHeight="1">
      <c r="A53" s="43" t="s">
        <v>193</v>
      </c>
      <c r="B53" s="49" t="s">
        <v>267</v>
      </c>
      <c r="C53" s="39" t="s">
        <v>67</v>
      </c>
      <c r="D53" s="50">
        <v>132</v>
      </c>
      <c r="E53" s="40"/>
      <c r="F53" s="29">
        <f t="shared" si="0"/>
        <v>2</v>
      </c>
    </row>
    <row r="54" spans="1:6" ht="15" customHeight="1">
      <c r="A54" s="43" t="s">
        <v>174</v>
      </c>
      <c r="B54" s="132" t="s">
        <v>140</v>
      </c>
      <c r="C54" s="39" t="s">
        <v>105</v>
      </c>
      <c r="D54" s="50">
        <v>600</v>
      </c>
      <c r="E54" s="40"/>
      <c r="F54" s="29">
        <f t="shared" si="0"/>
        <v>5</v>
      </c>
    </row>
    <row r="55" spans="1:6" ht="15" customHeight="1">
      <c r="A55" s="43" t="s">
        <v>183</v>
      </c>
      <c r="B55" s="49" t="s">
        <v>267</v>
      </c>
      <c r="C55" s="39" t="s">
        <v>105</v>
      </c>
      <c r="D55" s="50">
        <v>259</v>
      </c>
      <c r="E55" s="40"/>
      <c r="F55" s="29">
        <f t="shared" si="0"/>
        <v>3</v>
      </c>
    </row>
    <row r="56" spans="1:6" ht="15" customHeight="1">
      <c r="A56" s="43" t="s">
        <v>188</v>
      </c>
      <c r="B56" s="49" t="s">
        <v>267</v>
      </c>
      <c r="C56" s="39" t="s">
        <v>105</v>
      </c>
      <c r="D56" s="50">
        <v>200</v>
      </c>
      <c r="E56" s="40"/>
      <c r="F56" s="29">
        <f t="shared" si="0"/>
        <v>3</v>
      </c>
    </row>
    <row r="57" spans="1:6" ht="15" customHeight="1">
      <c r="A57" s="46" t="s">
        <v>189</v>
      </c>
      <c r="B57" s="49" t="s">
        <v>267</v>
      </c>
      <c r="C57" s="53" t="s">
        <v>105</v>
      </c>
      <c r="D57" s="50">
        <v>200</v>
      </c>
      <c r="E57" s="40"/>
      <c r="F57" s="29">
        <f t="shared" si="0"/>
        <v>3</v>
      </c>
    </row>
    <row r="58" spans="1:6" ht="15" customHeight="1">
      <c r="A58" s="46" t="s">
        <v>185</v>
      </c>
      <c r="B58" s="49" t="s">
        <v>267</v>
      </c>
      <c r="C58" s="53" t="s">
        <v>105</v>
      </c>
      <c r="D58" s="50">
        <v>238</v>
      </c>
      <c r="E58" s="40"/>
      <c r="F58" s="29">
        <f t="shared" si="0"/>
        <v>3</v>
      </c>
    </row>
    <row r="59" spans="1:6" ht="15" customHeight="1">
      <c r="A59" s="46" t="s">
        <v>227</v>
      </c>
      <c r="B59" s="49" t="s">
        <v>267</v>
      </c>
      <c r="C59" s="53" t="s">
        <v>105</v>
      </c>
      <c r="D59" s="50">
        <v>110</v>
      </c>
      <c r="E59" s="40"/>
      <c r="F59" s="29">
        <f t="shared" si="0"/>
        <v>2</v>
      </c>
    </row>
    <row r="60" spans="1:6" ht="15" customHeight="1">
      <c r="A60" s="46" t="s">
        <v>191</v>
      </c>
      <c r="B60" s="49" t="s">
        <v>267</v>
      </c>
      <c r="C60" s="53" t="s">
        <v>105</v>
      </c>
      <c r="D60" s="50">
        <v>174</v>
      </c>
      <c r="E60" s="40"/>
      <c r="F60" s="29">
        <f t="shared" si="0"/>
        <v>3</v>
      </c>
    </row>
    <row r="61" spans="1:6" ht="15" customHeight="1">
      <c r="A61" s="54" t="s">
        <v>181</v>
      </c>
      <c r="B61" s="49" t="s">
        <v>267</v>
      </c>
      <c r="C61" s="39" t="s">
        <v>105</v>
      </c>
      <c r="D61" s="50">
        <v>279</v>
      </c>
      <c r="E61" s="40"/>
      <c r="F61" s="29">
        <f t="shared" si="0"/>
        <v>3</v>
      </c>
    </row>
    <row r="62" spans="1:6" ht="15" customHeight="1">
      <c r="A62" s="46" t="s">
        <v>178</v>
      </c>
      <c r="B62" s="49" t="s">
        <v>267</v>
      </c>
      <c r="C62" s="53" t="s">
        <v>105</v>
      </c>
      <c r="D62" s="50">
        <v>400</v>
      </c>
      <c r="E62" s="40"/>
      <c r="F62" s="29">
        <f t="shared" si="0"/>
        <v>4</v>
      </c>
    </row>
    <row r="63" spans="1:6" ht="15" customHeight="1">
      <c r="A63" s="30" t="s">
        <v>14</v>
      </c>
      <c r="B63" s="30"/>
      <c r="C63" s="30"/>
      <c r="D63" s="31">
        <f>SUM(D9:D62)</f>
        <v>6813</v>
      </c>
      <c r="E63" s="31"/>
      <c r="F63" s="48">
        <f>SUM(F9:F62)</f>
        <v>94</v>
      </c>
    </row>
  </sheetData>
  <mergeCells count="3">
    <mergeCell ref="F2:G2"/>
    <mergeCell ref="J6:K6"/>
    <mergeCell ref="C2:D2"/>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EAE1D-2746-47F5-AE1A-D98A56BF8A86}">
  <sheetPr>
    <tabColor theme="8"/>
  </sheetPr>
  <dimension ref="A2:K21"/>
  <sheetViews>
    <sheetView zoomScale="90" zoomScaleNormal="90" workbookViewId="0">
      <selection activeCell="K4" sqref="K4"/>
    </sheetView>
  </sheetViews>
  <sheetFormatPr baseColWidth="10" defaultColWidth="11.42578125" defaultRowHeight="15" customHeight="1"/>
  <cols>
    <col min="1" max="1" width="45.140625" customWidth="1"/>
    <col min="2" max="2" width="20.140625" customWidth="1"/>
    <col min="3" max="3" width="21.7109375" customWidth="1"/>
    <col min="4" max="4" width="13.85546875" customWidth="1"/>
    <col min="5" max="5" width="9.28515625" customWidth="1"/>
    <col min="6" max="6" width="19.5703125" customWidth="1"/>
    <col min="7" max="7" width="13.85546875" customWidth="1"/>
    <col min="8" max="8" width="13.140625" bestFit="1" customWidth="1"/>
    <col min="9" max="9" width="17.85546875" customWidth="1"/>
    <col min="10" max="10" width="12.85546875" customWidth="1"/>
  </cols>
  <sheetData>
    <row r="2" spans="1:11" ht="15" customHeight="1">
      <c r="C2" s="191" t="s">
        <v>49</v>
      </c>
      <c r="D2" s="192"/>
      <c r="F2" s="189" t="s">
        <v>50</v>
      </c>
      <c r="G2" s="190"/>
      <c r="I2" s="35" t="s">
        <v>51</v>
      </c>
      <c r="J2" s="35" t="s">
        <v>49</v>
      </c>
      <c r="K2" s="35" t="s">
        <v>14</v>
      </c>
    </row>
    <row r="3" spans="1:11" ht="15" customHeight="1">
      <c r="C3" s="32" t="s">
        <v>52</v>
      </c>
      <c r="D3" s="33">
        <f>+D21</f>
        <v>1500</v>
      </c>
      <c r="F3" s="63" t="s">
        <v>53</v>
      </c>
      <c r="G3" s="63">
        <f>'GI-RI Cupos'!G3</f>
        <v>21</v>
      </c>
      <c r="I3" s="35" t="s">
        <v>54</v>
      </c>
      <c r="J3" s="44">
        <f>+D3</f>
        <v>1500</v>
      </c>
      <c r="K3" s="37">
        <f>E21</f>
        <v>14</v>
      </c>
    </row>
    <row r="4" spans="1:11" ht="15" customHeight="1">
      <c r="C4" s="32" t="s">
        <v>55</v>
      </c>
      <c r="D4" s="34">
        <f>+D3*G3</f>
        <v>31500</v>
      </c>
      <c r="F4" s="63" t="s">
        <v>56</v>
      </c>
      <c r="G4" s="63">
        <f>'GI-RI Cupos'!G4</f>
        <v>118</v>
      </c>
      <c r="I4" s="35" t="s">
        <v>57</v>
      </c>
      <c r="J4" s="36">
        <f>D3</f>
        <v>1500</v>
      </c>
      <c r="K4" s="37">
        <f>ROUND((1/440)*J4,0)</f>
        <v>3</v>
      </c>
    </row>
    <row r="5" spans="1:11" ht="15" customHeight="1">
      <c r="C5" s="32" t="s">
        <v>56</v>
      </c>
      <c r="D5" s="34">
        <f>+D3*G4</f>
        <v>177000</v>
      </c>
      <c r="I5" s="35" t="s">
        <v>58</v>
      </c>
      <c r="J5" s="178">
        <f>K3+K4</f>
        <v>17</v>
      </c>
      <c r="K5" s="179"/>
    </row>
    <row r="7" spans="1:11" ht="15" customHeight="1">
      <c r="A7" s="22" t="s">
        <v>60</v>
      </c>
      <c r="B7" s="23" t="s">
        <v>61</v>
      </c>
      <c r="C7" s="24" t="s">
        <v>62</v>
      </c>
      <c r="D7" s="23" t="s">
        <v>63</v>
      </c>
      <c r="E7" s="23" t="s">
        <v>64</v>
      </c>
      <c r="I7" s="88" t="s">
        <v>59</v>
      </c>
      <c r="J7" s="88">
        <f>COUNTA(A8:A20)</f>
        <v>13</v>
      </c>
    </row>
    <row r="8" spans="1:11" ht="15" customHeight="1">
      <c r="A8" s="59" t="s">
        <v>228</v>
      </c>
      <c r="B8" s="49" t="s">
        <v>151</v>
      </c>
      <c r="C8" s="70" t="s">
        <v>105</v>
      </c>
      <c r="D8" s="28">
        <v>234</v>
      </c>
      <c r="E8" s="28">
        <f t="shared" ref="E8:E20" si="0">IF(D8=0,0,IF(D8&lt;=50,0,IF(D8&lt;=150,1,IF(D8&lt;=300,2,IF(D8&lt;=501,3)))))</f>
        <v>2</v>
      </c>
      <c r="H8" s="66"/>
    </row>
    <row r="9" spans="1:11" ht="15" customHeight="1">
      <c r="A9" s="56" t="s">
        <v>229</v>
      </c>
      <c r="B9" s="49" t="s">
        <v>151</v>
      </c>
      <c r="C9" s="57" t="s">
        <v>67</v>
      </c>
      <c r="D9" s="28">
        <v>196</v>
      </c>
      <c r="E9" s="28">
        <f t="shared" si="0"/>
        <v>2</v>
      </c>
      <c r="H9" s="66"/>
    </row>
    <row r="10" spans="1:11" ht="15" customHeight="1">
      <c r="A10" s="56" t="s">
        <v>230</v>
      </c>
      <c r="B10" s="49" t="s">
        <v>151</v>
      </c>
      <c r="C10" s="58" t="s">
        <v>105</v>
      </c>
      <c r="D10" s="28">
        <v>144</v>
      </c>
      <c r="E10" s="28">
        <f t="shared" si="0"/>
        <v>1</v>
      </c>
      <c r="H10" s="66"/>
    </row>
    <row r="11" spans="1:11" ht="15" customHeight="1">
      <c r="A11" s="56" t="s">
        <v>231</v>
      </c>
      <c r="B11" s="49" t="s">
        <v>151</v>
      </c>
      <c r="C11" s="58" t="s">
        <v>105</v>
      </c>
      <c r="D11" s="28">
        <v>143</v>
      </c>
      <c r="E11" s="28">
        <f t="shared" si="0"/>
        <v>1</v>
      </c>
      <c r="H11" s="66"/>
    </row>
    <row r="12" spans="1:11" ht="15" customHeight="1">
      <c r="A12" s="55" t="s">
        <v>232</v>
      </c>
      <c r="B12" s="49" t="s">
        <v>151</v>
      </c>
      <c r="C12" s="53" t="s">
        <v>105</v>
      </c>
      <c r="D12" s="39">
        <v>127</v>
      </c>
      <c r="E12" s="39">
        <f t="shared" si="0"/>
        <v>1</v>
      </c>
      <c r="H12" s="66"/>
    </row>
    <row r="13" spans="1:11" ht="15" customHeight="1">
      <c r="A13" s="56" t="s">
        <v>233</v>
      </c>
      <c r="B13" s="49" t="s">
        <v>151</v>
      </c>
      <c r="C13" s="28" t="s">
        <v>105</v>
      </c>
      <c r="D13" s="28">
        <v>127</v>
      </c>
      <c r="E13" s="28">
        <f t="shared" si="0"/>
        <v>1</v>
      </c>
      <c r="H13" s="66"/>
    </row>
    <row r="14" spans="1:11" ht="15" customHeight="1">
      <c r="A14" s="56" t="s">
        <v>234</v>
      </c>
      <c r="B14" s="49" t="s">
        <v>151</v>
      </c>
      <c r="C14" s="28" t="s">
        <v>105</v>
      </c>
      <c r="D14" s="28">
        <v>110</v>
      </c>
      <c r="E14" s="28">
        <f t="shared" si="0"/>
        <v>1</v>
      </c>
      <c r="H14" s="66"/>
    </row>
    <row r="15" spans="1:11" ht="15" customHeight="1">
      <c r="A15" s="59" t="s">
        <v>235</v>
      </c>
      <c r="B15" s="49" t="s">
        <v>151</v>
      </c>
      <c r="C15" s="27" t="s">
        <v>105</v>
      </c>
      <c r="D15" s="28">
        <v>103</v>
      </c>
      <c r="E15" s="28">
        <f t="shared" si="0"/>
        <v>1</v>
      </c>
      <c r="H15" s="66"/>
    </row>
    <row r="16" spans="1:11" ht="15" customHeight="1">
      <c r="A16" s="59" t="s">
        <v>236</v>
      </c>
      <c r="B16" s="49" t="s">
        <v>151</v>
      </c>
      <c r="C16" s="27" t="s">
        <v>105</v>
      </c>
      <c r="D16" s="28">
        <v>96</v>
      </c>
      <c r="E16" s="28">
        <f t="shared" si="0"/>
        <v>1</v>
      </c>
      <c r="H16" s="66"/>
    </row>
    <row r="17" spans="1:8" ht="15" customHeight="1">
      <c r="A17" s="56" t="s">
        <v>237</v>
      </c>
      <c r="B17" s="49" t="s">
        <v>151</v>
      </c>
      <c r="C17" s="28" t="s">
        <v>105</v>
      </c>
      <c r="D17" s="28">
        <v>58</v>
      </c>
      <c r="E17" s="28">
        <f t="shared" si="0"/>
        <v>1</v>
      </c>
      <c r="H17" s="66"/>
    </row>
    <row r="18" spans="1:8" ht="15" customHeight="1">
      <c r="A18" s="56" t="s">
        <v>238</v>
      </c>
      <c r="B18" s="49" t="s">
        <v>151</v>
      </c>
      <c r="C18" s="28" t="s">
        <v>105</v>
      </c>
      <c r="D18" s="28">
        <v>58</v>
      </c>
      <c r="E18" s="28">
        <f t="shared" si="0"/>
        <v>1</v>
      </c>
      <c r="H18" s="66"/>
    </row>
    <row r="19" spans="1:8" ht="15" customHeight="1">
      <c r="A19" s="56" t="s">
        <v>239</v>
      </c>
      <c r="B19" s="49" t="s">
        <v>151</v>
      </c>
      <c r="C19" s="28" t="s">
        <v>67</v>
      </c>
      <c r="D19" s="28">
        <v>56</v>
      </c>
      <c r="E19" s="28">
        <f t="shared" si="0"/>
        <v>1</v>
      </c>
      <c r="H19" s="66"/>
    </row>
    <row r="20" spans="1:8" ht="15" customHeight="1">
      <c r="A20" s="56" t="s">
        <v>240</v>
      </c>
      <c r="B20" s="49" t="s">
        <v>151</v>
      </c>
      <c r="C20" s="28" t="s">
        <v>105</v>
      </c>
      <c r="D20" s="28">
        <v>48</v>
      </c>
      <c r="E20" s="28">
        <f t="shared" si="0"/>
        <v>0</v>
      </c>
      <c r="H20" s="66"/>
    </row>
    <row r="21" spans="1:8" ht="15" customHeight="1">
      <c r="A21" s="30" t="s">
        <v>111</v>
      </c>
      <c r="B21" s="30"/>
      <c r="C21" s="30"/>
      <c r="D21" s="31">
        <f>SUM(D8:D20)</f>
        <v>1500</v>
      </c>
      <c r="E21" s="31">
        <f>SUM(E8:E20)</f>
        <v>14</v>
      </c>
      <c r="H21" s="67"/>
    </row>
  </sheetData>
  <autoFilter ref="A7:E21" xr:uid="{83CEAE1D-2746-47F5-AE1A-D98A56BF8A86}"/>
  <mergeCells count="3">
    <mergeCell ref="C2:D2"/>
    <mergeCell ref="F2:G2"/>
    <mergeCell ref="J5:K5"/>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B6EC7-10B8-4093-82D5-32E33717D018}">
  <sheetPr>
    <tabColor theme="9" tint="0.39997558519241921"/>
  </sheetPr>
  <dimension ref="A2:L30"/>
  <sheetViews>
    <sheetView zoomScale="90" zoomScaleNormal="90" workbookViewId="0">
      <selection activeCell="B35" sqref="B35"/>
    </sheetView>
  </sheetViews>
  <sheetFormatPr baseColWidth="10" defaultColWidth="11.42578125" defaultRowHeight="15" customHeight="1"/>
  <cols>
    <col min="1" max="1" width="63" style="6" customWidth="1"/>
    <col min="2" max="2" width="20.140625" style="6" customWidth="1"/>
    <col min="3" max="3" width="21.7109375" style="6" customWidth="1"/>
    <col min="4" max="4" width="14.28515625" style="6" customWidth="1"/>
    <col min="5" max="5" width="7.140625" style="6" customWidth="1"/>
    <col min="6" max="6" width="17.85546875" style="6" customWidth="1"/>
    <col min="7" max="7" width="13.85546875" style="6" customWidth="1"/>
    <col min="8" max="8" width="7.42578125" style="6" customWidth="1"/>
    <col min="9" max="9" width="18.28515625" style="6" customWidth="1"/>
    <col min="10" max="10" width="13" style="6" customWidth="1"/>
    <col min="11" max="16384" width="11.42578125" style="6"/>
  </cols>
  <sheetData>
    <row r="2" spans="1:12" ht="15" customHeight="1">
      <c r="C2" s="181" t="s">
        <v>49</v>
      </c>
      <c r="D2" s="182"/>
      <c r="F2" s="137" t="s">
        <v>50</v>
      </c>
      <c r="G2" s="137"/>
      <c r="I2" s="35" t="s">
        <v>51</v>
      </c>
      <c r="J2" s="35" t="s">
        <v>49</v>
      </c>
      <c r="K2" s="35" t="s">
        <v>14</v>
      </c>
    </row>
    <row r="3" spans="1:12" ht="15" customHeight="1">
      <c r="C3" s="71" t="s">
        <v>52</v>
      </c>
      <c r="D3" s="72">
        <f>+D30</f>
        <v>4343</v>
      </c>
      <c r="F3" s="137" t="s">
        <v>53</v>
      </c>
      <c r="G3" s="137">
        <f>'GI-RI Cupos'!G3</f>
        <v>21</v>
      </c>
      <c r="I3" s="35" t="s">
        <v>112</v>
      </c>
      <c r="J3" s="44">
        <v>3383</v>
      </c>
      <c r="K3" s="37">
        <f>F30-K4</f>
        <v>38</v>
      </c>
    </row>
    <row r="4" spans="1:12" ht="15" customHeight="1">
      <c r="C4" s="71" t="s">
        <v>55</v>
      </c>
      <c r="D4" s="73">
        <f>+D3*G3</f>
        <v>91203</v>
      </c>
      <c r="F4" s="137" t="s">
        <v>56</v>
      </c>
      <c r="G4" s="137">
        <f>'GI-RI Cupos'!G4</f>
        <v>118</v>
      </c>
      <c r="I4" s="35" t="s">
        <v>113</v>
      </c>
      <c r="J4" s="44">
        <f>+D8+D26+D29</f>
        <v>960</v>
      </c>
      <c r="K4" s="37">
        <f>+F8+F26+F29</f>
        <v>11</v>
      </c>
      <c r="L4" s="108"/>
    </row>
    <row r="5" spans="1:12" ht="15" customHeight="1">
      <c r="C5" s="71" t="s">
        <v>56</v>
      </c>
      <c r="D5" s="73">
        <f>+D3*G4</f>
        <v>512474</v>
      </c>
      <c r="I5" s="35" t="s">
        <v>57</v>
      </c>
      <c r="J5" s="36">
        <f>J3</f>
        <v>3383</v>
      </c>
      <c r="K5" s="37">
        <f>ROUND((6/1500)*J5,0)</f>
        <v>14</v>
      </c>
    </row>
    <row r="6" spans="1:12" ht="15" customHeight="1">
      <c r="I6" s="35" t="s">
        <v>58</v>
      </c>
      <c r="J6" s="178">
        <f>+K5+K3+K4</f>
        <v>63</v>
      </c>
      <c r="K6" s="179"/>
    </row>
    <row r="7" spans="1:12" ht="15" customHeight="1">
      <c r="A7" s="22" t="s">
        <v>60</v>
      </c>
      <c r="B7" s="23" t="s">
        <v>61</v>
      </c>
      <c r="C7" s="24" t="s">
        <v>62</v>
      </c>
      <c r="D7" s="23" t="s">
        <v>114</v>
      </c>
      <c r="E7" s="23" t="s">
        <v>115</v>
      </c>
      <c r="F7" s="23" t="s">
        <v>64</v>
      </c>
    </row>
    <row r="8" spans="1:12" ht="15" customHeight="1">
      <c r="A8" s="55" t="s">
        <v>232</v>
      </c>
      <c r="B8" s="49" t="s">
        <v>265</v>
      </c>
      <c r="C8" s="53" t="s">
        <v>105</v>
      </c>
      <c r="D8" s="39">
        <v>350</v>
      </c>
      <c r="E8" s="45"/>
      <c r="F8" s="68">
        <f>IF(D8=0,0,IF(D8&lt;=75,1,IF(D8&lt;=150,2,IF(D8&lt;=300,3,IF(D8&lt;=500,4,IF(D8&lt;=750,5,IF(D8&lt;=1000,6,IF(D8&gt;=1001,7))))))))</f>
        <v>4</v>
      </c>
      <c r="I8" s="88" t="s">
        <v>59</v>
      </c>
      <c r="J8" s="88">
        <f>COUNTA(A8:A29)</f>
        <v>22</v>
      </c>
    </row>
    <row r="9" spans="1:12" ht="15" customHeight="1">
      <c r="A9" s="54" t="s">
        <v>230</v>
      </c>
      <c r="B9" s="49" t="s">
        <v>267</v>
      </c>
      <c r="C9" s="109" t="s">
        <v>105</v>
      </c>
      <c r="D9" s="39">
        <v>400</v>
      </c>
      <c r="E9" s="45"/>
      <c r="F9" s="68">
        <f t="shared" ref="F9:F29" si="0">IF(D9=0,0,IF(D9&lt;=75,1,IF(D9&lt;=150,2,IF(D9&lt;=300,3,IF(D9&lt;=500,4,IF(D9&lt;=750,5,IF(D9&lt;=1000,6,IF(D9&gt;=1001,7))))))))</f>
        <v>4</v>
      </c>
    </row>
    <row r="10" spans="1:12" ht="15" customHeight="1">
      <c r="A10" s="54" t="s">
        <v>234</v>
      </c>
      <c r="B10" s="49" t="s">
        <v>267</v>
      </c>
      <c r="C10" s="110" t="s">
        <v>105</v>
      </c>
      <c r="D10" s="39">
        <v>300</v>
      </c>
      <c r="E10" s="45"/>
      <c r="F10" s="68">
        <f t="shared" si="0"/>
        <v>3</v>
      </c>
    </row>
    <row r="11" spans="1:12" ht="15" customHeight="1">
      <c r="A11" s="54" t="s">
        <v>229</v>
      </c>
      <c r="B11" s="49" t="s">
        <v>267</v>
      </c>
      <c r="C11" s="110" t="s">
        <v>67</v>
      </c>
      <c r="D11" s="39">
        <v>550</v>
      </c>
      <c r="E11" s="45"/>
      <c r="F11" s="68">
        <f t="shared" si="0"/>
        <v>5</v>
      </c>
    </row>
    <row r="12" spans="1:12" ht="15" customHeight="1">
      <c r="A12" s="54" t="s">
        <v>237</v>
      </c>
      <c r="B12" s="49" t="s">
        <v>267</v>
      </c>
      <c r="C12" s="110" t="s">
        <v>105</v>
      </c>
      <c r="D12" s="39">
        <v>150</v>
      </c>
      <c r="E12" s="45"/>
      <c r="F12" s="68">
        <f t="shared" si="0"/>
        <v>2</v>
      </c>
    </row>
    <row r="13" spans="1:12" ht="15" customHeight="1">
      <c r="A13" s="54" t="s">
        <v>238</v>
      </c>
      <c r="B13" s="49" t="s">
        <v>267</v>
      </c>
      <c r="C13" s="39" t="s">
        <v>105</v>
      </c>
      <c r="D13" s="39">
        <v>150</v>
      </c>
      <c r="E13" s="45"/>
      <c r="F13" s="68">
        <f t="shared" si="0"/>
        <v>2</v>
      </c>
    </row>
    <row r="14" spans="1:12" ht="15" customHeight="1">
      <c r="A14" s="54" t="s">
        <v>241</v>
      </c>
      <c r="B14" s="49" t="s">
        <v>267</v>
      </c>
      <c r="C14" s="39" t="s">
        <v>105</v>
      </c>
      <c r="D14" s="39">
        <v>33</v>
      </c>
      <c r="E14" s="45"/>
      <c r="F14" s="68">
        <f t="shared" si="0"/>
        <v>1</v>
      </c>
    </row>
    <row r="15" spans="1:12" ht="15" customHeight="1">
      <c r="A15" s="54" t="s">
        <v>242</v>
      </c>
      <c r="B15" s="49" t="s">
        <v>267</v>
      </c>
      <c r="C15" s="39" t="s">
        <v>105</v>
      </c>
      <c r="D15" s="39">
        <v>26</v>
      </c>
      <c r="E15" s="45"/>
      <c r="F15" s="68">
        <f t="shared" si="0"/>
        <v>1</v>
      </c>
    </row>
    <row r="16" spans="1:12" ht="15" customHeight="1">
      <c r="A16" s="54" t="s">
        <v>243</v>
      </c>
      <c r="B16" s="49" t="s">
        <v>267</v>
      </c>
      <c r="C16" s="39" t="s">
        <v>105</v>
      </c>
      <c r="D16" s="39">
        <v>53</v>
      </c>
      <c r="E16" s="45"/>
      <c r="F16" s="68">
        <f t="shared" si="0"/>
        <v>1</v>
      </c>
    </row>
    <row r="17" spans="1:6" ht="15" customHeight="1">
      <c r="A17" s="43" t="s">
        <v>244</v>
      </c>
      <c r="B17" s="49" t="s">
        <v>267</v>
      </c>
      <c r="C17" s="39" t="s">
        <v>67</v>
      </c>
      <c r="D17" s="39">
        <v>45</v>
      </c>
      <c r="E17" s="45"/>
      <c r="F17" s="68">
        <f t="shared" si="0"/>
        <v>1</v>
      </c>
    </row>
    <row r="18" spans="1:6" ht="15" customHeight="1">
      <c r="A18" s="54" t="s">
        <v>239</v>
      </c>
      <c r="B18" s="49" t="s">
        <v>267</v>
      </c>
      <c r="C18" s="39" t="s">
        <v>67</v>
      </c>
      <c r="D18" s="39">
        <v>145</v>
      </c>
      <c r="E18" s="45"/>
      <c r="F18" s="68">
        <f t="shared" si="0"/>
        <v>2</v>
      </c>
    </row>
    <row r="19" spans="1:6" ht="15" customHeight="1">
      <c r="A19" s="54" t="s">
        <v>245</v>
      </c>
      <c r="B19" s="49" t="s">
        <v>267</v>
      </c>
      <c r="C19" s="39" t="s">
        <v>67</v>
      </c>
      <c r="D19" s="39">
        <v>7</v>
      </c>
      <c r="E19" s="45" t="s">
        <v>121</v>
      </c>
      <c r="F19" s="68">
        <v>0</v>
      </c>
    </row>
    <row r="20" spans="1:6" ht="15" customHeight="1">
      <c r="A20" s="54" t="s">
        <v>246</v>
      </c>
      <c r="B20" s="49" t="s">
        <v>267</v>
      </c>
      <c r="C20" s="39" t="s">
        <v>67</v>
      </c>
      <c r="D20" s="39">
        <v>13</v>
      </c>
      <c r="E20" s="45" t="s">
        <v>121</v>
      </c>
      <c r="F20" s="68">
        <v>0</v>
      </c>
    </row>
    <row r="21" spans="1:6" ht="15" customHeight="1">
      <c r="A21" s="54" t="s">
        <v>247</v>
      </c>
      <c r="B21" s="49" t="s">
        <v>267</v>
      </c>
      <c r="C21" s="39" t="s">
        <v>67</v>
      </c>
      <c r="D21" s="39">
        <v>30</v>
      </c>
      <c r="E21" s="45"/>
      <c r="F21" s="68">
        <f t="shared" si="0"/>
        <v>1</v>
      </c>
    </row>
    <row r="22" spans="1:6" ht="15" customHeight="1">
      <c r="A22" s="54" t="s">
        <v>248</v>
      </c>
      <c r="B22" s="49" t="s">
        <v>267</v>
      </c>
      <c r="C22" s="39" t="s">
        <v>67</v>
      </c>
      <c r="D22" s="39">
        <v>8</v>
      </c>
      <c r="E22" s="45" t="s">
        <v>121</v>
      </c>
      <c r="F22" s="68">
        <v>0</v>
      </c>
    </row>
    <row r="23" spans="1:6" ht="15" customHeight="1">
      <c r="A23" s="54" t="s">
        <v>249</v>
      </c>
      <c r="B23" s="49" t="s">
        <v>267</v>
      </c>
      <c r="C23" s="39" t="s">
        <v>105</v>
      </c>
      <c r="D23" s="39">
        <v>16</v>
      </c>
      <c r="E23" s="45"/>
      <c r="F23" s="68">
        <f t="shared" si="0"/>
        <v>1</v>
      </c>
    </row>
    <row r="24" spans="1:6" ht="15" customHeight="1">
      <c r="A24" s="54" t="s">
        <v>240</v>
      </c>
      <c r="B24" s="49" t="s">
        <v>267</v>
      </c>
      <c r="C24" s="39" t="s">
        <v>105</v>
      </c>
      <c r="D24" s="39">
        <v>120</v>
      </c>
      <c r="E24" s="45"/>
      <c r="F24" s="68">
        <f t="shared" si="0"/>
        <v>2</v>
      </c>
    </row>
    <row r="25" spans="1:6" ht="15" customHeight="1">
      <c r="A25" s="111" t="s">
        <v>231</v>
      </c>
      <c r="B25" s="49" t="s">
        <v>267</v>
      </c>
      <c r="C25" s="112" t="s">
        <v>105</v>
      </c>
      <c r="D25" s="39">
        <v>397</v>
      </c>
      <c r="E25" s="45"/>
      <c r="F25" s="68">
        <f t="shared" si="0"/>
        <v>4</v>
      </c>
    </row>
    <row r="26" spans="1:6" ht="15" customHeight="1">
      <c r="A26" s="54" t="s">
        <v>233</v>
      </c>
      <c r="B26" s="49" t="s">
        <v>265</v>
      </c>
      <c r="C26" s="39" t="s">
        <v>105</v>
      </c>
      <c r="D26" s="39">
        <v>350</v>
      </c>
      <c r="E26" s="45"/>
      <c r="F26" s="68">
        <f t="shared" si="0"/>
        <v>4</v>
      </c>
    </row>
    <row r="27" spans="1:6" ht="15" customHeight="1">
      <c r="A27" s="55" t="s">
        <v>235</v>
      </c>
      <c r="B27" s="49" t="s">
        <v>267</v>
      </c>
      <c r="C27" s="47" t="s">
        <v>105</v>
      </c>
      <c r="D27" s="39">
        <v>280</v>
      </c>
      <c r="E27" s="45"/>
      <c r="F27" s="68">
        <f t="shared" si="0"/>
        <v>3</v>
      </c>
    </row>
    <row r="28" spans="1:6" ht="15" customHeight="1">
      <c r="A28" s="55" t="s">
        <v>228</v>
      </c>
      <c r="B28" s="49" t="s">
        <v>267</v>
      </c>
      <c r="C28" s="47" t="s">
        <v>105</v>
      </c>
      <c r="D28" s="39">
        <v>660</v>
      </c>
      <c r="E28" s="45"/>
      <c r="F28" s="68">
        <f t="shared" si="0"/>
        <v>5</v>
      </c>
    </row>
    <row r="29" spans="1:6" ht="15" customHeight="1">
      <c r="A29" s="55" t="s">
        <v>236</v>
      </c>
      <c r="B29" s="49" t="s">
        <v>266</v>
      </c>
      <c r="C29" s="47" t="s">
        <v>105</v>
      </c>
      <c r="D29" s="39">
        <v>260</v>
      </c>
      <c r="E29" s="45"/>
      <c r="F29" s="68">
        <f t="shared" si="0"/>
        <v>3</v>
      </c>
    </row>
    <row r="30" spans="1:6" ht="15" customHeight="1">
      <c r="A30" s="76" t="s">
        <v>111</v>
      </c>
      <c r="B30" s="76"/>
      <c r="C30" s="76"/>
      <c r="D30" s="77">
        <f>SUM(D8:D29)</f>
        <v>4343</v>
      </c>
      <c r="E30" s="77"/>
      <c r="F30" s="68">
        <f>SUM(F8:F29)</f>
        <v>49</v>
      </c>
    </row>
  </sheetData>
  <autoFilter ref="A7:F30" xr:uid="{7BAB6EC7-10B8-4093-82D5-32E33717D018}"/>
  <mergeCells count="2">
    <mergeCell ref="J6:K6"/>
    <mergeCell ref="C2:D2"/>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C9241-E414-493F-B131-C765CA12C0F3}">
  <dimension ref="B1:J19"/>
  <sheetViews>
    <sheetView showGridLines="0" workbookViewId="0">
      <selection activeCell="F27" sqref="F27"/>
    </sheetView>
  </sheetViews>
  <sheetFormatPr baseColWidth="10" defaultColWidth="11.42578125" defaultRowHeight="15"/>
  <cols>
    <col min="1" max="1" width="4.140625" style="6" customWidth="1"/>
    <col min="2" max="2" width="25.5703125" style="6" customWidth="1"/>
    <col min="3" max="4" width="11.42578125" style="6"/>
    <col min="5" max="5" width="12" style="6" bestFit="1" customWidth="1"/>
    <col min="6" max="6" width="12" style="6" customWidth="1"/>
    <col min="7" max="7" width="21.5703125" style="6" customWidth="1"/>
    <col min="8" max="8" width="11.42578125" style="6"/>
    <col min="9" max="9" width="19.28515625" style="6" customWidth="1"/>
    <col min="10" max="10" width="23.28515625" style="6" customWidth="1"/>
    <col min="11" max="11" width="17.42578125" style="6" customWidth="1"/>
    <col min="12" max="12" width="14.140625" style="6" customWidth="1"/>
    <col min="13" max="13" width="13.7109375" style="6" customWidth="1"/>
    <col min="14" max="16384" width="11.42578125" style="6"/>
  </cols>
  <sheetData>
    <row r="1" spans="2:10" ht="21">
      <c r="B1" s="195" t="s">
        <v>250</v>
      </c>
      <c r="C1" s="195"/>
      <c r="D1" s="195"/>
      <c r="E1" s="195"/>
      <c r="F1" s="195"/>
      <c r="G1" s="195"/>
      <c r="H1" s="195"/>
      <c r="I1" s="195"/>
      <c r="J1" s="195"/>
    </row>
    <row r="2" spans="2:10" ht="18.75" customHeight="1">
      <c r="B2" s="196" t="s">
        <v>251</v>
      </c>
      <c r="C2" s="196"/>
      <c r="D2" s="196"/>
      <c r="E2" s="196"/>
      <c r="G2" s="196" t="s">
        <v>252</v>
      </c>
      <c r="H2" s="196"/>
      <c r="I2" s="196"/>
      <c r="J2" s="196"/>
    </row>
    <row r="3" spans="2:10">
      <c r="B3" s="1"/>
      <c r="C3" s="1"/>
      <c r="D3" s="1"/>
      <c r="E3" s="1"/>
      <c r="G3" s="1"/>
      <c r="H3" s="1"/>
      <c r="I3" s="1"/>
      <c r="J3" s="1"/>
    </row>
    <row r="4" spans="2:10" ht="30" customHeight="1">
      <c r="B4" s="133" t="s">
        <v>11</v>
      </c>
      <c r="C4" s="133" t="s">
        <v>253</v>
      </c>
      <c r="D4" s="133" t="s">
        <v>254</v>
      </c>
      <c r="E4" s="133" t="s">
        <v>14</v>
      </c>
      <c r="G4" s="133" t="s">
        <v>11</v>
      </c>
      <c r="H4" s="133" t="s">
        <v>253</v>
      </c>
      <c r="I4" s="133" t="s">
        <v>255</v>
      </c>
      <c r="J4" s="133" t="s">
        <v>14</v>
      </c>
    </row>
    <row r="5" spans="2:10">
      <c r="B5" s="136" t="s">
        <v>57</v>
      </c>
      <c r="C5" s="3">
        <f>'GI-CCT Cupos'!K5+'GI-CCT Cupos'!K4</f>
        <v>22</v>
      </c>
      <c r="D5" s="2">
        <f>+'CONSOLIDADO MANIPULADORAS'!D5</f>
        <v>2377953.91</v>
      </c>
      <c r="E5" s="2">
        <f>+D5*C5</f>
        <v>52314986.020000003</v>
      </c>
      <c r="G5" s="136" t="s">
        <v>256</v>
      </c>
      <c r="H5" s="3">
        <f>'GI-CCT Cupos'!K3</f>
        <v>40</v>
      </c>
      <c r="I5" s="2">
        <f>+'CONSOLIDADO MANIPULADORAS'!D6</f>
        <v>1283476.9550000001</v>
      </c>
      <c r="J5" s="2">
        <f>+I5*H5</f>
        <v>51339078.200000003</v>
      </c>
    </row>
    <row r="6" spans="2:10" ht="15.75">
      <c r="B6" s="197" t="s">
        <v>14</v>
      </c>
      <c r="C6" s="198"/>
      <c r="D6" s="199"/>
      <c r="E6" s="2">
        <f>+E5</f>
        <v>52314986.020000003</v>
      </c>
      <c r="G6" s="7" t="s">
        <v>257</v>
      </c>
      <c r="H6" s="7">
        <f>'GI-CCT Cupos'!J8</f>
        <v>29</v>
      </c>
      <c r="I6" s="2">
        <f>+'CONSOLIDADO MANIPULADORAS'!D7</f>
        <v>72965.13033333332</v>
      </c>
      <c r="J6" s="8">
        <f>+I6*H6</f>
        <v>2115988.7796666664</v>
      </c>
    </row>
    <row r="7" spans="2:10" ht="15.75">
      <c r="G7" s="197" t="s">
        <v>14</v>
      </c>
      <c r="H7" s="198"/>
      <c r="I7" s="199"/>
      <c r="J7" s="2">
        <f>+J5+J6</f>
        <v>53455066.979666673</v>
      </c>
    </row>
    <row r="8" spans="2:10" ht="15" customHeight="1">
      <c r="G8"/>
      <c r="H8"/>
      <c r="I8"/>
      <c r="J8"/>
    </row>
    <row r="9" spans="2:10" ht="30" customHeight="1">
      <c r="B9" s="193" t="s">
        <v>258</v>
      </c>
      <c r="C9" s="194"/>
      <c r="D9" s="5">
        <f>+E6/'GI-CCT Cupos'!D4</f>
        <v>625.45563908515953</v>
      </c>
      <c r="G9" s="193" t="s">
        <v>258</v>
      </c>
      <c r="H9" s="194"/>
      <c r="I9" s="5">
        <f>+J7/'GI-CCT Cupos'!D4</f>
        <v>639.08596032742332</v>
      </c>
    </row>
    <row r="11" spans="2:10" ht="21">
      <c r="B11" s="195" t="s">
        <v>259</v>
      </c>
      <c r="C11" s="195"/>
      <c r="D11" s="195"/>
      <c r="E11" s="195"/>
      <c r="F11" s="195"/>
      <c r="G11" s="195"/>
      <c r="H11" s="195"/>
      <c r="I11" s="195"/>
      <c r="J11" s="195"/>
    </row>
    <row r="12" spans="2:10" ht="18.75">
      <c r="B12" s="196" t="s">
        <v>260</v>
      </c>
      <c r="C12" s="196"/>
      <c r="D12" s="196"/>
      <c r="E12" s="196"/>
      <c r="F12"/>
      <c r="G12" s="196" t="s">
        <v>252</v>
      </c>
      <c r="H12" s="196"/>
      <c r="I12" s="196"/>
      <c r="J12" s="196"/>
    </row>
    <row r="13" spans="2:10">
      <c r="B13" s="1"/>
      <c r="C13" s="1"/>
      <c r="D13" s="1"/>
      <c r="E13" s="1"/>
      <c r="F13"/>
      <c r="G13"/>
      <c r="H13"/>
      <c r="I13" s="1"/>
      <c r="J13" s="1"/>
    </row>
    <row r="14" spans="2:10" ht="30">
      <c r="B14" s="133" t="s">
        <v>11</v>
      </c>
      <c r="C14" s="133" t="s">
        <v>253</v>
      </c>
      <c r="D14" s="133" t="s">
        <v>254</v>
      </c>
      <c r="E14" s="133" t="s">
        <v>14</v>
      </c>
      <c r="F14"/>
      <c r="G14" s="133" t="s">
        <v>11</v>
      </c>
      <c r="H14" s="133" t="s">
        <v>253</v>
      </c>
      <c r="I14" s="133" t="s">
        <v>255</v>
      </c>
      <c r="J14" s="133" t="s">
        <v>14</v>
      </c>
    </row>
    <row r="15" spans="2:10">
      <c r="B15" s="64" t="s">
        <v>57</v>
      </c>
      <c r="C15" s="3">
        <f>'GI-RI Cupos'!K4</f>
        <v>20</v>
      </c>
      <c r="D15" s="2">
        <f>+'CONSOLIDADO MANIPULADORAS'!D5</f>
        <v>2377953.91</v>
      </c>
      <c r="E15" s="2">
        <f>+D15*C15</f>
        <v>47559078.200000003</v>
      </c>
      <c r="F15"/>
      <c r="G15" s="64" t="s">
        <v>256</v>
      </c>
      <c r="H15" s="3">
        <f>'GI-RI Cupos'!K3</f>
        <v>66</v>
      </c>
      <c r="I15" s="2">
        <f>+'CONSOLIDADO MANIPULADORAS'!D6</f>
        <v>1283476.9550000001</v>
      </c>
      <c r="J15" s="2">
        <f>+I15*H15</f>
        <v>84709479.030000001</v>
      </c>
    </row>
    <row r="16" spans="2:10" ht="15.75">
      <c r="B16" s="197" t="s">
        <v>14</v>
      </c>
      <c r="C16" s="198"/>
      <c r="D16" s="199"/>
      <c r="E16" s="2">
        <f>+E15</f>
        <v>47559078.200000003</v>
      </c>
      <c r="F16"/>
      <c r="G16" s="64" t="s">
        <v>32</v>
      </c>
      <c r="H16" s="3">
        <f>'GI-RI Cupos'!J7</f>
        <v>41</v>
      </c>
      <c r="I16" s="2">
        <f>+'CONSOLIDADO MANIPULADORAS'!D7</f>
        <v>72965.13033333332</v>
      </c>
      <c r="J16" s="2">
        <f>+I16*H16</f>
        <v>2991570.3436666662</v>
      </c>
    </row>
    <row r="17" spans="2:10" ht="15.75">
      <c r="B17"/>
      <c r="C17"/>
      <c r="D17"/>
      <c r="E17"/>
      <c r="F17"/>
      <c r="G17" s="197" t="s">
        <v>14</v>
      </c>
      <c r="H17" s="198"/>
      <c r="I17" s="199"/>
      <c r="J17" s="2">
        <f>+J15+J16</f>
        <v>87701049.373666674</v>
      </c>
    </row>
    <row r="18" spans="2:10">
      <c r="B18"/>
      <c r="C18"/>
      <c r="D18"/>
      <c r="E18"/>
      <c r="F18"/>
      <c r="G18"/>
      <c r="H18"/>
      <c r="I18"/>
      <c r="J18"/>
    </row>
    <row r="19" spans="2:10" ht="15.75">
      <c r="B19" s="193" t="s">
        <v>258</v>
      </c>
      <c r="C19" s="194"/>
      <c r="D19" s="5">
        <f>+E16/'GI-RI Cupos'!D4</f>
        <v>266.65701277803009</v>
      </c>
      <c r="E19"/>
      <c r="F19"/>
      <c r="G19" s="193" t="s">
        <v>258</v>
      </c>
      <c r="H19" s="194"/>
      <c r="I19" s="5">
        <f>+J17/'GI-RI Cupos'!D4</f>
        <v>491.72735739610027</v>
      </c>
      <c r="J19"/>
    </row>
  </sheetData>
  <mergeCells count="14">
    <mergeCell ref="G9:H9"/>
    <mergeCell ref="B9:C9"/>
    <mergeCell ref="B6:D6"/>
    <mergeCell ref="G7:I7"/>
    <mergeCell ref="B1:J1"/>
    <mergeCell ref="G2:J2"/>
    <mergeCell ref="B2:E2"/>
    <mergeCell ref="B19:C19"/>
    <mergeCell ref="G19:H19"/>
    <mergeCell ref="B11:J11"/>
    <mergeCell ref="B12:E12"/>
    <mergeCell ref="G12:J12"/>
    <mergeCell ref="B16:D16"/>
    <mergeCell ref="G17:I17"/>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32D98-DCB4-4326-9BAE-0E6843DC5F3A}">
  <dimension ref="B1:J19"/>
  <sheetViews>
    <sheetView showGridLines="0" topLeftCell="A17" workbookViewId="0">
      <selection activeCell="B16" sqref="B16:D16"/>
    </sheetView>
  </sheetViews>
  <sheetFormatPr baseColWidth="10" defaultColWidth="11.42578125" defaultRowHeight="15"/>
  <cols>
    <col min="1" max="1" width="4.140625" style="6" customWidth="1"/>
    <col min="2" max="2" width="25.5703125" style="6" customWidth="1"/>
    <col min="3" max="4" width="11.42578125" style="6"/>
    <col min="5" max="5" width="12" style="6" bestFit="1" customWidth="1"/>
    <col min="6" max="6" width="12" style="6" customWidth="1"/>
    <col min="7" max="7" width="21.5703125" style="6" customWidth="1"/>
    <col min="8" max="8" width="11.42578125" style="6"/>
    <col min="9" max="9" width="19.28515625" style="6" customWidth="1"/>
    <col min="10" max="10" width="23.28515625" style="6" customWidth="1"/>
    <col min="11" max="11" width="17.42578125" style="6" customWidth="1"/>
    <col min="12" max="12" width="14.140625" style="6" customWidth="1"/>
    <col min="13" max="13" width="13.7109375" style="6" customWidth="1"/>
    <col min="14" max="16384" width="11.42578125" style="6"/>
  </cols>
  <sheetData>
    <row r="1" spans="2:10" ht="21">
      <c r="B1" s="195" t="s">
        <v>250</v>
      </c>
      <c r="C1" s="195"/>
      <c r="D1" s="195"/>
      <c r="E1" s="195"/>
      <c r="F1" s="195"/>
      <c r="G1" s="195"/>
      <c r="H1" s="195"/>
      <c r="I1" s="195"/>
      <c r="J1" s="195"/>
    </row>
    <row r="2" spans="2:10" ht="18.75" customHeight="1">
      <c r="B2" s="196" t="s">
        <v>260</v>
      </c>
      <c r="C2" s="196"/>
      <c r="D2" s="196"/>
      <c r="E2" s="196"/>
      <c r="G2" s="196" t="s">
        <v>252</v>
      </c>
      <c r="H2" s="196"/>
      <c r="I2" s="196"/>
      <c r="J2" s="196"/>
    </row>
    <row r="3" spans="2:10">
      <c r="B3" s="1"/>
      <c r="C3" s="1"/>
      <c r="D3" s="1"/>
      <c r="E3" s="1"/>
      <c r="G3" s="1"/>
      <c r="H3" s="1"/>
      <c r="I3" s="1"/>
      <c r="J3" s="1"/>
    </row>
    <row r="4" spans="2:10" ht="30" customHeight="1">
      <c r="B4" s="133" t="s">
        <v>11</v>
      </c>
      <c r="C4" s="133" t="s">
        <v>253</v>
      </c>
      <c r="D4" s="133" t="s">
        <v>254</v>
      </c>
      <c r="E4" s="133" t="s">
        <v>14</v>
      </c>
      <c r="G4" s="133" t="s">
        <v>11</v>
      </c>
      <c r="H4" s="133" t="s">
        <v>253</v>
      </c>
      <c r="I4" s="133" t="s">
        <v>255</v>
      </c>
      <c r="J4" s="133" t="s">
        <v>14</v>
      </c>
    </row>
    <row r="5" spans="2:10">
      <c r="B5" s="136" t="s">
        <v>57</v>
      </c>
      <c r="C5" s="3">
        <f>'GII-CCT Cupos'!K5+'GII-CCT Cupos'!K4</f>
        <v>31</v>
      </c>
      <c r="D5" s="2">
        <f>+'CONSOLIDADO MANIPULADORAS'!D5</f>
        <v>2377953.91</v>
      </c>
      <c r="E5" s="2">
        <f>+D5*C5</f>
        <v>73716571.210000008</v>
      </c>
      <c r="G5" s="136" t="s">
        <v>256</v>
      </c>
      <c r="H5" s="3">
        <f>'GII-CCT Cupos'!K3</f>
        <v>36</v>
      </c>
      <c r="I5" s="2">
        <f>+'CONSOLIDADO MANIPULADORAS'!D6</f>
        <v>1283476.9550000001</v>
      </c>
      <c r="J5" s="2">
        <f>+I5*H5</f>
        <v>46205170.380000003</v>
      </c>
    </row>
    <row r="6" spans="2:10" ht="15.75">
      <c r="B6" s="197" t="s">
        <v>14</v>
      </c>
      <c r="C6" s="198"/>
      <c r="D6" s="199"/>
      <c r="E6" s="2">
        <f>+E5</f>
        <v>73716571.210000008</v>
      </c>
      <c r="G6" s="7" t="s">
        <v>257</v>
      </c>
      <c r="H6" s="7">
        <f>'GII-CCT Cupos'!J8</f>
        <v>23</v>
      </c>
      <c r="I6" s="2">
        <f>+'CONSOLIDADO MANIPULADORAS'!D7</f>
        <v>72965.13033333332</v>
      </c>
      <c r="J6" s="8">
        <f>+I6*H6</f>
        <v>1678197.9976666663</v>
      </c>
    </row>
    <row r="7" spans="2:10" ht="15.75">
      <c r="G7" s="197" t="s">
        <v>14</v>
      </c>
      <c r="H7" s="198"/>
      <c r="I7" s="199"/>
      <c r="J7" s="2">
        <f>+J5+J6</f>
        <v>47883368.377666667</v>
      </c>
    </row>
    <row r="8" spans="2:10" ht="15" customHeight="1">
      <c r="G8"/>
      <c r="H8"/>
      <c r="I8"/>
      <c r="J8"/>
    </row>
    <row r="9" spans="2:10" ht="30" customHeight="1">
      <c r="B9" s="193" t="s">
        <v>258</v>
      </c>
      <c r="C9" s="194"/>
      <c r="D9" s="5">
        <f>+E6/'GII-CCT Cupos'!D4</f>
        <v>677.92833425297511</v>
      </c>
      <c r="G9" s="193" t="s">
        <v>258</v>
      </c>
      <c r="H9" s="194"/>
      <c r="I9" s="5">
        <f>+J7/'GII-CCT Cupos'!D4</f>
        <v>440.35542660032985</v>
      </c>
    </row>
    <row r="11" spans="2:10" ht="21">
      <c r="B11" s="195" t="s">
        <v>259</v>
      </c>
      <c r="C11" s="195"/>
      <c r="D11" s="195"/>
      <c r="E11" s="195"/>
      <c r="F11" s="195"/>
      <c r="G11" s="195"/>
      <c r="H11" s="195"/>
      <c r="I11" s="195"/>
      <c r="J11" s="195"/>
    </row>
    <row r="12" spans="2:10" ht="18.75">
      <c r="B12" s="196" t="s">
        <v>260</v>
      </c>
      <c r="C12" s="196"/>
      <c r="D12" s="196"/>
      <c r="E12" s="196"/>
      <c r="F12"/>
      <c r="G12" s="196" t="s">
        <v>252</v>
      </c>
      <c r="H12" s="196"/>
      <c r="I12" s="196"/>
      <c r="J12" s="196"/>
    </row>
    <row r="13" spans="2:10">
      <c r="B13" s="1"/>
      <c r="C13" s="1"/>
      <c r="D13" s="1"/>
      <c r="E13" s="1"/>
      <c r="F13"/>
      <c r="G13"/>
      <c r="H13"/>
      <c r="I13" s="1"/>
      <c r="J13" s="1"/>
    </row>
    <row r="14" spans="2:10" ht="30">
      <c r="B14" s="133" t="s">
        <v>11</v>
      </c>
      <c r="C14" s="133" t="s">
        <v>253</v>
      </c>
      <c r="D14" s="133" t="s">
        <v>254</v>
      </c>
      <c r="E14" s="133" t="s">
        <v>14</v>
      </c>
      <c r="F14"/>
      <c r="G14" s="133" t="s">
        <v>11</v>
      </c>
      <c r="H14" s="133" t="s">
        <v>253</v>
      </c>
      <c r="I14" s="133" t="s">
        <v>255</v>
      </c>
      <c r="J14" s="133" t="s">
        <v>14</v>
      </c>
    </row>
    <row r="15" spans="2:10">
      <c r="B15" s="64" t="s">
        <v>57</v>
      </c>
      <c r="C15" s="3">
        <f>'GII-RI Cupos'!K4</f>
        <v>3</v>
      </c>
      <c r="D15" s="2">
        <f>+'CONSOLIDADO MANIPULADORAS'!D5</f>
        <v>2377953.91</v>
      </c>
      <c r="E15" s="2">
        <f>+D15*C15</f>
        <v>7133861.7300000004</v>
      </c>
      <c r="F15"/>
      <c r="G15" s="64" t="s">
        <v>256</v>
      </c>
      <c r="H15" s="3">
        <f>'GII-RI Cupos'!K3</f>
        <v>13</v>
      </c>
      <c r="I15" s="2">
        <f>+'CONSOLIDADO MANIPULADORAS'!D6</f>
        <v>1283476.9550000001</v>
      </c>
      <c r="J15" s="2">
        <f>+I15*H15</f>
        <v>16685200.415000001</v>
      </c>
    </row>
    <row r="16" spans="2:10" ht="15.75">
      <c r="B16" s="197" t="s">
        <v>14</v>
      </c>
      <c r="C16" s="198"/>
      <c r="D16" s="199"/>
      <c r="E16" s="2">
        <f>+E15</f>
        <v>7133861.7300000004</v>
      </c>
      <c r="F16"/>
      <c r="G16" s="64" t="s">
        <v>32</v>
      </c>
      <c r="H16" s="3">
        <f>'GII-RI Cupos'!J8</f>
        <v>14</v>
      </c>
      <c r="I16" s="2">
        <f>+'CONSOLIDADO MANIPULADORAS'!D7</f>
        <v>72965.13033333332</v>
      </c>
      <c r="J16" s="2">
        <f>+I16*H16</f>
        <v>1021511.8246666664</v>
      </c>
    </row>
    <row r="17" spans="2:10" ht="15.75">
      <c r="B17"/>
      <c r="C17"/>
      <c r="D17"/>
      <c r="E17"/>
      <c r="F17"/>
      <c r="G17" s="197" t="s">
        <v>14</v>
      </c>
      <c r="H17" s="198"/>
      <c r="I17" s="199"/>
      <c r="J17" s="2">
        <f>+J15+J16</f>
        <v>17706712.239666667</v>
      </c>
    </row>
    <row r="18" spans="2:10">
      <c r="B18"/>
      <c r="C18"/>
      <c r="D18"/>
      <c r="E18"/>
      <c r="F18"/>
      <c r="G18"/>
      <c r="H18"/>
      <c r="I18"/>
      <c r="J18"/>
    </row>
    <row r="19" spans="2:10" ht="15.75">
      <c r="B19" s="193" t="s">
        <v>258</v>
      </c>
      <c r="C19" s="194"/>
      <c r="D19" s="5">
        <f>+E16/'GII-RI Cupos'!D4</f>
        <v>226.47180095238096</v>
      </c>
      <c r="E19"/>
      <c r="F19"/>
      <c r="G19" s="193" t="s">
        <v>258</v>
      </c>
      <c r="H19" s="194"/>
      <c r="I19" s="5">
        <f>+J17/'GII-RI Cupos'!D4</f>
        <v>562.11784887830686</v>
      </c>
      <c r="J19"/>
    </row>
  </sheetData>
  <mergeCells count="14">
    <mergeCell ref="B19:C19"/>
    <mergeCell ref="G19:H19"/>
    <mergeCell ref="B1:J1"/>
    <mergeCell ref="B2:E2"/>
    <mergeCell ref="G2:J2"/>
    <mergeCell ref="B6:D6"/>
    <mergeCell ref="G7:I7"/>
    <mergeCell ref="B9:C9"/>
    <mergeCell ref="G9:H9"/>
    <mergeCell ref="B11:J11"/>
    <mergeCell ref="B12:E12"/>
    <mergeCell ref="G12:J12"/>
    <mergeCell ref="B16:D16"/>
    <mergeCell ref="G17:I17"/>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76079-DA6F-4D07-868D-D544B1E3B69F}">
  <dimension ref="B1:J19"/>
  <sheetViews>
    <sheetView showGridLines="0" workbookViewId="0">
      <selection activeCell="H5" sqref="H5"/>
    </sheetView>
  </sheetViews>
  <sheetFormatPr baseColWidth="10" defaultColWidth="11.42578125" defaultRowHeight="15"/>
  <cols>
    <col min="1" max="1" width="4.140625" style="6" customWidth="1"/>
    <col min="2" max="2" width="25.5703125" style="6" customWidth="1"/>
    <col min="3" max="4" width="11.42578125" style="6"/>
    <col min="5" max="5" width="12" style="6" bestFit="1" customWidth="1"/>
    <col min="6" max="6" width="12" style="6" customWidth="1"/>
    <col min="7" max="7" width="21.5703125" style="6" customWidth="1"/>
    <col min="8" max="8" width="11.42578125" style="6"/>
    <col min="9" max="9" width="19.28515625" style="6" customWidth="1"/>
    <col min="10" max="10" width="23.28515625" style="6" customWidth="1"/>
    <col min="11" max="11" width="17.42578125" style="6" customWidth="1"/>
    <col min="12" max="12" width="14.140625" style="6" customWidth="1"/>
    <col min="13" max="13" width="13.7109375" style="6" customWidth="1"/>
    <col min="14" max="16384" width="11.42578125" style="6"/>
  </cols>
  <sheetData>
    <row r="1" spans="2:10" ht="21">
      <c r="B1" s="195" t="s">
        <v>250</v>
      </c>
      <c r="C1" s="195"/>
      <c r="D1" s="195"/>
      <c r="E1" s="195"/>
      <c r="F1" s="195"/>
      <c r="G1" s="195"/>
      <c r="H1" s="195"/>
      <c r="I1" s="195"/>
      <c r="J1" s="195"/>
    </row>
    <row r="2" spans="2:10" ht="18.75" customHeight="1">
      <c r="B2" s="196" t="s">
        <v>260</v>
      </c>
      <c r="C2" s="196"/>
      <c r="D2" s="196"/>
      <c r="E2" s="196"/>
      <c r="G2" s="196" t="s">
        <v>252</v>
      </c>
      <c r="H2" s="196"/>
      <c r="I2" s="196"/>
      <c r="J2" s="196"/>
    </row>
    <row r="3" spans="2:10">
      <c r="B3" s="1"/>
      <c r="C3" s="1"/>
      <c r="D3" s="1"/>
      <c r="E3" s="1"/>
      <c r="G3" s="1"/>
      <c r="H3" s="1"/>
      <c r="I3" s="1"/>
      <c r="J3" s="1"/>
    </row>
    <row r="4" spans="2:10" ht="30" customHeight="1">
      <c r="B4" s="133" t="s">
        <v>11</v>
      </c>
      <c r="C4" s="133" t="s">
        <v>253</v>
      </c>
      <c r="D4" s="133" t="s">
        <v>254</v>
      </c>
      <c r="E4" s="133" t="s">
        <v>14</v>
      </c>
      <c r="G4" s="133" t="s">
        <v>11</v>
      </c>
      <c r="H4" s="133" t="s">
        <v>253</v>
      </c>
      <c r="I4" s="133" t="s">
        <v>255</v>
      </c>
      <c r="J4" s="133" t="s">
        <v>14</v>
      </c>
    </row>
    <row r="5" spans="2:10">
      <c r="B5" s="136" t="s">
        <v>57</v>
      </c>
      <c r="C5" s="3">
        <f>'GIII-CCT Cupos'!K5+'GIII-CCT Cupos'!K4</f>
        <v>38</v>
      </c>
      <c r="D5" s="2">
        <f>+'CONSOLIDADO MANIPULADORAS'!D5</f>
        <v>2377953.91</v>
      </c>
      <c r="E5" s="2">
        <f>+D5*C5</f>
        <v>90362248.580000013</v>
      </c>
      <c r="G5" s="136" t="s">
        <v>256</v>
      </c>
      <c r="H5" s="3">
        <f>'GIII-CCT Cupos'!K3</f>
        <v>77</v>
      </c>
      <c r="I5" s="2">
        <f>+'CONSOLIDADO MANIPULADORAS'!D6</f>
        <v>1283476.9550000001</v>
      </c>
      <c r="J5" s="2">
        <f>+I5*H5</f>
        <v>98827725.535000011</v>
      </c>
    </row>
    <row r="6" spans="2:10" ht="15.75">
      <c r="B6" s="197" t="s">
        <v>14</v>
      </c>
      <c r="C6" s="198"/>
      <c r="D6" s="199"/>
      <c r="E6" s="2">
        <f>+E5</f>
        <v>90362248.580000013</v>
      </c>
      <c r="G6" s="7" t="s">
        <v>257</v>
      </c>
      <c r="H6" s="7">
        <f>'GIII-CCT Cupos'!J8</f>
        <v>54</v>
      </c>
      <c r="I6" s="2">
        <f>+'CONSOLIDADO MANIPULADORAS'!D7</f>
        <v>72965.13033333332</v>
      </c>
      <c r="J6" s="8">
        <f>+I6*H6</f>
        <v>3940117.0379999992</v>
      </c>
    </row>
    <row r="7" spans="2:10" ht="15.75">
      <c r="G7" s="197" t="s">
        <v>14</v>
      </c>
      <c r="H7" s="198"/>
      <c r="I7" s="199"/>
      <c r="J7" s="2">
        <f>+J5+J6</f>
        <v>102767842.57300001</v>
      </c>
    </row>
    <row r="8" spans="2:10" ht="15" customHeight="1">
      <c r="G8"/>
      <c r="H8"/>
      <c r="I8"/>
      <c r="J8"/>
    </row>
    <row r="9" spans="2:10" ht="30" customHeight="1">
      <c r="B9" s="193" t="s">
        <v>258</v>
      </c>
      <c r="C9" s="194"/>
      <c r="D9" s="5">
        <f>+E6/'GIII-CCT Cupos'!D4</f>
        <v>631.58142053357381</v>
      </c>
      <c r="G9" s="193" t="s">
        <v>258</v>
      </c>
      <c r="H9" s="194"/>
      <c r="I9" s="5">
        <f>+J7/'GIII-CCT Cupos'!D4</f>
        <v>718.28956248208965</v>
      </c>
    </row>
    <row r="11" spans="2:10" ht="21">
      <c r="B11" s="195" t="s">
        <v>259</v>
      </c>
      <c r="C11" s="195"/>
      <c r="D11" s="195"/>
      <c r="E11" s="195"/>
      <c r="F11" s="195"/>
      <c r="G11" s="195"/>
      <c r="H11" s="195"/>
      <c r="I11" s="195"/>
      <c r="J11" s="195"/>
    </row>
    <row r="12" spans="2:10" ht="18.75">
      <c r="B12" s="196" t="s">
        <v>260</v>
      </c>
      <c r="C12" s="196"/>
      <c r="D12" s="196"/>
      <c r="E12" s="196"/>
      <c r="F12"/>
      <c r="G12" s="196" t="s">
        <v>252</v>
      </c>
      <c r="H12" s="196"/>
      <c r="I12" s="196"/>
      <c r="J12" s="196"/>
    </row>
    <row r="13" spans="2:10">
      <c r="B13" s="1"/>
      <c r="C13" s="1"/>
      <c r="D13" s="1"/>
      <c r="E13" s="1"/>
      <c r="F13"/>
      <c r="G13"/>
      <c r="H13"/>
      <c r="I13" s="1"/>
      <c r="J13" s="1"/>
    </row>
    <row r="14" spans="2:10" ht="30">
      <c r="B14" s="133" t="s">
        <v>11</v>
      </c>
      <c r="C14" s="133" t="s">
        <v>253</v>
      </c>
      <c r="D14" s="133" t="s">
        <v>254</v>
      </c>
      <c r="E14" s="133" t="s">
        <v>14</v>
      </c>
      <c r="F14"/>
      <c r="G14" s="133" t="s">
        <v>11</v>
      </c>
      <c r="H14" s="133" t="s">
        <v>253</v>
      </c>
      <c r="I14" s="133" t="s">
        <v>255</v>
      </c>
      <c r="J14" s="133" t="s">
        <v>14</v>
      </c>
    </row>
    <row r="15" spans="2:10">
      <c r="B15" s="64" t="s">
        <v>57</v>
      </c>
      <c r="C15" s="3">
        <f>'GIII-RI Cupos'!K4</f>
        <v>3</v>
      </c>
      <c r="D15" s="2">
        <f>+'CONSOLIDADO MANIPULADORAS'!D5</f>
        <v>2377953.91</v>
      </c>
      <c r="E15" s="2">
        <f>+D15*C15</f>
        <v>7133861.7300000004</v>
      </c>
      <c r="F15"/>
      <c r="G15" s="64" t="s">
        <v>256</v>
      </c>
      <c r="H15" s="3">
        <f>'GIII-RI Cupos'!K3</f>
        <v>18</v>
      </c>
      <c r="I15" s="2">
        <f>+'CONSOLIDADO MANIPULADORAS'!D6</f>
        <v>1283476.9550000001</v>
      </c>
      <c r="J15" s="2">
        <f>+I15*H15</f>
        <v>23102585.190000001</v>
      </c>
    </row>
    <row r="16" spans="2:10" ht="15.75">
      <c r="B16" s="197" t="s">
        <v>14</v>
      </c>
      <c r="C16" s="198"/>
      <c r="D16" s="199"/>
      <c r="E16" s="2">
        <f>+E15</f>
        <v>7133861.7300000004</v>
      </c>
      <c r="F16"/>
      <c r="G16" s="64" t="s">
        <v>32</v>
      </c>
      <c r="H16" s="3">
        <f>'GIII-RI Cupos'!J7</f>
        <v>20</v>
      </c>
      <c r="I16" s="2">
        <f>+'CONSOLIDADO MANIPULADORAS'!D7</f>
        <v>72965.13033333332</v>
      </c>
      <c r="J16" s="2">
        <f>+I16*H16</f>
        <v>1459302.6066666665</v>
      </c>
    </row>
    <row r="17" spans="2:10" ht="15.75">
      <c r="B17"/>
      <c r="C17"/>
      <c r="D17"/>
      <c r="E17"/>
      <c r="F17"/>
      <c r="G17" s="197" t="s">
        <v>14</v>
      </c>
      <c r="H17" s="198"/>
      <c r="I17" s="199"/>
      <c r="J17" s="2">
        <f>+J15+J16</f>
        <v>24561887.796666667</v>
      </c>
    </row>
    <row r="18" spans="2:10">
      <c r="B18"/>
      <c r="C18"/>
      <c r="D18"/>
      <c r="E18"/>
      <c r="F18"/>
      <c r="G18"/>
      <c r="H18"/>
      <c r="I18"/>
      <c r="J18"/>
    </row>
    <row r="19" spans="2:10" ht="15.75">
      <c r="B19" s="193" t="s">
        <v>258</v>
      </c>
      <c r="C19" s="194"/>
      <c r="D19" s="5">
        <f>+E16/'GIII-RI Cupos'!D4</f>
        <v>226.47180095238096</v>
      </c>
      <c r="E19"/>
      <c r="F19"/>
      <c r="G19" s="193" t="s">
        <v>258</v>
      </c>
      <c r="H19" s="194"/>
      <c r="I19" s="5">
        <f>+J17/'GIII-RI Cupos'!D4</f>
        <v>779.74246973544973</v>
      </c>
      <c r="J19"/>
    </row>
  </sheetData>
  <mergeCells count="14">
    <mergeCell ref="B19:C19"/>
    <mergeCell ref="G19:H19"/>
    <mergeCell ref="B1:J1"/>
    <mergeCell ref="B2:E2"/>
    <mergeCell ref="G2:J2"/>
    <mergeCell ref="B6:D6"/>
    <mergeCell ref="G7:I7"/>
    <mergeCell ref="B9:C9"/>
    <mergeCell ref="G9:H9"/>
    <mergeCell ref="B11:J11"/>
    <mergeCell ref="B12:E12"/>
    <mergeCell ref="G12:J12"/>
    <mergeCell ref="B16:D16"/>
    <mergeCell ref="G17:I17"/>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A2AA1-FB48-495D-B315-6CFB73048E97}">
  <dimension ref="B1:J19"/>
  <sheetViews>
    <sheetView showGridLines="0" workbookViewId="0">
      <selection activeCell="H6" sqref="H6"/>
    </sheetView>
  </sheetViews>
  <sheetFormatPr baseColWidth="10" defaultColWidth="11.42578125" defaultRowHeight="15"/>
  <cols>
    <col min="1" max="1" width="4.140625" style="6" customWidth="1"/>
    <col min="2" max="2" width="25.5703125" style="6" customWidth="1"/>
    <col min="3" max="4" width="11.42578125" style="6"/>
    <col min="5" max="5" width="12" style="6" bestFit="1" customWidth="1"/>
    <col min="6" max="6" width="12" style="6" customWidth="1"/>
    <col min="7" max="7" width="21.5703125" style="6" customWidth="1"/>
    <col min="8" max="8" width="11.42578125" style="6"/>
    <col min="9" max="9" width="19.28515625" style="6" customWidth="1"/>
    <col min="10" max="10" width="23.28515625" style="6" customWidth="1"/>
    <col min="11" max="11" width="17.42578125" style="6" customWidth="1"/>
    <col min="12" max="12" width="14.140625" style="6" customWidth="1"/>
    <col min="13" max="13" width="13.7109375" style="6" customWidth="1"/>
    <col min="14" max="16384" width="11.42578125" style="6"/>
  </cols>
  <sheetData>
    <row r="1" spans="2:10" ht="21">
      <c r="B1" s="195" t="s">
        <v>250</v>
      </c>
      <c r="C1" s="195"/>
      <c r="D1" s="195"/>
      <c r="E1" s="195"/>
      <c r="F1" s="195"/>
      <c r="G1" s="195"/>
      <c r="H1" s="195"/>
      <c r="I1" s="195"/>
      <c r="J1" s="195"/>
    </row>
    <row r="2" spans="2:10" ht="18.75" customHeight="1">
      <c r="B2" s="196" t="s">
        <v>260</v>
      </c>
      <c r="C2" s="196"/>
      <c r="D2" s="196"/>
      <c r="E2" s="196"/>
      <c r="G2" s="196" t="s">
        <v>252</v>
      </c>
      <c r="H2" s="196"/>
      <c r="I2" s="196"/>
      <c r="J2" s="196"/>
    </row>
    <row r="3" spans="2:10">
      <c r="B3" s="1"/>
      <c r="C3" s="1"/>
      <c r="D3" s="1"/>
      <c r="E3" s="1"/>
      <c r="G3" s="1"/>
      <c r="H3" s="1"/>
      <c r="I3" s="1"/>
      <c r="J3" s="1"/>
    </row>
    <row r="4" spans="2:10" ht="30" customHeight="1">
      <c r="B4" s="133" t="s">
        <v>11</v>
      </c>
      <c r="C4" s="133" t="s">
        <v>253</v>
      </c>
      <c r="D4" s="133" t="s">
        <v>254</v>
      </c>
      <c r="E4" s="133" t="s">
        <v>14</v>
      </c>
      <c r="G4" s="133" t="s">
        <v>11</v>
      </c>
      <c r="H4" s="133" t="s">
        <v>253</v>
      </c>
      <c r="I4" s="133" t="s">
        <v>255</v>
      </c>
      <c r="J4" s="133" t="s">
        <v>14</v>
      </c>
    </row>
    <row r="5" spans="2:10">
      <c r="B5" s="136" t="s">
        <v>57</v>
      </c>
      <c r="C5" s="3">
        <f>'GIV-CCT Cupos'!K5+'GIV-CCT Cupos'!K4</f>
        <v>25</v>
      </c>
      <c r="D5" s="2">
        <f>+'CONSOLIDADO MANIPULADORAS'!D5</f>
        <v>2377953.91</v>
      </c>
      <c r="E5" s="2">
        <f>+D5*C5</f>
        <v>59448847.75</v>
      </c>
      <c r="G5" s="136" t="s">
        <v>256</v>
      </c>
      <c r="H5" s="3">
        <f>'GIV-CCT Cupos'!K3</f>
        <v>38</v>
      </c>
      <c r="I5" s="2">
        <f>+'CONSOLIDADO MANIPULADORAS'!D6</f>
        <v>1283476.9550000001</v>
      </c>
      <c r="J5" s="2">
        <f>+I5*H5</f>
        <v>48772124.290000007</v>
      </c>
    </row>
    <row r="6" spans="2:10" ht="15.75">
      <c r="B6" s="197" t="s">
        <v>14</v>
      </c>
      <c r="C6" s="198"/>
      <c r="D6" s="199"/>
      <c r="E6" s="2">
        <f>+E5</f>
        <v>59448847.75</v>
      </c>
      <c r="G6" s="7" t="s">
        <v>257</v>
      </c>
      <c r="H6" s="7">
        <f>'GIV-CCT Cupos'!J8</f>
        <v>22</v>
      </c>
      <c r="I6" s="2">
        <f>+'CONSOLIDADO MANIPULADORAS'!D7</f>
        <v>72965.13033333332</v>
      </c>
      <c r="J6" s="8">
        <f>+I6*H6</f>
        <v>1605232.867333333</v>
      </c>
    </row>
    <row r="7" spans="2:10" ht="15.75">
      <c r="G7" s="197" t="s">
        <v>14</v>
      </c>
      <c r="H7" s="198"/>
      <c r="I7" s="199"/>
      <c r="J7" s="2">
        <f>+J5+J6</f>
        <v>50377357.157333337</v>
      </c>
    </row>
    <row r="8" spans="2:10" ht="15" customHeight="1">
      <c r="G8"/>
      <c r="H8"/>
      <c r="I8"/>
      <c r="J8"/>
    </row>
    <row r="9" spans="2:10" ht="30" customHeight="1">
      <c r="B9" s="193" t="s">
        <v>258</v>
      </c>
      <c r="C9" s="194"/>
      <c r="D9" s="5">
        <f>+E6/'GIV-CCT Cupos'!D4</f>
        <v>651.82995899257696</v>
      </c>
      <c r="G9" s="193" t="s">
        <v>258</v>
      </c>
      <c r="H9" s="194"/>
      <c r="I9" s="5">
        <f>+J7/'GIV-CCT Cupos'!D4</f>
        <v>552.3651322580763</v>
      </c>
    </row>
    <row r="11" spans="2:10" ht="21">
      <c r="B11" s="195" t="s">
        <v>259</v>
      </c>
      <c r="C11" s="195"/>
      <c r="D11" s="195"/>
      <c r="E11" s="195"/>
      <c r="F11" s="195"/>
      <c r="G11" s="195"/>
      <c r="H11" s="195"/>
      <c r="I11" s="195"/>
      <c r="J11" s="195"/>
    </row>
    <row r="12" spans="2:10" ht="18.75">
      <c r="B12" s="196" t="s">
        <v>260</v>
      </c>
      <c r="C12" s="196"/>
      <c r="D12" s="196"/>
      <c r="E12" s="196"/>
      <c r="F12"/>
      <c r="G12" s="196" t="s">
        <v>252</v>
      </c>
      <c r="H12" s="196"/>
      <c r="I12" s="196"/>
      <c r="J12" s="196"/>
    </row>
    <row r="13" spans="2:10">
      <c r="B13" s="1"/>
      <c r="C13" s="1"/>
      <c r="D13" s="1"/>
      <c r="E13" s="1"/>
      <c r="F13"/>
      <c r="G13"/>
      <c r="H13"/>
      <c r="I13" s="1"/>
      <c r="J13" s="1"/>
    </row>
    <row r="14" spans="2:10" ht="30">
      <c r="B14" s="133" t="s">
        <v>11</v>
      </c>
      <c r="C14" s="133" t="s">
        <v>253</v>
      </c>
      <c r="D14" s="133" t="s">
        <v>254</v>
      </c>
      <c r="E14" s="133" t="s">
        <v>14</v>
      </c>
      <c r="F14"/>
      <c r="G14" s="133" t="s">
        <v>11</v>
      </c>
      <c r="H14" s="133" t="s">
        <v>253</v>
      </c>
      <c r="I14" s="133" t="s">
        <v>255</v>
      </c>
      <c r="J14" s="133" t="s">
        <v>14</v>
      </c>
    </row>
    <row r="15" spans="2:10">
      <c r="B15" s="64" t="s">
        <v>57</v>
      </c>
      <c r="C15" s="3">
        <f>'GIV-RI Cupos'!K4</f>
        <v>3</v>
      </c>
      <c r="D15" s="2">
        <f>+'CONSOLIDADO MANIPULADORAS'!D5</f>
        <v>2377953.91</v>
      </c>
      <c r="E15" s="2">
        <f>+D15*C15</f>
        <v>7133861.7300000004</v>
      </c>
      <c r="F15"/>
      <c r="G15" s="64" t="s">
        <v>256</v>
      </c>
      <c r="H15" s="3">
        <f>'GIV-RI Cupos'!K3</f>
        <v>14</v>
      </c>
      <c r="I15" s="2">
        <f>+'CONSOLIDADO MANIPULADORAS'!D6</f>
        <v>1283476.9550000001</v>
      </c>
      <c r="J15" s="2">
        <f>+I15*H15</f>
        <v>17968677.370000001</v>
      </c>
    </row>
    <row r="16" spans="2:10" ht="15.75">
      <c r="B16" s="197" t="s">
        <v>14</v>
      </c>
      <c r="C16" s="198"/>
      <c r="D16" s="199"/>
      <c r="E16" s="2">
        <f>+E15</f>
        <v>7133861.7300000004</v>
      </c>
      <c r="F16"/>
      <c r="G16" s="64" t="s">
        <v>32</v>
      </c>
      <c r="H16" s="3">
        <f>'GIV-RI Cupos'!J7</f>
        <v>13</v>
      </c>
      <c r="I16" s="2">
        <f>+'CONSOLIDADO MANIPULADORAS'!D7</f>
        <v>72965.13033333332</v>
      </c>
      <c r="J16" s="2">
        <f>+I16*H16</f>
        <v>948546.69433333317</v>
      </c>
    </row>
    <row r="17" spans="2:10" ht="15.75">
      <c r="B17"/>
      <c r="C17"/>
      <c r="D17"/>
      <c r="E17"/>
      <c r="F17"/>
      <c r="G17" s="197" t="s">
        <v>14</v>
      </c>
      <c r="H17" s="198"/>
      <c r="I17" s="199"/>
      <c r="J17" s="2">
        <f>+J15+J16</f>
        <v>18917224.064333335</v>
      </c>
    </row>
    <row r="18" spans="2:10">
      <c r="B18"/>
      <c r="C18"/>
      <c r="D18"/>
      <c r="E18"/>
      <c r="F18"/>
      <c r="G18"/>
      <c r="H18"/>
      <c r="I18"/>
      <c r="J18"/>
    </row>
    <row r="19" spans="2:10" ht="15.75">
      <c r="B19" s="193" t="s">
        <v>258</v>
      </c>
      <c r="C19" s="194"/>
      <c r="D19" s="5">
        <f>+E16/'GIV-RI Cupos'!D4</f>
        <v>226.47180095238096</v>
      </c>
      <c r="E19"/>
      <c r="F19"/>
      <c r="G19" s="193" t="s">
        <v>258</v>
      </c>
      <c r="H19" s="194"/>
      <c r="I19" s="5">
        <f>+J17/'GIV-RI Cupos'!D4</f>
        <v>600.54679569312168</v>
      </c>
      <c r="J19"/>
    </row>
  </sheetData>
  <mergeCells count="14">
    <mergeCell ref="B19:C19"/>
    <mergeCell ref="G19:H19"/>
    <mergeCell ref="B1:J1"/>
    <mergeCell ref="B2:E2"/>
    <mergeCell ref="G2:J2"/>
    <mergeCell ref="B6:D6"/>
    <mergeCell ref="G7:I7"/>
    <mergeCell ref="B9:C9"/>
    <mergeCell ref="G9:H9"/>
    <mergeCell ref="B11:J11"/>
    <mergeCell ref="B12:E12"/>
    <mergeCell ref="G12:J12"/>
    <mergeCell ref="B16:D16"/>
    <mergeCell ref="G17:I17"/>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759E6-19A8-46F6-8C7F-FF8D234A77DE}">
  <sheetPr>
    <tabColor theme="7"/>
  </sheetPr>
  <dimension ref="B1:H27"/>
  <sheetViews>
    <sheetView workbookViewId="0">
      <selection activeCell="H18" sqref="H18"/>
    </sheetView>
  </sheetViews>
  <sheetFormatPr baseColWidth="10" defaultColWidth="11.42578125" defaultRowHeight="15"/>
  <cols>
    <col min="1" max="1" width="4" style="1" customWidth="1"/>
    <col min="2" max="2" width="34.7109375" style="1" customWidth="1"/>
    <col min="3" max="3" width="16.7109375" style="1" bestFit="1" customWidth="1"/>
    <col min="4" max="4" width="11.42578125" style="1"/>
    <col min="5" max="5" width="20.28515625" style="1" customWidth="1"/>
    <col min="6" max="16384" width="11.42578125" style="1"/>
  </cols>
  <sheetData>
    <row r="1" spans="2:8" ht="18.75" customHeight="1">
      <c r="B1" s="196" t="s">
        <v>261</v>
      </c>
      <c r="C1" s="196"/>
      <c r="D1" s="196"/>
      <c r="E1" s="196"/>
    </row>
    <row r="3" spans="2:8" ht="29.25" customHeight="1">
      <c r="B3" s="133" t="s">
        <v>11</v>
      </c>
      <c r="C3" s="133" t="s">
        <v>253</v>
      </c>
      <c r="D3" s="133" t="s">
        <v>254</v>
      </c>
      <c r="E3" s="133" t="s">
        <v>14</v>
      </c>
    </row>
    <row r="4" spans="2:8">
      <c r="B4" s="64" t="s">
        <v>4</v>
      </c>
      <c r="C4" s="14">
        <v>0.5</v>
      </c>
      <c r="D4" s="19">
        <f>+'CONSOLIDADO PERS ADMON'!D5</f>
        <v>5176603.0506666666</v>
      </c>
      <c r="E4" s="2">
        <f>+C4*D4</f>
        <v>2588301.5253333333</v>
      </c>
    </row>
    <row r="5" spans="2:8">
      <c r="B5" s="64" t="s">
        <v>5</v>
      </c>
      <c r="C5" s="15">
        <v>1</v>
      </c>
      <c r="D5" s="19">
        <f>+'CONSOLIDADO PERS ADMON'!D6</f>
        <v>4529527.6693333331</v>
      </c>
      <c r="E5" s="2">
        <f t="shared" ref="E5:E8" si="0">+C5*D5</f>
        <v>4529527.6693333331</v>
      </c>
    </row>
    <row r="6" spans="2:8">
      <c r="B6" s="64" t="s">
        <v>6</v>
      </c>
      <c r="C6" s="15">
        <v>0.5</v>
      </c>
      <c r="D6" s="19">
        <f>+'CONSOLIDADO PERS ADMON'!D7</f>
        <v>4473148.8853333332</v>
      </c>
      <c r="E6" s="2">
        <f t="shared" si="0"/>
        <v>2236574.4426666666</v>
      </c>
    </row>
    <row r="7" spans="2:8">
      <c r="B7" s="64" t="s">
        <v>7</v>
      </c>
      <c r="C7" s="15">
        <v>2</v>
      </c>
      <c r="D7" s="19">
        <f>+'CONSOLIDADO PERS ADMON'!D8</f>
        <v>3384064.2666666657</v>
      </c>
      <c r="E7" s="2">
        <f t="shared" si="0"/>
        <v>6768128.5333333313</v>
      </c>
    </row>
    <row r="8" spans="2:8">
      <c r="B8" s="64" t="s">
        <v>8</v>
      </c>
      <c r="C8" s="15">
        <v>1</v>
      </c>
      <c r="D8" s="19">
        <f>+'CONSOLIDADO PERS ADMON'!D9</f>
        <v>3424376.9066666663</v>
      </c>
      <c r="E8" s="2">
        <f t="shared" si="0"/>
        <v>3424376.9066666663</v>
      </c>
    </row>
    <row r="9" spans="2:8">
      <c r="B9" s="136" t="s">
        <v>262</v>
      </c>
      <c r="C9" s="136">
        <v>0</v>
      </c>
      <c r="D9" s="19">
        <f>+'CONSOLIDADO PERS ADMON'!D10</f>
        <v>3424376.9066666663</v>
      </c>
      <c r="E9" s="2">
        <f t="shared" ref="E9" si="1">+C9*D9</f>
        <v>0</v>
      </c>
    </row>
    <row r="10" spans="2:8">
      <c r="B10" s="154" t="s">
        <v>263</v>
      </c>
      <c r="C10" s="154"/>
      <c r="D10" s="154"/>
      <c r="E10" s="4">
        <f>SUM(E4:E9)</f>
        <v>19546909.077333331</v>
      </c>
    </row>
    <row r="12" spans="2:8" ht="15.75">
      <c r="B12" s="65" t="s">
        <v>258</v>
      </c>
      <c r="C12" s="5">
        <f>+E10/'GI-RI Cupos'!D4</f>
        <v>109.59674957714942</v>
      </c>
      <c r="H12" s="92"/>
    </row>
    <row r="16" spans="2:8" ht="18.75">
      <c r="B16" s="196" t="s">
        <v>264</v>
      </c>
      <c r="C16" s="196"/>
      <c r="D16" s="196"/>
      <c r="E16" s="196"/>
    </row>
    <row r="18" spans="2:5" ht="30">
      <c r="B18" s="133" t="s">
        <v>11</v>
      </c>
      <c r="C18" s="133" t="s">
        <v>253</v>
      </c>
      <c r="D18" s="133" t="s">
        <v>254</v>
      </c>
      <c r="E18" s="133" t="s">
        <v>14</v>
      </c>
    </row>
    <row r="19" spans="2:5">
      <c r="B19" s="64" t="s">
        <v>4</v>
      </c>
      <c r="C19" s="14">
        <v>0.5</v>
      </c>
      <c r="D19" s="19">
        <f>'CONSOLIDADO PERS ADMON'!D5</f>
        <v>5176603.0506666666</v>
      </c>
      <c r="E19" s="2">
        <f>+C19*D19</f>
        <v>2588301.5253333333</v>
      </c>
    </row>
    <row r="20" spans="2:5">
      <c r="B20" s="64" t="s">
        <v>5</v>
      </c>
      <c r="C20" s="15">
        <v>1</v>
      </c>
      <c r="D20" s="19">
        <f>'CONSOLIDADO PERS ADMON'!D6</f>
        <v>4529527.6693333331</v>
      </c>
      <c r="E20" s="2">
        <f t="shared" ref="E20:E24" si="2">+C20*D20</f>
        <v>4529527.6693333331</v>
      </c>
    </row>
    <row r="21" spans="2:5">
      <c r="B21" s="64" t="s">
        <v>6</v>
      </c>
      <c r="C21" s="15">
        <v>0.5</v>
      </c>
      <c r="D21" s="19">
        <f>'CONSOLIDADO PERS ADMON'!D7</f>
        <v>4473148.8853333332</v>
      </c>
      <c r="E21" s="2">
        <f t="shared" si="2"/>
        <v>2236574.4426666666</v>
      </c>
    </row>
    <row r="22" spans="2:5">
      <c r="B22" s="64" t="s">
        <v>7</v>
      </c>
      <c r="C22" s="15">
        <v>2</v>
      </c>
      <c r="D22" s="19">
        <f>'CONSOLIDADO PERS ADMON'!D8</f>
        <v>3384064.2666666657</v>
      </c>
      <c r="E22" s="2">
        <f t="shared" si="2"/>
        <v>6768128.5333333313</v>
      </c>
    </row>
    <row r="23" spans="2:5">
      <c r="B23" s="64" t="s">
        <v>8</v>
      </c>
      <c r="C23" s="15">
        <v>1</v>
      </c>
      <c r="D23" s="19">
        <f>'CONSOLIDADO PERS ADMON'!D9</f>
        <v>3424376.9066666663</v>
      </c>
      <c r="E23" s="2">
        <f t="shared" si="2"/>
        <v>3424376.9066666663</v>
      </c>
    </row>
    <row r="24" spans="2:5">
      <c r="B24" s="136" t="s">
        <v>262</v>
      </c>
      <c r="C24" s="136">
        <v>2</v>
      </c>
      <c r="D24" s="19">
        <f>'CONSOLIDADO PERS ADMON'!D10</f>
        <v>3424376.9066666663</v>
      </c>
      <c r="E24" s="2">
        <f t="shared" si="2"/>
        <v>6848753.8133333325</v>
      </c>
    </row>
    <row r="25" spans="2:5">
      <c r="B25" s="154" t="s">
        <v>263</v>
      </c>
      <c r="C25" s="154"/>
      <c r="D25" s="154"/>
      <c r="E25" s="4">
        <f>SUM(E19:E24)</f>
        <v>26395662.890666664</v>
      </c>
    </row>
    <row r="27" spans="2:5" ht="15.75">
      <c r="B27" s="65" t="s">
        <v>258</v>
      </c>
      <c r="C27" s="5">
        <f>+E25/'GI-CCT Cupos'!D4</f>
        <v>315.57527695882101</v>
      </c>
      <c r="D27" s="60"/>
      <c r="E27" s="60"/>
    </row>
  </sheetData>
  <mergeCells count="4">
    <mergeCell ref="B1:E1"/>
    <mergeCell ref="B10:D10"/>
    <mergeCell ref="B16:E16"/>
    <mergeCell ref="B25:D25"/>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D2758-D93A-47D8-8550-4DF15EC325D5}">
  <sheetPr>
    <tabColor theme="7"/>
  </sheetPr>
  <dimension ref="B1:E25"/>
  <sheetViews>
    <sheetView showGridLines="0" topLeftCell="A10" workbookViewId="0">
      <selection activeCell="C21" sqref="C21"/>
    </sheetView>
  </sheetViews>
  <sheetFormatPr baseColWidth="10" defaultColWidth="11.42578125" defaultRowHeight="15"/>
  <cols>
    <col min="1" max="1" width="4" style="1" customWidth="1"/>
    <col min="2" max="2" width="34.85546875" style="1" customWidth="1"/>
    <col min="3" max="3" width="16.5703125" style="1" customWidth="1"/>
    <col min="4" max="4" width="11.85546875" style="1" customWidth="1"/>
    <col min="5" max="5" width="15.5703125" style="1" customWidth="1"/>
    <col min="6" max="6" width="11.42578125" style="1"/>
    <col min="7" max="7" width="14.28515625" style="1" bestFit="1" customWidth="1"/>
    <col min="8" max="8" width="15.5703125" style="1" bestFit="1" customWidth="1"/>
    <col min="9" max="16384" width="11.42578125" style="1"/>
  </cols>
  <sheetData>
    <row r="1" spans="2:5" ht="18.75" customHeight="1">
      <c r="B1" s="196" t="s">
        <v>264</v>
      </c>
      <c r="C1" s="196"/>
      <c r="D1" s="196"/>
      <c r="E1" s="196"/>
    </row>
    <row r="3" spans="2:5" ht="30">
      <c r="B3" s="133" t="s">
        <v>11</v>
      </c>
      <c r="C3" s="133" t="s">
        <v>253</v>
      </c>
      <c r="D3" s="133" t="s">
        <v>254</v>
      </c>
      <c r="E3" s="133" t="s">
        <v>14</v>
      </c>
    </row>
    <row r="4" spans="2:5">
      <c r="B4" s="134" t="s">
        <v>4</v>
      </c>
      <c r="C4" s="15">
        <v>0.5</v>
      </c>
      <c r="D4" s="9">
        <f>+'CONSOLIDADO PERS ADMON'!D5</f>
        <v>5176603.0506666666</v>
      </c>
      <c r="E4" s="12">
        <f>C4*D4</f>
        <v>2588301.5253333333</v>
      </c>
    </row>
    <row r="5" spans="2:5">
      <c r="B5" s="134" t="s">
        <v>5</v>
      </c>
      <c r="C5" s="15">
        <v>1</v>
      </c>
      <c r="D5" s="9">
        <f>+'CONSOLIDADO PERS ADMON'!D6</f>
        <v>4529527.6693333331</v>
      </c>
      <c r="E5" s="12">
        <f t="shared" ref="E5:E9" si="0">C5*D5</f>
        <v>4529527.6693333331</v>
      </c>
    </row>
    <row r="6" spans="2:5">
      <c r="B6" s="134" t="s">
        <v>6</v>
      </c>
      <c r="C6" s="15">
        <v>0.5</v>
      </c>
      <c r="D6" s="9">
        <f>+'CONSOLIDADO PERS ADMON'!D7</f>
        <v>4473148.8853333332</v>
      </c>
      <c r="E6" s="12">
        <f t="shared" si="0"/>
        <v>2236574.4426666666</v>
      </c>
    </row>
    <row r="7" spans="2:5">
      <c r="B7" s="134" t="s">
        <v>7</v>
      </c>
      <c r="C7" s="15">
        <v>2</v>
      </c>
      <c r="D7" s="9">
        <f>+'CONSOLIDADO PERS ADMON'!D8</f>
        <v>3384064.2666666657</v>
      </c>
      <c r="E7" s="12">
        <f t="shared" si="0"/>
        <v>6768128.5333333313</v>
      </c>
    </row>
    <row r="8" spans="2:5">
      <c r="B8" s="134" t="s">
        <v>8</v>
      </c>
      <c r="C8" s="15">
        <v>2</v>
      </c>
      <c r="D8" s="9">
        <f>+'CONSOLIDADO PERS ADMON'!D9</f>
        <v>3424376.9066666663</v>
      </c>
      <c r="E8" s="12">
        <f t="shared" si="0"/>
        <v>6848753.8133333325</v>
      </c>
    </row>
    <row r="9" spans="2:5">
      <c r="B9" s="134" t="s">
        <v>9</v>
      </c>
      <c r="C9" s="15">
        <v>2</v>
      </c>
      <c r="D9" s="9">
        <f>+'CONSOLIDADO PERS ADMON'!D10</f>
        <v>3424376.9066666663</v>
      </c>
      <c r="E9" s="12">
        <f t="shared" si="0"/>
        <v>6848753.8133333325</v>
      </c>
    </row>
    <row r="10" spans="2:5">
      <c r="B10" s="154" t="s">
        <v>263</v>
      </c>
      <c r="C10" s="154"/>
      <c r="D10" s="154"/>
      <c r="E10" s="4">
        <f>SUM(E4:E9)</f>
        <v>29820039.79733333</v>
      </c>
    </row>
    <row r="11" spans="2:5">
      <c r="B11" s="17"/>
      <c r="C11" s="17"/>
      <c r="D11" s="18"/>
      <c r="E11" s="18"/>
    </row>
    <row r="12" spans="2:5" ht="15.75" customHeight="1">
      <c r="B12" s="65" t="s">
        <v>258</v>
      </c>
      <c r="C12" s="5">
        <f>+E10/'GII-CCT Cupos'!D4</f>
        <v>274.23752319642932</v>
      </c>
    </row>
    <row r="14" spans="2:5" ht="18.75">
      <c r="B14" s="196" t="s">
        <v>261</v>
      </c>
      <c r="C14" s="196"/>
      <c r="D14" s="196"/>
      <c r="E14" s="196"/>
    </row>
    <row r="16" spans="2:5" ht="30">
      <c r="B16" s="133" t="s">
        <v>11</v>
      </c>
      <c r="C16" s="133" t="s">
        <v>253</v>
      </c>
      <c r="D16" s="133" t="s">
        <v>254</v>
      </c>
      <c r="E16" s="133" t="s">
        <v>14</v>
      </c>
    </row>
    <row r="17" spans="2:5">
      <c r="B17" s="64" t="s">
        <v>4</v>
      </c>
      <c r="C17" s="14">
        <v>0.5</v>
      </c>
      <c r="D17" s="19">
        <f>'CONSOLIDADO PERS ADMON'!D5</f>
        <v>5176603.0506666666</v>
      </c>
      <c r="E17" s="2">
        <f>+C17*D17</f>
        <v>2588301.5253333333</v>
      </c>
    </row>
    <row r="18" spans="2:5">
      <c r="B18" s="64" t="s">
        <v>5</v>
      </c>
      <c r="C18" s="15">
        <v>0</v>
      </c>
      <c r="D18" s="19">
        <f>'CONSOLIDADO PERS ADMON'!D6</f>
        <v>4529527.6693333331</v>
      </c>
      <c r="E18" s="2">
        <f t="shared" ref="E18:E22" si="1">+C18*D18</f>
        <v>0</v>
      </c>
    </row>
    <row r="19" spans="2:5">
      <c r="B19" s="64" t="s">
        <v>6</v>
      </c>
      <c r="C19" s="15">
        <v>0.5</v>
      </c>
      <c r="D19" s="19">
        <f>'CONSOLIDADO PERS ADMON'!D7</f>
        <v>4473148.8853333332</v>
      </c>
      <c r="E19" s="2">
        <f t="shared" si="1"/>
        <v>2236574.4426666666</v>
      </c>
    </row>
    <row r="20" spans="2:5">
      <c r="B20" s="64" t="s">
        <v>7</v>
      </c>
      <c r="C20" s="15">
        <v>1</v>
      </c>
      <c r="D20" s="19">
        <f>'CONSOLIDADO PERS ADMON'!D8</f>
        <v>3384064.2666666657</v>
      </c>
      <c r="E20" s="2">
        <f t="shared" si="1"/>
        <v>3384064.2666666657</v>
      </c>
    </row>
    <row r="21" spans="2:5">
      <c r="B21" s="64" t="s">
        <v>8</v>
      </c>
      <c r="C21" s="15">
        <v>1</v>
      </c>
      <c r="D21" s="19">
        <f>'CONSOLIDADO PERS ADMON'!D9</f>
        <v>3424376.9066666663</v>
      </c>
      <c r="E21" s="2">
        <f t="shared" si="1"/>
        <v>3424376.9066666663</v>
      </c>
    </row>
    <row r="22" spans="2:5">
      <c r="B22" s="136" t="s">
        <v>262</v>
      </c>
      <c r="C22" s="136">
        <v>0</v>
      </c>
      <c r="D22" s="19">
        <f>'CONSOLIDADO PERS ADMON'!D10</f>
        <v>3424376.9066666663</v>
      </c>
      <c r="E22" s="2">
        <f t="shared" si="1"/>
        <v>0</v>
      </c>
    </row>
    <row r="23" spans="2:5">
      <c r="B23" s="154" t="s">
        <v>263</v>
      </c>
      <c r="C23" s="154"/>
      <c r="D23" s="154"/>
      <c r="E23" s="4">
        <f>SUM(E17:E22)</f>
        <v>11633317.141333332</v>
      </c>
    </row>
    <row r="25" spans="2:5" ht="15.75">
      <c r="B25" s="65" t="s">
        <v>258</v>
      </c>
      <c r="C25" s="5">
        <f>+E23/'GII-RI Cupos'!D4</f>
        <v>369.31165528042322</v>
      </c>
    </row>
  </sheetData>
  <mergeCells count="4">
    <mergeCell ref="B1:E1"/>
    <mergeCell ref="B10:D10"/>
    <mergeCell ref="B14:E14"/>
    <mergeCell ref="B23:D23"/>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6C388-B314-4840-8AC3-5BECA9C6F19E}">
  <sheetPr>
    <tabColor theme="7"/>
  </sheetPr>
  <dimension ref="B1:E25"/>
  <sheetViews>
    <sheetView showGridLines="0" workbookViewId="0">
      <selection activeCell="C21" sqref="C21"/>
    </sheetView>
  </sheetViews>
  <sheetFormatPr baseColWidth="10" defaultColWidth="11.42578125" defaultRowHeight="15"/>
  <cols>
    <col min="1" max="1" width="4" style="1" customWidth="1"/>
    <col min="2" max="2" width="34.85546875" style="1" customWidth="1"/>
    <col min="3" max="3" width="16.5703125" style="1" customWidth="1"/>
    <col min="4" max="4" width="11.85546875" style="1" customWidth="1"/>
    <col min="5" max="5" width="13" style="1" bestFit="1" customWidth="1"/>
    <col min="6" max="7" width="11.42578125" style="1"/>
    <col min="8" max="9" width="4.140625" style="1" customWidth="1"/>
    <col min="10" max="16384" width="11.42578125" style="1"/>
  </cols>
  <sheetData>
    <row r="1" spans="2:5" ht="18.75">
      <c r="B1" s="196" t="s">
        <v>264</v>
      </c>
      <c r="C1" s="196"/>
      <c r="D1" s="196"/>
      <c r="E1" s="196"/>
    </row>
    <row r="3" spans="2:5" ht="30">
      <c r="B3" s="133" t="s">
        <v>11</v>
      </c>
      <c r="C3" s="133" t="s">
        <v>253</v>
      </c>
      <c r="D3" s="133" t="s">
        <v>254</v>
      </c>
      <c r="E3" s="133" t="s">
        <v>14</v>
      </c>
    </row>
    <row r="4" spans="2:5">
      <c r="B4" s="134" t="s">
        <v>4</v>
      </c>
      <c r="C4" s="15">
        <v>0.5</v>
      </c>
      <c r="D4" s="9">
        <f>+'CONSOLIDADO PERS ADMON'!D5</f>
        <v>5176603.0506666666</v>
      </c>
      <c r="E4" s="12">
        <f>C4*D4</f>
        <v>2588301.5253333333</v>
      </c>
    </row>
    <row r="5" spans="2:5">
      <c r="B5" s="134" t="s">
        <v>5</v>
      </c>
      <c r="C5" s="15">
        <v>1</v>
      </c>
      <c r="D5" s="9">
        <f>+'CONSOLIDADO PERS ADMON'!D6</f>
        <v>4529527.6693333331</v>
      </c>
      <c r="E5" s="12">
        <f t="shared" ref="E5:E9" si="0">C5*D5</f>
        <v>4529527.6693333331</v>
      </c>
    </row>
    <row r="6" spans="2:5">
      <c r="B6" s="134" t="s">
        <v>6</v>
      </c>
      <c r="C6" s="15">
        <v>0.5</v>
      </c>
      <c r="D6" s="9">
        <f>+'CONSOLIDADO PERS ADMON'!D7</f>
        <v>4473148.8853333332</v>
      </c>
      <c r="E6" s="12">
        <f t="shared" si="0"/>
        <v>2236574.4426666666</v>
      </c>
    </row>
    <row r="7" spans="2:5">
      <c r="B7" s="134" t="s">
        <v>7</v>
      </c>
      <c r="C7" s="15">
        <v>3</v>
      </c>
      <c r="D7" s="9">
        <f>+'CONSOLIDADO PERS ADMON'!D8</f>
        <v>3384064.2666666657</v>
      </c>
      <c r="E7" s="12">
        <f t="shared" si="0"/>
        <v>10152192.799999997</v>
      </c>
    </row>
    <row r="8" spans="2:5">
      <c r="B8" s="134" t="s">
        <v>8</v>
      </c>
      <c r="C8" s="15">
        <v>3</v>
      </c>
      <c r="D8" s="9">
        <f>+'CONSOLIDADO PERS ADMON'!D9</f>
        <v>3424376.9066666663</v>
      </c>
      <c r="E8" s="12">
        <f t="shared" si="0"/>
        <v>10273130.719999999</v>
      </c>
    </row>
    <row r="9" spans="2:5">
      <c r="B9" s="134" t="s">
        <v>9</v>
      </c>
      <c r="C9" s="15">
        <v>1</v>
      </c>
      <c r="D9" s="9">
        <f>+'CONSOLIDADO PERS ADMON'!D10</f>
        <v>3424376.9066666663</v>
      </c>
      <c r="E9" s="12">
        <f t="shared" si="0"/>
        <v>3424376.9066666663</v>
      </c>
    </row>
    <row r="10" spans="2:5">
      <c r="B10" s="154" t="s">
        <v>263</v>
      </c>
      <c r="C10" s="154"/>
      <c r="D10" s="154"/>
      <c r="E10" s="4">
        <f>SUM(E4:E9)</f>
        <v>33204104.063999996</v>
      </c>
    </row>
    <row r="11" spans="2:5">
      <c r="B11" s="17"/>
      <c r="C11" s="17"/>
      <c r="D11" s="18"/>
      <c r="E11" s="18"/>
    </row>
    <row r="12" spans="2:5" ht="15.75">
      <c r="B12" s="65" t="s">
        <v>258</v>
      </c>
      <c r="C12" s="5">
        <f>+E10/'GIII-CCT Cupos'!D4</f>
        <v>232.07805850160403</v>
      </c>
    </row>
    <row r="14" spans="2:5" ht="18.75">
      <c r="B14" s="196" t="s">
        <v>261</v>
      </c>
      <c r="C14" s="196"/>
      <c r="D14" s="196"/>
      <c r="E14" s="196"/>
    </row>
    <row r="16" spans="2:5" ht="30">
      <c r="B16" s="133" t="s">
        <v>11</v>
      </c>
      <c r="C16" s="133" t="s">
        <v>253</v>
      </c>
      <c r="D16" s="133" t="s">
        <v>254</v>
      </c>
      <c r="E16" s="133" t="s">
        <v>14</v>
      </c>
    </row>
    <row r="17" spans="2:5">
      <c r="B17" s="64" t="s">
        <v>4</v>
      </c>
      <c r="C17" s="14">
        <v>0.5</v>
      </c>
      <c r="D17" s="19">
        <f>'CONSOLIDADO PERS ADMON'!D5</f>
        <v>5176603.0506666666</v>
      </c>
      <c r="E17" s="2">
        <f>+C17*D17</f>
        <v>2588301.5253333333</v>
      </c>
    </row>
    <row r="18" spans="2:5">
      <c r="B18" s="64" t="s">
        <v>5</v>
      </c>
      <c r="C18" s="15">
        <v>0</v>
      </c>
      <c r="D18" s="19">
        <f>'CONSOLIDADO PERS ADMON'!D6</f>
        <v>4529527.6693333331</v>
      </c>
      <c r="E18" s="2">
        <f t="shared" ref="E18:E22" si="1">+C18*D18</f>
        <v>0</v>
      </c>
    </row>
    <row r="19" spans="2:5">
      <c r="B19" s="64" t="s">
        <v>6</v>
      </c>
      <c r="C19" s="15">
        <v>0.5</v>
      </c>
      <c r="D19" s="19">
        <f>'CONSOLIDADO PERS ADMON'!D7</f>
        <v>4473148.8853333332</v>
      </c>
      <c r="E19" s="2">
        <f t="shared" si="1"/>
        <v>2236574.4426666666</v>
      </c>
    </row>
    <row r="20" spans="2:5">
      <c r="B20" s="64" t="s">
        <v>7</v>
      </c>
      <c r="C20" s="15">
        <v>1</v>
      </c>
      <c r="D20" s="19">
        <f>'CONSOLIDADO PERS ADMON'!D8</f>
        <v>3384064.2666666657</v>
      </c>
      <c r="E20" s="2">
        <f t="shared" si="1"/>
        <v>3384064.2666666657</v>
      </c>
    </row>
    <row r="21" spans="2:5">
      <c r="B21" s="64" t="s">
        <v>8</v>
      </c>
      <c r="C21" s="15">
        <v>1</v>
      </c>
      <c r="D21" s="19">
        <f>'CONSOLIDADO PERS ADMON'!D9</f>
        <v>3424376.9066666663</v>
      </c>
      <c r="E21" s="2">
        <f t="shared" si="1"/>
        <v>3424376.9066666663</v>
      </c>
    </row>
    <row r="22" spans="2:5">
      <c r="B22" s="136" t="s">
        <v>262</v>
      </c>
      <c r="C22" s="136">
        <v>0</v>
      </c>
      <c r="D22" s="19">
        <f>'CONSOLIDADO PERS ADMON'!D10</f>
        <v>3424376.9066666663</v>
      </c>
      <c r="E22" s="2">
        <f t="shared" si="1"/>
        <v>0</v>
      </c>
    </row>
    <row r="23" spans="2:5">
      <c r="B23" s="154" t="s">
        <v>263</v>
      </c>
      <c r="C23" s="154"/>
      <c r="D23" s="154"/>
      <c r="E23" s="4">
        <f>SUM(E17:E22)</f>
        <v>11633317.141333332</v>
      </c>
    </row>
    <row r="25" spans="2:5" ht="15.75">
      <c r="B25" s="65" t="s">
        <v>258</v>
      </c>
      <c r="C25" s="5">
        <f>+E23/'GIII-RI Cupos'!D4</f>
        <v>369.31165528042322</v>
      </c>
    </row>
  </sheetData>
  <mergeCells count="4">
    <mergeCell ref="B1:E1"/>
    <mergeCell ref="B10:D10"/>
    <mergeCell ref="B14:E14"/>
    <mergeCell ref="B23:D23"/>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708A4-B7F3-4D97-A244-7EFAACB593C0}">
  <sheetPr>
    <tabColor theme="7"/>
  </sheetPr>
  <dimension ref="B1:E25"/>
  <sheetViews>
    <sheetView showGridLines="0" workbookViewId="0">
      <selection activeCell="G5" sqref="G5"/>
    </sheetView>
  </sheetViews>
  <sheetFormatPr baseColWidth="10" defaultColWidth="11.42578125" defaultRowHeight="15"/>
  <cols>
    <col min="1" max="1" width="4" style="1" customWidth="1"/>
    <col min="2" max="2" width="34.85546875" style="1" customWidth="1"/>
    <col min="3" max="3" width="16.5703125" style="1" customWidth="1"/>
    <col min="4" max="4" width="11.85546875" style="1" customWidth="1"/>
    <col min="5" max="5" width="13" style="1" bestFit="1" customWidth="1"/>
    <col min="6" max="6" width="3.85546875" style="1" customWidth="1"/>
    <col min="7" max="7" width="17.28515625" style="1" customWidth="1"/>
    <col min="8" max="8" width="13.42578125" style="1" customWidth="1"/>
    <col min="9" max="10" width="11.42578125" style="1"/>
    <col min="11" max="11" width="19.85546875" style="1" customWidth="1"/>
    <col min="12" max="12" width="16.85546875" style="1" customWidth="1"/>
    <col min="13" max="13" width="15.5703125" style="1" bestFit="1" customWidth="1"/>
    <col min="14" max="16384" width="11.42578125" style="1"/>
  </cols>
  <sheetData>
    <row r="1" spans="2:5" ht="18.75">
      <c r="B1" s="196" t="s">
        <v>264</v>
      </c>
      <c r="C1" s="196"/>
      <c r="D1" s="196"/>
      <c r="E1" s="196"/>
    </row>
    <row r="3" spans="2:5" ht="30">
      <c r="B3" s="133" t="s">
        <v>11</v>
      </c>
      <c r="C3" s="133" t="s">
        <v>253</v>
      </c>
      <c r="D3" s="133" t="s">
        <v>254</v>
      </c>
      <c r="E3" s="133" t="s">
        <v>14</v>
      </c>
    </row>
    <row r="4" spans="2:5">
      <c r="B4" s="134" t="s">
        <v>4</v>
      </c>
      <c r="C4" s="15">
        <v>0.5</v>
      </c>
      <c r="D4" s="9">
        <f>+'CONSOLIDADO PERS ADMON'!D5</f>
        <v>5176603.0506666666</v>
      </c>
      <c r="E4" s="12">
        <f>C4*D4</f>
        <v>2588301.5253333333</v>
      </c>
    </row>
    <row r="5" spans="2:5">
      <c r="B5" s="134" t="s">
        <v>5</v>
      </c>
      <c r="C5" s="15">
        <v>1</v>
      </c>
      <c r="D5" s="9">
        <f>+'CONSOLIDADO PERS ADMON'!D6</f>
        <v>4529527.6693333331</v>
      </c>
      <c r="E5" s="12">
        <f t="shared" ref="E5:E9" si="0">C5*D5</f>
        <v>4529527.6693333331</v>
      </c>
    </row>
    <row r="6" spans="2:5">
      <c r="B6" s="134" t="s">
        <v>6</v>
      </c>
      <c r="C6" s="15">
        <v>0.5</v>
      </c>
      <c r="D6" s="9">
        <f>+'CONSOLIDADO PERS ADMON'!D7</f>
        <v>4473148.8853333332</v>
      </c>
      <c r="E6" s="12">
        <f t="shared" si="0"/>
        <v>2236574.4426666666</v>
      </c>
    </row>
    <row r="7" spans="2:5">
      <c r="B7" s="134" t="s">
        <v>7</v>
      </c>
      <c r="C7" s="15">
        <v>2</v>
      </c>
      <c r="D7" s="9">
        <f>+'CONSOLIDADO PERS ADMON'!D8</f>
        <v>3384064.2666666657</v>
      </c>
      <c r="E7" s="12">
        <f t="shared" si="0"/>
        <v>6768128.5333333313</v>
      </c>
    </row>
    <row r="8" spans="2:5">
      <c r="B8" s="134" t="s">
        <v>8</v>
      </c>
      <c r="C8" s="15">
        <v>2</v>
      </c>
      <c r="D8" s="9">
        <f>+'CONSOLIDADO PERS ADMON'!D9</f>
        <v>3424376.9066666663</v>
      </c>
      <c r="E8" s="12">
        <f t="shared" si="0"/>
        <v>6848753.8133333325</v>
      </c>
    </row>
    <row r="9" spans="2:5">
      <c r="B9" s="134" t="s">
        <v>9</v>
      </c>
      <c r="C9" s="15">
        <v>1</v>
      </c>
      <c r="D9" s="9">
        <f>+'CONSOLIDADO PERS ADMON'!D10</f>
        <v>3424376.9066666663</v>
      </c>
      <c r="E9" s="12">
        <f t="shared" si="0"/>
        <v>3424376.9066666663</v>
      </c>
    </row>
    <row r="10" spans="2:5">
      <c r="B10" s="154" t="s">
        <v>263</v>
      </c>
      <c r="C10" s="154"/>
      <c r="D10" s="154"/>
      <c r="E10" s="4">
        <f>SUM(E4:E9)</f>
        <v>26395662.890666664</v>
      </c>
    </row>
    <row r="11" spans="2:5">
      <c r="B11" s="17"/>
      <c r="C11" s="17"/>
      <c r="D11" s="18"/>
      <c r="E11" s="18"/>
    </row>
    <row r="12" spans="2:5" ht="15.75">
      <c r="B12" s="65" t="s">
        <v>258</v>
      </c>
      <c r="C12" s="5">
        <f>+E10/'GIV-CCT Cupos'!D4</f>
        <v>289.41660790397975</v>
      </c>
    </row>
    <row r="14" spans="2:5" ht="18.75">
      <c r="B14" s="196" t="s">
        <v>261</v>
      </c>
      <c r="C14" s="196"/>
      <c r="D14" s="196"/>
      <c r="E14" s="196"/>
    </row>
    <row r="16" spans="2:5" ht="30">
      <c r="B16" s="133" t="s">
        <v>11</v>
      </c>
      <c r="C16" s="133" t="s">
        <v>253</v>
      </c>
      <c r="D16" s="133" t="s">
        <v>254</v>
      </c>
      <c r="E16" s="133" t="s">
        <v>14</v>
      </c>
    </row>
    <row r="17" spans="2:5">
      <c r="B17" s="64" t="s">
        <v>4</v>
      </c>
      <c r="C17" s="14">
        <v>0.5</v>
      </c>
      <c r="D17" s="19">
        <f>'CONSOLIDADO PERS ADMON'!D5</f>
        <v>5176603.0506666666</v>
      </c>
      <c r="E17" s="2">
        <f>+C17*D17</f>
        <v>2588301.5253333333</v>
      </c>
    </row>
    <row r="18" spans="2:5">
      <c r="B18" s="64" t="s">
        <v>5</v>
      </c>
      <c r="C18" s="15">
        <v>0</v>
      </c>
      <c r="D18" s="19">
        <f>'CONSOLIDADO PERS ADMON'!D6</f>
        <v>4529527.6693333331</v>
      </c>
      <c r="E18" s="2">
        <f t="shared" ref="E18:E22" si="1">+C18*D18</f>
        <v>0</v>
      </c>
    </row>
    <row r="19" spans="2:5">
      <c r="B19" s="64" t="s">
        <v>6</v>
      </c>
      <c r="C19" s="15">
        <v>0.5</v>
      </c>
      <c r="D19" s="19">
        <f>'CONSOLIDADO PERS ADMON'!D7</f>
        <v>4473148.8853333332</v>
      </c>
      <c r="E19" s="2">
        <f t="shared" si="1"/>
        <v>2236574.4426666666</v>
      </c>
    </row>
    <row r="20" spans="2:5">
      <c r="B20" s="64" t="s">
        <v>7</v>
      </c>
      <c r="C20" s="15">
        <v>1</v>
      </c>
      <c r="D20" s="19">
        <f>'CONSOLIDADO PERS ADMON'!D8</f>
        <v>3384064.2666666657</v>
      </c>
      <c r="E20" s="2">
        <f t="shared" si="1"/>
        <v>3384064.2666666657</v>
      </c>
    </row>
    <row r="21" spans="2:5">
      <c r="B21" s="64" t="s">
        <v>8</v>
      </c>
      <c r="C21" s="15">
        <v>1</v>
      </c>
      <c r="D21" s="19">
        <f>'CONSOLIDADO PERS ADMON'!D9</f>
        <v>3424376.9066666663</v>
      </c>
      <c r="E21" s="2">
        <f t="shared" si="1"/>
        <v>3424376.9066666663</v>
      </c>
    </row>
    <row r="22" spans="2:5">
      <c r="B22" s="136" t="s">
        <v>262</v>
      </c>
      <c r="C22" s="136">
        <v>0</v>
      </c>
      <c r="D22" s="19">
        <f>'CONSOLIDADO PERS ADMON'!D10</f>
        <v>3424376.9066666663</v>
      </c>
      <c r="E22" s="2">
        <f t="shared" si="1"/>
        <v>0</v>
      </c>
    </row>
    <row r="23" spans="2:5">
      <c r="B23" s="154" t="s">
        <v>263</v>
      </c>
      <c r="C23" s="154"/>
      <c r="D23" s="154"/>
      <c r="E23" s="4">
        <f>SUM(E17:E22)</f>
        <v>11633317.141333332</v>
      </c>
    </row>
    <row r="25" spans="2:5" ht="15.75">
      <c r="B25" s="65" t="s">
        <v>258</v>
      </c>
      <c r="C25" s="5">
        <f>+E23/'GIV-RI Cupos'!D4</f>
        <v>369.31165528042322</v>
      </c>
    </row>
  </sheetData>
  <mergeCells count="4">
    <mergeCell ref="B1:E1"/>
    <mergeCell ref="B10:D10"/>
    <mergeCell ref="B14:E14"/>
    <mergeCell ref="B23:D2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CONSOLIDADO PERS ADMON</vt:lpstr>
      <vt:lpstr>CONSOLIDADO MANIPULADORAS</vt:lpstr>
      <vt:lpstr>BASE DE SALARIOS</vt:lpstr>
      <vt:lpstr>GI-RI Cupos</vt:lpstr>
      <vt:lpstr>GI-CCT Cupos</vt:lpstr>
      <vt:lpstr>GII-RI Cupos</vt:lpstr>
      <vt:lpstr>GII-CCT Cupos</vt:lpstr>
      <vt:lpstr>GIII-RI Cupos</vt:lpstr>
      <vt:lpstr>GIII-CCT Cupos</vt:lpstr>
      <vt:lpstr>GIV-RI Cupos</vt:lpstr>
      <vt:lpstr>GIV-CCT Cupos</vt:lpstr>
      <vt:lpstr>GI- Manipul</vt:lpstr>
      <vt:lpstr>GII- Manipul</vt:lpstr>
      <vt:lpstr>GIII- Manipul</vt:lpstr>
      <vt:lpstr>GIV- Manipul</vt:lpstr>
      <vt:lpstr>GI-PersAdmon</vt:lpstr>
      <vt:lpstr>GII-PersAdmon</vt:lpstr>
      <vt:lpstr>GIII-PersAdmon</vt:lpstr>
      <vt:lpstr>GIV-PersAdmon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Vanesa García</dc:creator>
  <cp:keywords/>
  <dc:description/>
  <cp:lastModifiedBy>Vanesa Garcia</cp:lastModifiedBy>
  <cp:revision/>
  <dcterms:created xsi:type="dcterms:W3CDTF">2024-10-11T14:41:10Z</dcterms:created>
  <dcterms:modified xsi:type="dcterms:W3CDTF">2025-01-11T04:01:43Z</dcterms:modified>
  <cp:category/>
  <cp:contentStatus/>
</cp:coreProperties>
</file>